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formatika\Ubhara\Tugas Akhir (OTW NIKAH)\Contoh Perhitungan DES\"/>
    </mc:Choice>
  </mc:AlternateContent>
  <xr:revisionPtr revIDLastSave="0" documentId="13_ncr:1_{755E5214-ED09-4591-B36E-C69954B5A37E}" xr6:coauthVersionLast="45" xr6:coauthVersionMax="45" xr10:uidLastSave="{00000000-0000-0000-0000-000000000000}"/>
  <bookViews>
    <workbookView xWindow="-120" yWindow="-120" windowWidth="20730" windowHeight="11160" xr2:uid="{FB6E33C2-DF33-404B-AF10-15B0D2AEE5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5" i="1"/>
  <c r="A49" i="1" l="1"/>
  <c r="A51" i="1" l="1"/>
  <c r="A53" i="1" s="1"/>
  <c r="E29" i="1" l="1"/>
  <c r="F28" i="1" l="1"/>
  <c r="E28" i="1"/>
  <c r="C30" i="1"/>
  <c r="C31" i="1"/>
  <c r="C32" i="1" s="1"/>
  <c r="C33" i="1" s="1"/>
  <c r="C34" i="1" s="1"/>
  <c r="C35" i="1" s="1"/>
  <c r="C36" i="1" s="1"/>
  <c r="C37" i="1" s="1"/>
  <c r="C38" i="1" s="1"/>
  <c r="C39" i="1" s="1"/>
  <c r="F29" i="1" l="1"/>
  <c r="D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29" i="1"/>
  <c r="Q48" i="1"/>
  <c r="Q47" i="1"/>
  <c r="Q46" i="1"/>
  <c r="Q45" i="1"/>
  <c r="D28" i="1"/>
  <c r="D30" i="1" l="1"/>
  <c r="D33" i="1"/>
  <c r="D39" i="1"/>
  <c r="D36" i="1"/>
  <c r="E35" i="1"/>
  <c r="E31" i="1"/>
  <c r="E38" i="1"/>
  <c r="E34" i="1"/>
  <c r="U30" i="1"/>
  <c r="D37" i="1" l="1"/>
  <c r="D34" i="1"/>
  <c r="F34" i="1" s="1"/>
  <c r="D31" i="1"/>
  <c r="F31" i="1" s="1"/>
  <c r="E39" i="1"/>
  <c r="F39" i="1" s="1"/>
  <c r="E32" i="1"/>
  <c r="E33" i="1"/>
  <c r="F33" i="1" s="1"/>
  <c r="D38" i="1"/>
  <c r="F38" i="1" s="1"/>
  <c r="E30" i="1"/>
  <c r="F30" i="1" s="1"/>
  <c r="D35" i="1"/>
  <c r="F35" i="1" s="1"/>
  <c r="D32" i="1"/>
  <c r="F32" i="1" s="1"/>
  <c r="E36" i="1"/>
  <c r="F36" i="1" s="1"/>
  <c r="E37" i="1"/>
  <c r="N28" i="1"/>
  <c r="L6" i="1"/>
  <c r="J6" i="1"/>
  <c r="I32" i="1"/>
  <c r="I30" i="1"/>
  <c r="D46" i="1" l="1"/>
  <c r="D45" i="1"/>
  <c r="D44" i="1"/>
  <c r="D47" i="1" s="1"/>
  <c r="F37" i="1"/>
  <c r="N29" i="1"/>
  <c r="N30" i="1"/>
  <c r="R32" i="1" s="1"/>
  <c r="I28" i="1"/>
  <c r="R28" i="1" l="1"/>
  <c r="R31" i="1"/>
  <c r="R38" i="1"/>
  <c r="R33" i="1"/>
  <c r="P28" i="1"/>
  <c r="Q28" i="1" s="1"/>
  <c r="P30" i="1"/>
  <c r="P29" i="1"/>
  <c r="R39" i="1"/>
  <c r="R34" i="1"/>
  <c r="R29" i="1"/>
  <c r="R35" i="1"/>
  <c r="R30" i="1"/>
  <c r="R36" i="1"/>
  <c r="R37" i="1"/>
  <c r="P32" i="1"/>
  <c r="P36" i="1"/>
  <c r="P33" i="1"/>
  <c r="P37" i="1"/>
  <c r="P34" i="1"/>
  <c r="P38" i="1"/>
  <c r="P31" i="1"/>
  <c r="P35" i="1"/>
  <c r="P39" i="1"/>
  <c r="Q31" i="1" l="1"/>
  <c r="S31" i="1" s="1"/>
  <c r="Q36" i="1"/>
  <c r="S36" i="1" s="1"/>
  <c r="Q33" i="1"/>
  <c r="S33" i="1" s="1"/>
  <c r="Q39" i="1"/>
  <c r="S39" i="1" s="1"/>
  <c r="Q34" i="1"/>
  <c r="S34" i="1" s="1"/>
  <c r="Q30" i="1"/>
  <c r="S30" i="1" s="1"/>
  <c r="Q37" i="1"/>
  <c r="S37" i="1" s="1"/>
  <c r="Q38" i="1"/>
  <c r="S38" i="1" s="1"/>
  <c r="Q32" i="1"/>
  <c r="S32" i="1" s="1"/>
  <c r="Q35" i="1"/>
  <c r="S35" i="1" s="1"/>
  <c r="Q29" i="1"/>
  <c r="S29" i="1" s="1"/>
  <c r="S28" i="1"/>
  <c r="S40" i="1" l="1"/>
  <c r="U28" i="1"/>
  <c r="U32" i="1"/>
  <c r="U34" i="1" s="1"/>
  <c r="C29" i="1" l="1"/>
  <c r="F40" i="1" l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N22" i="1"/>
  <c r="N21" i="1"/>
  <c r="N24" i="1" l="1"/>
  <c r="N16" i="1"/>
  <c r="N17" i="1"/>
  <c r="N15" i="1"/>
  <c r="N10" i="1"/>
  <c r="N11" i="1"/>
  <c r="N9" i="1"/>
  <c r="N4" i="1"/>
  <c r="N5" i="1"/>
  <c r="N3" i="1"/>
  <c r="M18" i="1" l="1"/>
  <c r="L18" i="1"/>
  <c r="K18" i="1"/>
  <c r="J18" i="1"/>
  <c r="I18" i="1"/>
  <c r="H18" i="1"/>
  <c r="G18" i="1"/>
  <c r="F18" i="1"/>
  <c r="E18" i="1"/>
  <c r="D18" i="1"/>
  <c r="C18" i="1"/>
  <c r="B18" i="1"/>
  <c r="M12" i="1"/>
  <c r="L12" i="1"/>
  <c r="K12" i="1"/>
  <c r="J12" i="1"/>
  <c r="I12" i="1"/>
  <c r="H12" i="1"/>
  <c r="G12" i="1"/>
  <c r="F12" i="1"/>
  <c r="E12" i="1"/>
  <c r="D12" i="1"/>
  <c r="C12" i="1"/>
  <c r="B12" i="1"/>
  <c r="M6" i="1"/>
  <c r="K6" i="1"/>
  <c r="I6" i="1"/>
  <c r="H6" i="1"/>
  <c r="G6" i="1"/>
  <c r="F6" i="1"/>
  <c r="E6" i="1"/>
  <c r="D6" i="1"/>
  <c r="C6" i="1"/>
  <c r="N12" i="1" l="1"/>
  <c r="N18" i="1"/>
  <c r="B6" i="1"/>
  <c r="N6" i="1" s="1"/>
</calcChain>
</file>

<file path=xl/sharedStrings.xml><?xml version="1.0" encoding="utf-8"?>
<sst xmlns="http://schemas.openxmlformats.org/spreadsheetml/2006/main" count="111" uniqueCount="47">
  <si>
    <t>Januari</t>
  </si>
  <si>
    <t>RM. Sumber Hidup</t>
  </si>
  <si>
    <t>RM. Ayam Brewok</t>
  </si>
  <si>
    <t>RM. Amanis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</si>
  <si>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</si>
  <si>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</si>
  <si>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</si>
  <si>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</si>
  <si>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</si>
  <si>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</si>
  <si>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</si>
  <si>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</si>
  <si>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</si>
  <si>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</si>
  <si>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</si>
  <si>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 Pajak</t>
  </si>
  <si>
    <t>Total</t>
  </si>
  <si>
    <t>Step 1</t>
  </si>
  <si>
    <t>Step 2</t>
  </si>
  <si>
    <t>Step 3</t>
  </si>
  <si>
    <t>Step 4</t>
  </si>
  <si>
    <t>Step 5</t>
  </si>
  <si>
    <t>Data Aktual</t>
  </si>
  <si>
    <t>a</t>
  </si>
  <si>
    <t>1-a</t>
  </si>
  <si>
    <t>RMSE</t>
  </si>
  <si>
    <t>Data Aktual (T)</t>
  </si>
  <si>
    <t>Data Peramalan (Y)</t>
  </si>
  <si>
    <t>T - Y</t>
  </si>
  <si>
    <t>(T - Y )pangkat 2</t>
  </si>
  <si>
    <t>β</t>
  </si>
  <si>
    <t>γ</t>
  </si>
  <si>
    <t>1-β</t>
  </si>
  <si>
    <t>1-γ</t>
  </si>
  <si>
    <t>Inisialisasi</t>
  </si>
  <si>
    <t>Tahun</t>
  </si>
  <si>
    <t>Data</t>
  </si>
  <si>
    <t>Jumlah</t>
  </si>
  <si>
    <t>PERHITUNGAN DES BROWN</t>
  </si>
  <si>
    <t>PERHITUNGAN DES HOLT-WINTER</t>
  </si>
  <si>
    <t>Pembagian</t>
  </si>
  <si>
    <t>RM SH</t>
  </si>
  <si>
    <t>RM AB</t>
  </si>
  <si>
    <t>RM AM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</si>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</sst>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NewRomanPSMT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FE99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3" fontId="2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/>
    <xf numFmtId="3" fontId="4" fillId="0" borderId="1" xfId="0" applyNumberFormat="1" applyFont="1" applyBorder="1" applyAlignment="1">
      <alignment vertical="center" wrapText="1"/>
    </xf>
    <xf numFmtId="3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/>
    <xf numFmtId="3" fontId="5" fillId="0" borderId="0" xfId="0" applyNumberFormat="1" applyFont="1"/>
    <xf numFmtId="0" fontId="1" fillId="4" borderId="0" xfId="0" applyFont="1" applyFill="1" applyBorder="1"/>
    <xf numFmtId="0" fontId="0" fillId="4" borderId="0" xfId="0" applyFill="1"/>
    <xf numFmtId="0" fontId="0" fillId="4" borderId="0" xfId="0" applyFill="1" applyAlignment="1">
      <alignment vertical="top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5" borderId="0" xfId="0" applyFill="1"/>
    <xf numFmtId="165" fontId="0" fillId="0" borderId="0" xfId="0" applyNumberFormat="1"/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 xr:uid="{9A9684AD-F276-4DF8-9A3B-C825D0603C09}"/>
  </cellStyles>
  <dxfs count="0"/>
  <tableStyles count="0" defaultTableStyle="TableStyleMedium2" defaultPivotStyle="PivotStyleLight16"/>
  <colors>
    <mruColors>
      <color rgb="FF1FE9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628650</xdr:colOff>
      <xdr:row>27</xdr:row>
      <xdr:rowOff>0</xdr:rowOff>
    </xdr:from>
    <xdr:ext cx="419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32A215-A101-4FE3-94F5-D63E4DD2EA2D}"/>
                </a:ext>
              </a:extLst>
            </xdr:cNvPr>
            <xdr:cNvSpPr txBox="1"/>
          </xdr:nvSpPr>
          <xdr:spPr>
            <a:xfrm>
              <a:off x="8982075" y="5143500"/>
              <a:ext cx="419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32A215-A101-4FE3-94F5-D63E4DD2EA2D}"/>
                </a:ext>
              </a:extLst>
            </xdr:cNvPr>
            <xdr:cNvSpPr txBox="1"/>
          </xdr:nvSpPr>
          <xdr:spPr>
            <a:xfrm>
              <a:off x="8982075" y="5143500"/>
              <a:ext cx="419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28</xdr:row>
      <xdr:rowOff>0</xdr:rowOff>
    </xdr:from>
    <xdr:ext cx="266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B7AE05-1B53-4993-B584-CB8091810D50}"/>
                </a:ext>
              </a:extLst>
            </xdr:cNvPr>
            <xdr:cNvSpPr txBox="1"/>
          </xdr:nvSpPr>
          <xdr:spPr>
            <a:xfrm>
              <a:off x="7677150" y="5334000"/>
              <a:ext cx="266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B7AE05-1B53-4993-B584-CB8091810D50}"/>
                </a:ext>
              </a:extLst>
            </xdr:cNvPr>
            <xdr:cNvSpPr txBox="1"/>
          </xdr:nvSpPr>
          <xdr:spPr>
            <a:xfrm>
              <a:off x="7677150" y="5334000"/>
              <a:ext cx="266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𝐵_𝐿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29</xdr:row>
      <xdr:rowOff>0</xdr:rowOff>
    </xdr:from>
    <xdr:ext cx="266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C230E8-DBBB-4193-AEE0-7E823589AC9E}"/>
                </a:ext>
              </a:extLst>
            </xdr:cNvPr>
            <xdr:cNvSpPr txBox="1"/>
          </xdr:nvSpPr>
          <xdr:spPr>
            <a:xfrm>
              <a:off x="7677150" y="5524500"/>
              <a:ext cx="266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C230E8-DBBB-4193-AEE0-7E823589AC9E}"/>
                </a:ext>
              </a:extLst>
            </xdr:cNvPr>
            <xdr:cNvSpPr txBox="1"/>
          </xdr:nvSpPr>
          <xdr:spPr>
            <a:xfrm>
              <a:off x="7677150" y="5524500"/>
              <a:ext cx="266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123825</xdr:colOff>
      <xdr:row>26</xdr:row>
      <xdr:rowOff>0</xdr:rowOff>
    </xdr:from>
    <xdr:ext cx="419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8B7B34-5BB9-4081-A8C4-BA56DA28AC1A}"/>
                </a:ext>
              </a:extLst>
            </xdr:cNvPr>
            <xdr:cNvSpPr txBox="1"/>
          </xdr:nvSpPr>
          <xdr:spPr>
            <a:xfrm>
              <a:off x="11201400" y="4953000"/>
              <a:ext cx="419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8B7B34-5BB9-4081-A8C4-BA56DA28AC1A}"/>
                </a:ext>
              </a:extLst>
            </xdr:cNvPr>
            <xdr:cNvSpPr txBox="1"/>
          </xdr:nvSpPr>
          <xdr:spPr>
            <a:xfrm>
              <a:off x="11201400" y="4953000"/>
              <a:ext cx="419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𝑆_𝑡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16</xdr:col>
      <xdr:colOff>266700</xdr:colOff>
      <xdr:row>25</xdr:row>
      <xdr:rowOff>180975</xdr:rowOff>
    </xdr:from>
    <xdr:to>
      <xdr:col>16</xdr:col>
      <xdr:colOff>390525</xdr:colOff>
      <xdr:row>26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5E7B0F-0829-47B1-8468-7D4A5791B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94347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295275</xdr:colOff>
      <xdr:row>26</xdr:row>
      <xdr:rowOff>0</xdr:rowOff>
    </xdr:from>
    <xdr:to>
      <xdr:col>17</xdr:col>
      <xdr:colOff>390525</xdr:colOff>
      <xdr:row>26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E328BB-0B65-4CDE-ABE1-437C56CB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0" y="4953000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152400</xdr:colOff>
      <xdr:row>26</xdr:row>
      <xdr:rowOff>0</xdr:rowOff>
    </xdr:from>
    <xdr:to>
      <xdr:col>18</xdr:col>
      <xdr:colOff>447675</xdr:colOff>
      <xdr:row>26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322B95-D85B-449D-ADDD-AE2E64B3A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8775" y="4953000"/>
          <a:ext cx="295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DA08-3E2C-4C6C-B153-7E8EA2E592D6}">
  <dimension ref="A2:U53"/>
  <sheetViews>
    <sheetView tabSelected="1" topLeftCell="A35" zoomScaleNormal="100" workbookViewId="0">
      <selection activeCell="A53" sqref="A53"/>
    </sheetView>
  </sheetViews>
  <sheetFormatPr defaultRowHeight="15"/>
  <cols>
    <col min="1" max="1" width="24.85546875" bestFit="1" customWidth="1"/>
    <col min="2" max="2" width="11.28515625" customWidth="1"/>
    <col min="3" max="3" width="10.7109375" customWidth="1"/>
    <col min="4" max="4" width="11.28515625" customWidth="1"/>
    <col min="5" max="5" width="10.140625" customWidth="1"/>
    <col min="6" max="6" width="12" bestFit="1" customWidth="1"/>
    <col min="7" max="9" width="11.28515625" bestFit="1" customWidth="1"/>
    <col min="10" max="10" width="10.85546875" bestFit="1" customWidth="1"/>
    <col min="11" max="11" width="10.140625" bestFit="1" customWidth="1"/>
    <col min="12" max="12" width="10.42578125" bestFit="1" customWidth="1"/>
    <col min="13" max="13" width="10.140625" bestFit="1" customWidth="1"/>
    <col min="14" max="14" width="11.140625" bestFit="1" customWidth="1"/>
    <col min="16" max="16" width="12" bestFit="1" customWidth="1"/>
    <col min="19" max="19" width="12" bestFit="1" customWidth="1"/>
    <col min="21" max="21" width="18" bestFit="1" customWidth="1"/>
  </cols>
  <sheetData>
    <row r="2" spans="1:14">
      <c r="A2" s="5">
        <v>2019</v>
      </c>
      <c r="B2" s="6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16</v>
      </c>
    </row>
    <row r="3" spans="1:14">
      <c r="A3" s="7" t="s">
        <v>1</v>
      </c>
      <c r="B3" s="2">
        <v>10624850</v>
      </c>
      <c r="C3" s="2">
        <v>12515300</v>
      </c>
      <c r="D3" s="2">
        <v>17358850</v>
      </c>
      <c r="E3" s="3">
        <v>16703550</v>
      </c>
      <c r="F3" s="3">
        <v>20657750</v>
      </c>
      <c r="G3" s="3">
        <v>24248000</v>
      </c>
      <c r="H3" s="3">
        <v>19970350</v>
      </c>
      <c r="I3" s="3">
        <v>19458300</v>
      </c>
      <c r="J3" s="1">
        <v>19458300</v>
      </c>
      <c r="K3" s="1">
        <v>20310000</v>
      </c>
      <c r="L3" s="1">
        <v>18236650</v>
      </c>
      <c r="M3" s="1">
        <v>21515950</v>
      </c>
      <c r="N3" s="4">
        <f>SUM(B3:M3)</f>
        <v>221057850</v>
      </c>
    </row>
    <row r="4" spans="1:14">
      <c r="A4" s="7" t="s">
        <v>2</v>
      </c>
      <c r="B4" s="2">
        <v>13301000</v>
      </c>
      <c r="C4" s="2">
        <v>9917000</v>
      </c>
      <c r="D4" s="2">
        <v>10929500</v>
      </c>
      <c r="E4" s="3">
        <v>12415200</v>
      </c>
      <c r="F4" s="3">
        <v>17348900</v>
      </c>
      <c r="G4" s="3">
        <v>8400500</v>
      </c>
      <c r="H4" s="3">
        <v>6922000</v>
      </c>
      <c r="I4" s="3">
        <v>6048950</v>
      </c>
      <c r="J4" s="1">
        <v>8822600</v>
      </c>
      <c r="K4" s="1">
        <v>5655900</v>
      </c>
      <c r="L4" s="1">
        <v>5910000</v>
      </c>
      <c r="M4" s="1">
        <v>7914000</v>
      </c>
      <c r="N4" s="4">
        <f t="shared" ref="N4:N6" si="0">SUM(B4:M4)</f>
        <v>113585550</v>
      </c>
    </row>
    <row r="5" spans="1:14">
      <c r="A5" s="7" t="s">
        <v>3</v>
      </c>
      <c r="B5" s="2">
        <v>11589500</v>
      </c>
      <c r="C5" s="2">
        <v>10517250</v>
      </c>
      <c r="D5" s="2">
        <v>10866400</v>
      </c>
      <c r="E5" s="3">
        <v>12957900</v>
      </c>
      <c r="F5" s="3">
        <v>13817900</v>
      </c>
      <c r="G5" s="3">
        <v>13888900</v>
      </c>
      <c r="H5" s="3">
        <v>11712850</v>
      </c>
      <c r="I5" s="3">
        <v>10790500</v>
      </c>
      <c r="J5" s="1">
        <v>11164400</v>
      </c>
      <c r="K5" s="1">
        <v>12477500</v>
      </c>
      <c r="L5" s="1">
        <v>11098450</v>
      </c>
      <c r="M5" s="1">
        <v>15451750</v>
      </c>
      <c r="N5" s="4">
        <f t="shared" si="0"/>
        <v>146333300</v>
      </c>
    </row>
    <row r="6" spans="1:14">
      <c r="A6" s="7" t="s">
        <v>15</v>
      </c>
      <c r="B6" s="2">
        <f t="shared" ref="B6:M6" si="1">SUM(B3:B5)</f>
        <v>35515350</v>
      </c>
      <c r="C6" s="2">
        <f t="shared" si="1"/>
        <v>32949550</v>
      </c>
      <c r="D6" s="2">
        <f t="shared" si="1"/>
        <v>39154750</v>
      </c>
      <c r="E6" s="2">
        <f t="shared" si="1"/>
        <v>42076650</v>
      </c>
      <c r="F6" s="2">
        <f t="shared" si="1"/>
        <v>51824550</v>
      </c>
      <c r="G6" s="2">
        <f t="shared" si="1"/>
        <v>46537400</v>
      </c>
      <c r="H6" s="2">
        <f t="shared" si="1"/>
        <v>38605200</v>
      </c>
      <c r="I6" s="2">
        <f t="shared" si="1"/>
        <v>36297750</v>
      </c>
      <c r="J6" s="4">
        <f t="shared" si="1"/>
        <v>39445300</v>
      </c>
      <c r="K6" s="4">
        <f t="shared" si="1"/>
        <v>38443400</v>
      </c>
      <c r="L6" s="4">
        <f t="shared" si="1"/>
        <v>35245100</v>
      </c>
      <c r="M6" s="4">
        <f t="shared" si="1"/>
        <v>44881700</v>
      </c>
      <c r="N6" s="4">
        <f t="shared" si="0"/>
        <v>480976700</v>
      </c>
    </row>
    <row r="8" spans="1:14">
      <c r="A8" s="5">
        <v>2018</v>
      </c>
      <c r="B8" s="6" t="s">
        <v>0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  <c r="N8" s="6" t="s">
        <v>16</v>
      </c>
    </row>
    <row r="9" spans="1:14">
      <c r="A9" s="7" t="s">
        <v>1</v>
      </c>
      <c r="B9" s="8">
        <v>7198157</v>
      </c>
      <c r="C9" s="2">
        <v>15078900</v>
      </c>
      <c r="D9" s="2">
        <v>15619400</v>
      </c>
      <c r="E9" s="3">
        <v>14400300</v>
      </c>
      <c r="F9" s="3">
        <v>17520049</v>
      </c>
      <c r="G9" s="3">
        <v>16029100</v>
      </c>
      <c r="H9" s="3">
        <v>18313450</v>
      </c>
      <c r="I9" s="3">
        <v>7753100</v>
      </c>
      <c r="J9" s="1">
        <v>10091350</v>
      </c>
      <c r="K9" s="1">
        <v>11001850</v>
      </c>
      <c r="L9" s="1">
        <v>11950600</v>
      </c>
      <c r="M9" s="1">
        <v>13541050</v>
      </c>
      <c r="N9" s="4">
        <f>SUM(B9:M9)</f>
        <v>158497306</v>
      </c>
    </row>
    <row r="10" spans="1:14">
      <c r="A10" s="7" t="s">
        <v>2</v>
      </c>
      <c r="B10" s="2">
        <v>4567000</v>
      </c>
      <c r="C10" s="2">
        <v>4367808</v>
      </c>
      <c r="D10" s="2">
        <v>4567000</v>
      </c>
      <c r="E10" s="3">
        <v>4002284</v>
      </c>
      <c r="F10" s="3">
        <v>4675000</v>
      </c>
      <c r="G10" s="3">
        <v>4567000</v>
      </c>
      <c r="H10" s="3">
        <v>4367504</v>
      </c>
      <c r="I10" s="3">
        <v>3283500</v>
      </c>
      <c r="J10" s="1">
        <v>3678900</v>
      </c>
      <c r="K10" s="1">
        <v>3545550</v>
      </c>
      <c r="L10" s="1">
        <v>3244304</v>
      </c>
      <c r="M10" s="1">
        <v>3283500</v>
      </c>
      <c r="N10" s="4">
        <f t="shared" ref="N10:N12" si="2">SUM(B10:M10)</f>
        <v>48149350</v>
      </c>
    </row>
    <row r="11" spans="1:14">
      <c r="A11" s="7" t="s">
        <v>3</v>
      </c>
      <c r="B11" s="2">
        <v>4123870</v>
      </c>
      <c r="C11" s="2">
        <v>4019080</v>
      </c>
      <c r="D11" s="2">
        <v>4239800</v>
      </c>
      <c r="E11" s="3">
        <v>4304150</v>
      </c>
      <c r="F11" s="3">
        <v>4100200</v>
      </c>
      <c r="G11" s="3">
        <v>4239800</v>
      </c>
      <c r="H11" s="3">
        <v>4378000</v>
      </c>
      <c r="I11" s="3">
        <v>4092800</v>
      </c>
      <c r="J11" s="1">
        <v>3987500</v>
      </c>
      <c r="K11" s="1">
        <v>4065000</v>
      </c>
      <c r="L11" s="1">
        <v>4090000</v>
      </c>
      <c r="M11" s="1">
        <v>4292350</v>
      </c>
      <c r="N11" s="4">
        <f t="shared" si="2"/>
        <v>49932550</v>
      </c>
    </row>
    <row r="12" spans="1:14">
      <c r="A12" s="7" t="s">
        <v>15</v>
      </c>
      <c r="B12" s="2">
        <f t="shared" ref="B12:M12" si="3">SUM(B9:B11)</f>
        <v>15889027</v>
      </c>
      <c r="C12" s="2">
        <f t="shared" si="3"/>
        <v>23465788</v>
      </c>
      <c r="D12" s="2">
        <f t="shared" si="3"/>
        <v>24426200</v>
      </c>
      <c r="E12" s="2">
        <f t="shared" si="3"/>
        <v>22706734</v>
      </c>
      <c r="F12" s="2">
        <f t="shared" si="3"/>
        <v>26295249</v>
      </c>
      <c r="G12" s="2">
        <f t="shared" si="3"/>
        <v>24835900</v>
      </c>
      <c r="H12" s="2">
        <f t="shared" si="3"/>
        <v>27058954</v>
      </c>
      <c r="I12" s="2">
        <f t="shared" si="3"/>
        <v>15129400</v>
      </c>
      <c r="J12" s="4">
        <f t="shared" si="3"/>
        <v>17757750</v>
      </c>
      <c r="K12" s="4">
        <f t="shared" si="3"/>
        <v>18612400</v>
      </c>
      <c r="L12" s="4">
        <f t="shared" si="3"/>
        <v>19284904</v>
      </c>
      <c r="M12" s="4">
        <f t="shared" si="3"/>
        <v>21116900</v>
      </c>
      <c r="N12" s="4">
        <f t="shared" si="2"/>
        <v>256579206</v>
      </c>
    </row>
    <row r="14" spans="1:14">
      <c r="A14" s="5">
        <v>2017</v>
      </c>
      <c r="B14" s="6" t="s">
        <v>0</v>
      </c>
      <c r="C14" s="6" t="s">
        <v>4</v>
      </c>
      <c r="D14" s="6" t="s">
        <v>5</v>
      </c>
      <c r="E14" s="6" t="s">
        <v>6</v>
      </c>
      <c r="F14" s="6" t="s">
        <v>7</v>
      </c>
      <c r="G14" s="6" t="s">
        <v>8</v>
      </c>
      <c r="H14" s="6" t="s">
        <v>9</v>
      </c>
      <c r="I14" s="6" t="s">
        <v>10</v>
      </c>
      <c r="J14" s="6" t="s">
        <v>11</v>
      </c>
      <c r="K14" s="6" t="s">
        <v>12</v>
      </c>
      <c r="L14" s="6" t="s">
        <v>13</v>
      </c>
      <c r="M14" s="6" t="s">
        <v>14</v>
      </c>
      <c r="N14" s="6" t="s">
        <v>16</v>
      </c>
    </row>
    <row r="15" spans="1:14">
      <c r="A15" s="7" t="s">
        <v>1</v>
      </c>
      <c r="B15" s="2">
        <v>13301000</v>
      </c>
      <c r="C15" s="2">
        <v>10672000</v>
      </c>
      <c r="D15" s="2">
        <v>11772000</v>
      </c>
      <c r="E15" s="3">
        <v>12770200</v>
      </c>
      <c r="F15" s="3">
        <v>17348900</v>
      </c>
      <c r="G15" s="3">
        <v>10091350</v>
      </c>
      <c r="H15" s="3">
        <v>7455000</v>
      </c>
      <c r="I15" s="3">
        <v>6548950</v>
      </c>
      <c r="J15" s="1">
        <v>8822600</v>
      </c>
      <c r="K15" s="1">
        <v>6005900</v>
      </c>
      <c r="L15" s="1">
        <v>6273125</v>
      </c>
      <c r="M15" s="1">
        <v>19727000</v>
      </c>
      <c r="N15" s="4">
        <f>SUM(B15:M15)</f>
        <v>130788025</v>
      </c>
    </row>
    <row r="16" spans="1:14">
      <c r="A16" s="7" t="s">
        <v>2</v>
      </c>
      <c r="B16" s="2">
        <v>3175200</v>
      </c>
      <c r="C16" s="2">
        <v>3824700</v>
      </c>
      <c r="D16" s="2">
        <v>3248750</v>
      </c>
      <c r="E16" s="3">
        <v>3224000</v>
      </c>
      <c r="F16" s="3">
        <v>3027900</v>
      </c>
      <c r="G16" s="3">
        <v>3985400</v>
      </c>
      <c r="H16" s="3">
        <v>3512000</v>
      </c>
      <c r="I16" s="3">
        <v>3392800</v>
      </c>
      <c r="J16" s="1">
        <v>3887500</v>
      </c>
      <c r="K16" s="1">
        <v>3761500</v>
      </c>
      <c r="L16" s="1">
        <v>3206700</v>
      </c>
      <c r="M16" s="1">
        <v>3392350</v>
      </c>
      <c r="N16" s="4">
        <f t="shared" ref="N16:N18" si="4">SUM(B16:M16)</f>
        <v>41638800</v>
      </c>
    </row>
    <row r="17" spans="1:21">
      <c r="A17" s="7" t="s">
        <v>3</v>
      </c>
      <c r="B17" s="2">
        <v>3975200</v>
      </c>
      <c r="C17" s="2">
        <v>3824700</v>
      </c>
      <c r="D17" s="2">
        <v>3998750</v>
      </c>
      <c r="E17" s="3">
        <v>4024000</v>
      </c>
      <c r="F17" s="3">
        <v>4127900</v>
      </c>
      <c r="G17" s="3">
        <v>3985400</v>
      </c>
      <c r="H17" s="3">
        <v>4312000</v>
      </c>
      <c r="I17" s="3">
        <v>4092800</v>
      </c>
      <c r="J17" s="1">
        <v>3987500</v>
      </c>
      <c r="K17" s="1">
        <v>4065000</v>
      </c>
      <c r="L17" s="1">
        <v>4106700</v>
      </c>
      <c r="M17" s="1">
        <v>4292350</v>
      </c>
      <c r="N17" s="4">
        <f t="shared" si="4"/>
        <v>48792300</v>
      </c>
    </row>
    <row r="18" spans="1:21">
      <c r="A18" s="7" t="s">
        <v>15</v>
      </c>
      <c r="B18" s="2">
        <f t="shared" ref="B18:M18" si="5">SUM(B15:B17)</f>
        <v>20451400</v>
      </c>
      <c r="C18" s="2">
        <f t="shared" si="5"/>
        <v>18321400</v>
      </c>
      <c r="D18" s="2">
        <f t="shared" si="5"/>
        <v>19019500</v>
      </c>
      <c r="E18" s="2">
        <f t="shared" si="5"/>
        <v>20018200</v>
      </c>
      <c r="F18" s="2">
        <f t="shared" si="5"/>
        <v>24504700</v>
      </c>
      <c r="G18" s="2">
        <f t="shared" si="5"/>
        <v>18062150</v>
      </c>
      <c r="H18" s="2">
        <f t="shared" si="5"/>
        <v>15279000</v>
      </c>
      <c r="I18" s="2">
        <f t="shared" si="5"/>
        <v>14034550</v>
      </c>
      <c r="J18" s="4">
        <f t="shared" si="5"/>
        <v>16697600</v>
      </c>
      <c r="K18" s="4">
        <f t="shared" si="5"/>
        <v>13832400</v>
      </c>
      <c r="L18" s="4">
        <f t="shared" si="5"/>
        <v>13586525</v>
      </c>
      <c r="M18" s="4">
        <f t="shared" si="5"/>
        <v>27411700</v>
      </c>
      <c r="N18" s="4">
        <f t="shared" si="4"/>
        <v>221219125</v>
      </c>
    </row>
    <row r="20" spans="1:21">
      <c r="A20" s="5">
        <v>2016</v>
      </c>
      <c r="B20" s="6" t="s">
        <v>0</v>
      </c>
      <c r="C20" s="6" t="s">
        <v>4</v>
      </c>
      <c r="D20" s="6" t="s">
        <v>5</v>
      </c>
      <c r="E20" s="6" t="s">
        <v>6</v>
      </c>
      <c r="F20" s="6" t="s">
        <v>7</v>
      </c>
      <c r="G20" s="6" t="s">
        <v>8</v>
      </c>
      <c r="H20" s="6" t="s">
        <v>9</v>
      </c>
      <c r="I20" s="6" t="s">
        <v>10</v>
      </c>
      <c r="J20" s="6" t="s">
        <v>11</v>
      </c>
      <c r="K20" s="6" t="s">
        <v>12</v>
      </c>
      <c r="L20" s="6" t="s">
        <v>13</v>
      </c>
      <c r="M20" s="6" t="s">
        <v>14</v>
      </c>
      <c r="N20" s="6" t="s">
        <v>16</v>
      </c>
    </row>
    <row r="21" spans="1:21">
      <c r="A21" s="7" t="s">
        <v>1</v>
      </c>
      <c r="B21" s="2">
        <v>1748250</v>
      </c>
      <c r="C21" s="2">
        <v>2812800</v>
      </c>
      <c r="D21" s="2">
        <v>3133000</v>
      </c>
      <c r="E21" s="3">
        <v>3341700</v>
      </c>
      <c r="F21" s="3">
        <v>3518050</v>
      </c>
      <c r="G21" s="3">
        <v>3653980</v>
      </c>
      <c r="H21" s="3">
        <v>3433240</v>
      </c>
      <c r="I21" s="3">
        <v>3256600</v>
      </c>
      <c r="J21" s="1">
        <v>3718550</v>
      </c>
      <c r="K21" s="1">
        <v>2264750</v>
      </c>
      <c r="L21" s="1">
        <v>3081000</v>
      </c>
      <c r="M21" s="1">
        <v>2607000</v>
      </c>
      <c r="N21" s="4">
        <f>SUM(B21:M21)</f>
        <v>36568920</v>
      </c>
    </row>
    <row r="22" spans="1:21">
      <c r="A22" s="7" t="s">
        <v>2</v>
      </c>
      <c r="B22" s="2">
        <v>3175200</v>
      </c>
      <c r="C22" s="2">
        <v>3824700</v>
      </c>
      <c r="D22" s="2">
        <v>3248750</v>
      </c>
      <c r="E22" s="3">
        <v>3224000</v>
      </c>
      <c r="F22" s="3">
        <v>3027900</v>
      </c>
      <c r="G22" s="3">
        <v>3985400</v>
      </c>
      <c r="H22" s="3">
        <v>3512000</v>
      </c>
      <c r="I22" s="3">
        <v>3392800</v>
      </c>
      <c r="J22" s="1">
        <v>3887500</v>
      </c>
      <c r="K22" s="1">
        <v>3761500</v>
      </c>
      <c r="L22" s="1">
        <v>3206700</v>
      </c>
      <c r="M22" s="1">
        <v>3392350</v>
      </c>
      <c r="N22" s="4">
        <f t="shared" ref="N22:N24" si="6">SUM(B22:M22)</f>
        <v>41638800</v>
      </c>
    </row>
    <row r="23" spans="1:21">
      <c r="A23" s="7" t="s">
        <v>3</v>
      </c>
      <c r="B23" s="2">
        <v>3975200</v>
      </c>
      <c r="C23" s="2">
        <v>3824700</v>
      </c>
      <c r="D23" s="2">
        <v>3998750</v>
      </c>
      <c r="E23" s="3">
        <v>4024000</v>
      </c>
      <c r="F23" s="3">
        <v>4127900</v>
      </c>
      <c r="G23" s="3">
        <v>3985400</v>
      </c>
      <c r="H23" s="3">
        <v>4312000</v>
      </c>
      <c r="I23" s="3">
        <v>4092800</v>
      </c>
      <c r="J23" s="1">
        <v>3987500</v>
      </c>
      <c r="K23" s="1">
        <v>4065000</v>
      </c>
      <c r="L23" s="1">
        <v>4106700</v>
      </c>
      <c r="M23" s="1">
        <v>4292350</v>
      </c>
      <c r="N23" s="4">
        <f t="shared" si="6"/>
        <v>48792300</v>
      </c>
    </row>
    <row r="24" spans="1:21">
      <c r="A24" s="7" t="s">
        <v>15</v>
      </c>
      <c r="B24" s="2">
        <f t="shared" ref="B24:M24" si="7">SUM(B21:B23)</f>
        <v>8898650</v>
      </c>
      <c r="C24" s="2">
        <f t="shared" si="7"/>
        <v>10462200</v>
      </c>
      <c r="D24" s="2">
        <f t="shared" si="7"/>
        <v>10380500</v>
      </c>
      <c r="E24" s="2">
        <f t="shared" si="7"/>
        <v>10589700</v>
      </c>
      <c r="F24" s="2">
        <f t="shared" si="7"/>
        <v>10673850</v>
      </c>
      <c r="G24" s="2">
        <f t="shared" si="7"/>
        <v>11624780</v>
      </c>
      <c r="H24" s="2">
        <f t="shared" si="7"/>
        <v>11257240</v>
      </c>
      <c r="I24" s="2">
        <f t="shared" si="7"/>
        <v>10742200</v>
      </c>
      <c r="J24" s="4">
        <f t="shared" si="7"/>
        <v>11593550</v>
      </c>
      <c r="K24" s="4">
        <f t="shared" si="7"/>
        <v>10091250</v>
      </c>
      <c r="L24" s="4">
        <f t="shared" si="7"/>
        <v>10394400</v>
      </c>
      <c r="M24" s="4">
        <f t="shared" si="7"/>
        <v>10291700</v>
      </c>
      <c r="N24" s="4">
        <f t="shared" si="6"/>
        <v>127000020</v>
      </c>
    </row>
    <row r="26" spans="1:21">
      <c r="A26" s="21" t="s">
        <v>38</v>
      </c>
      <c r="B26" s="21"/>
      <c r="C26" s="21"/>
      <c r="D26" s="21"/>
      <c r="E26" s="21"/>
      <c r="F26" s="21"/>
      <c r="G26" s="21"/>
      <c r="H26" s="21"/>
      <c r="I26" s="21"/>
      <c r="K26" s="21" t="s">
        <v>39</v>
      </c>
      <c r="L26" s="21"/>
      <c r="M26" s="21"/>
      <c r="N26" s="21"/>
      <c r="O26" s="21"/>
      <c r="P26" s="21"/>
      <c r="Q26" s="21"/>
      <c r="R26" s="21"/>
      <c r="S26" s="21"/>
    </row>
    <row r="27" spans="1:21">
      <c r="A27" s="9" t="s">
        <v>22</v>
      </c>
      <c r="B27" t="s">
        <v>17</v>
      </c>
      <c r="C27" t="s">
        <v>18</v>
      </c>
      <c r="D27" t="s">
        <v>19</v>
      </c>
      <c r="E27" t="s">
        <v>20</v>
      </c>
      <c r="F27" t="s">
        <v>21</v>
      </c>
      <c r="H27" t="s">
        <v>23</v>
      </c>
      <c r="I27">
        <v>0.1</v>
      </c>
      <c r="K27" s="10" t="s">
        <v>35</v>
      </c>
      <c r="L27" s="10" t="s">
        <v>36</v>
      </c>
      <c r="M27" s="18" t="s">
        <v>34</v>
      </c>
      <c r="N27" s="18"/>
      <c r="U27" s="10" t="s">
        <v>25</v>
      </c>
    </row>
    <row r="28" spans="1:21">
      <c r="A28">
        <v>15889027</v>
      </c>
      <c r="B28">
        <v>15889027</v>
      </c>
      <c r="C28">
        <v>15889027</v>
      </c>
      <c r="D28">
        <f>(2*B28)-C28</f>
        <v>15889027</v>
      </c>
      <c r="E28">
        <f>$I$27/$I$28*(B28-C28)</f>
        <v>0</v>
      </c>
      <c r="F28">
        <f>D28+E28</f>
        <v>15889027</v>
      </c>
      <c r="H28" t="s">
        <v>24</v>
      </c>
      <c r="I28">
        <f>1-I27</f>
        <v>0.9</v>
      </c>
      <c r="K28">
        <v>2018</v>
      </c>
      <c r="L28">
        <v>15889027</v>
      </c>
      <c r="N28">
        <f>AVERAGE(L28:L39)</f>
        <v>21336558.833333332</v>
      </c>
      <c r="P28">
        <f>$I$27*(L28/$N$30)+$I$28*($N$28+$N$29)</f>
        <v>22936800.745833334</v>
      </c>
      <c r="Q28">
        <f>$I$29*($N$28-P28)+($I$30*$N$29)</f>
        <v>1440217.7212499997</v>
      </c>
      <c r="R28">
        <f>$I$31*(L28/$N$28)+($I$32*$N$30)</f>
        <v>0.74468554766090722</v>
      </c>
      <c r="S28">
        <f>(P28+Q28)*R28</f>
        <v>18153213.347500004</v>
      </c>
      <c r="U28">
        <f>SQRT(SUMXMY2(L28:L39,S28:S39)/COUNTA(L28:L39))</f>
        <v>3645917.1469767042</v>
      </c>
    </row>
    <row r="29" spans="1:21">
      <c r="A29">
        <v>23465788</v>
      </c>
      <c r="B29">
        <f>($I$27*A29)+($I$28*B28)</f>
        <v>16646703.100000001</v>
      </c>
      <c r="C29">
        <f>($I$27*B29)+($I$28*C28)</f>
        <v>15964794.610000001</v>
      </c>
      <c r="D29">
        <f t="shared" ref="D29:D39" si="8">(2*B29)-C29</f>
        <v>17328611.590000004</v>
      </c>
      <c r="E29" s="16">
        <f>$I$27/$I$28*(B29-C29)</f>
        <v>75767.61000000003</v>
      </c>
      <c r="F29">
        <f t="shared" ref="F29:F39" si="9">D29+E29</f>
        <v>17404379.200000003</v>
      </c>
      <c r="H29" t="s">
        <v>30</v>
      </c>
      <c r="I29">
        <v>0.1</v>
      </c>
      <c r="K29">
        <v>2018</v>
      </c>
      <c r="L29">
        <v>23465788</v>
      </c>
      <c r="N29">
        <f>N28/12</f>
        <v>1778046.5694444443</v>
      </c>
      <c r="P29">
        <f>$I$27*(L29/$N$30)+$I$28*($N$28+$N$29)</f>
        <v>23954245.091812514</v>
      </c>
      <c r="Q29">
        <f>$I$29*($N$28-P29)+($I$30*$N$29)</f>
        <v>1338473.2866520816</v>
      </c>
      <c r="R29">
        <f t="shared" ref="R29:R39" si="10">$I$31*(L29/$N$28)+($I$32*$N$30)</f>
        <v>0.7801962457973054</v>
      </c>
      <c r="S29">
        <f t="shared" ref="S29:S39" si="11">(P29+Q29)*R29</f>
        <v>19733283.924886588</v>
      </c>
      <c r="U29" s="10" t="s">
        <v>26</v>
      </c>
    </row>
    <row r="30" spans="1:21">
      <c r="A30">
        <v>24426200</v>
      </c>
      <c r="B30">
        <f t="shared" ref="B30:B39" si="12">($I$27*A30)+($I$28*B29)</f>
        <v>17424652.789999999</v>
      </c>
      <c r="C30">
        <f t="shared" ref="C30:C39" si="13">($I$27*B30)+($I$28*C29)</f>
        <v>16110780.428000003</v>
      </c>
      <c r="D30">
        <f t="shared" si="8"/>
        <v>18738525.151999995</v>
      </c>
      <c r="E30" s="16">
        <f t="shared" ref="E30:E39" si="14">$I$27/$I$28*(B30-C30)</f>
        <v>145985.81799999956</v>
      </c>
      <c r="F30">
        <f t="shared" si="9"/>
        <v>18884510.969999995</v>
      </c>
      <c r="H30" t="s">
        <v>32</v>
      </c>
      <c r="I30">
        <f>1-I29</f>
        <v>0.9</v>
      </c>
      <c r="K30">
        <v>2018</v>
      </c>
      <c r="L30">
        <v>23885700</v>
      </c>
      <c r="N30">
        <f>L28/N28</f>
        <v>0.74468554766090722</v>
      </c>
      <c r="P30">
        <f>$I$27*(L30/$N$30)+$I$28*($N$28+$N$29)</f>
        <v>24010632.919039585</v>
      </c>
      <c r="Q30">
        <f t="shared" ref="Q30:Q39" si="15">$I$29*($N$28-P30)+($I$30*$N$29)</f>
        <v>1332834.5039293745</v>
      </c>
      <c r="R30">
        <f t="shared" si="10"/>
        <v>0.78216428573889141</v>
      </c>
      <c r="S30">
        <f t="shared" si="11"/>
        <v>19822755.095033377</v>
      </c>
      <c r="U30">
        <f>SUM(L28:L39)</f>
        <v>256038706</v>
      </c>
    </row>
    <row r="31" spans="1:21">
      <c r="A31">
        <v>22706734</v>
      </c>
      <c r="B31">
        <f t="shared" si="12"/>
        <v>17952860.910999998</v>
      </c>
      <c r="C31">
        <f t="shared" si="13"/>
        <v>16294988.476300003</v>
      </c>
      <c r="D31">
        <f t="shared" si="8"/>
        <v>19610733.345699996</v>
      </c>
      <c r="E31">
        <f t="shared" si="14"/>
        <v>184208.0482999995</v>
      </c>
      <c r="F31">
        <f t="shared" si="9"/>
        <v>19794941.393999994</v>
      </c>
      <c r="H31" s="13" t="s">
        <v>31</v>
      </c>
      <c r="I31">
        <v>0.1</v>
      </c>
      <c r="K31">
        <v>2018</v>
      </c>
      <c r="L31">
        <v>22706734</v>
      </c>
      <c r="P31">
        <f t="shared" ref="P31:P39" si="16">$I$27*(L31/$N$30)+$I$28*($N$28+$N$29)</f>
        <v>23852315.626095846</v>
      </c>
      <c r="Q31">
        <f t="shared" si="15"/>
        <v>1348666.2332237484</v>
      </c>
      <c r="R31">
        <f t="shared" si="10"/>
        <v>0.77663871805382434</v>
      </c>
      <c r="S31">
        <f t="shared" si="11"/>
        <v>19572058.24491965</v>
      </c>
      <c r="U31" s="10" t="s">
        <v>27</v>
      </c>
    </row>
    <row r="32" spans="1:21">
      <c r="A32" s="14">
        <v>26295249</v>
      </c>
      <c r="B32">
        <f t="shared" si="12"/>
        <v>18787099.719899997</v>
      </c>
      <c r="C32">
        <f t="shared" si="13"/>
        <v>16544199.600660004</v>
      </c>
      <c r="D32">
        <f t="shared" si="8"/>
        <v>21029999.839139991</v>
      </c>
      <c r="E32" s="16">
        <f t="shared" si="14"/>
        <v>249211.12435999929</v>
      </c>
      <c r="F32">
        <f t="shared" si="9"/>
        <v>21279210.963499989</v>
      </c>
      <c r="H32" t="s">
        <v>33</v>
      </c>
      <c r="I32">
        <f>1-I31</f>
        <v>0.9</v>
      </c>
      <c r="K32">
        <v>2018</v>
      </c>
      <c r="L32">
        <v>26295249</v>
      </c>
      <c r="P32">
        <f t="shared" si="16"/>
        <v>24334198.8869261</v>
      </c>
      <c r="Q32">
        <f>$I$29*($N$28-P32)+($I$30*$N$29)</f>
        <v>1300477.907140723</v>
      </c>
      <c r="R32">
        <f t="shared" si="10"/>
        <v>0.79345733921964134</v>
      </c>
      <c r="S32">
        <f t="shared" si="11"/>
        <v>20340022.440775748</v>
      </c>
      <c r="U32">
        <f>SUM(S28:S39)</f>
        <v>231491396.8866089</v>
      </c>
    </row>
    <row r="33" spans="1:21">
      <c r="A33">
        <v>24835900</v>
      </c>
      <c r="B33">
        <f t="shared" si="12"/>
        <v>19391979.747909997</v>
      </c>
      <c r="C33">
        <f t="shared" si="13"/>
        <v>16828977.615385003</v>
      </c>
      <c r="D33">
        <f t="shared" si="8"/>
        <v>21954981.88043499</v>
      </c>
      <c r="E33">
        <f t="shared" si="14"/>
        <v>284778.01472499926</v>
      </c>
      <c r="F33">
        <f t="shared" si="9"/>
        <v>22239759.89515999</v>
      </c>
      <c r="K33">
        <v>2018</v>
      </c>
      <c r="L33">
        <v>24835900</v>
      </c>
      <c r="P33">
        <f t="shared" si="16"/>
        <v>24138230.400014561</v>
      </c>
      <c r="Q33">
        <f t="shared" si="15"/>
        <v>1320074.755831877</v>
      </c>
      <c r="R33">
        <f t="shared" si="10"/>
        <v>0.78661767490732437</v>
      </c>
      <c r="S33">
        <f t="shared" si="11"/>
        <v>20025952.808773074</v>
      </c>
      <c r="U33" s="10" t="s">
        <v>28</v>
      </c>
    </row>
    <row r="34" spans="1:21">
      <c r="A34">
        <v>27058954</v>
      </c>
      <c r="B34">
        <f t="shared" si="12"/>
        <v>20158677.173119001</v>
      </c>
      <c r="C34">
        <f t="shared" si="13"/>
        <v>17161947.571158402</v>
      </c>
      <c r="D34">
        <f t="shared" si="8"/>
        <v>23155406.775079601</v>
      </c>
      <c r="E34">
        <f t="shared" si="14"/>
        <v>332969.95577339997</v>
      </c>
      <c r="F34">
        <f t="shared" si="9"/>
        <v>23488376.730852999</v>
      </c>
      <c r="K34">
        <v>2018</v>
      </c>
      <c r="L34">
        <v>27058954</v>
      </c>
      <c r="P34">
        <f t="shared" si="16"/>
        <v>24436752.911560904</v>
      </c>
      <c r="Q34">
        <f t="shared" si="15"/>
        <v>1290222.5046772426</v>
      </c>
      <c r="R34">
        <f t="shared" si="10"/>
        <v>0.79703666522982664</v>
      </c>
      <c r="S34">
        <f t="shared" si="11"/>
        <v>20505342.692208186</v>
      </c>
      <c r="U34">
        <f>U30-U32</f>
        <v>24547309.113391101</v>
      </c>
    </row>
    <row r="35" spans="1:21">
      <c r="A35">
        <v>15129400</v>
      </c>
      <c r="B35">
        <f t="shared" si="12"/>
        <v>19655749.455807101</v>
      </c>
      <c r="C35">
        <f t="shared" si="13"/>
        <v>17411327.759623274</v>
      </c>
      <c r="D35">
        <f t="shared" si="8"/>
        <v>21900171.151990928</v>
      </c>
      <c r="E35" s="16">
        <f t="shared" si="14"/>
        <v>249380.18846486966</v>
      </c>
      <c r="F35">
        <f t="shared" si="9"/>
        <v>22149551.340455797</v>
      </c>
      <c r="K35">
        <v>2018</v>
      </c>
      <c r="L35">
        <v>15129400</v>
      </c>
      <c r="P35">
        <f t="shared" si="16"/>
        <v>22834794.334887665</v>
      </c>
      <c r="Q35">
        <f t="shared" si="15"/>
        <v>1450418.3623445665</v>
      </c>
      <c r="R35">
        <f t="shared" si="10"/>
        <v>0.74112533438596595</v>
      </c>
      <c r="S35">
        <f t="shared" si="11"/>
        <v>17998386.380870543</v>
      </c>
      <c r="U35" s="10" t="s">
        <v>29</v>
      </c>
    </row>
    <row r="36" spans="1:21">
      <c r="A36">
        <v>17757750</v>
      </c>
      <c r="B36">
        <f t="shared" si="12"/>
        <v>19465949.510226391</v>
      </c>
      <c r="C36">
        <f t="shared" si="13"/>
        <v>17616789.934683587</v>
      </c>
      <c r="D36">
        <f t="shared" si="8"/>
        <v>21315109.085769195</v>
      </c>
      <c r="E36" s="16">
        <f t="shared" si="14"/>
        <v>205462.17506031157</v>
      </c>
      <c r="F36">
        <f t="shared" si="9"/>
        <v>21520571.260829508</v>
      </c>
      <c r="K36">
        <v>2018</v>
      </c>
      <c r="L36">
        <v>17757750</v>
      </c>
      <c r="P36">
        <f t="shared" si="16"/>
        <v>23187741.966039602</v>
      </c>
      <c r="Q36">
        <f t="shared" si="15"/>
        <v>1415123.5992293728</v>
      </c>
      <c r="R36">
        <f t="shared" si="10"/>
        <v>0.75344386250725703</v>
      </c>
      <c r="S36">
        <f t="shared" si="11"/>
        <v>18536878.060243048</v>
      </c>
    </row>
    <row r="37" spans="1:21">
      <c r="A37">
        <v>18612400</v>
      </c>
      <c r="B37">
        <f t="shared" si="12"/>
        <v>19380594.559203751</v>
      </c>
      <c r="C37">
        <f t="shared" si="13"/>
        <v>17793170.397135604</v>
      </c>
      <c r="D37">
        <f t="shared" si="8"/>
        <v>20968018.721271899</v>
      </c>
      <c r="E37" s="16">
        <f t="shared" si="14"/>
        <v>176380.46245201636</v>
      </c>
      <c r="F37">
        <f t="shared" si="9"/>
        <v>21144399.183723915</v>
      </c>
      <c r="K37">
        <v>2018</v>
      </c>
      <c r="L37">
        <v>18612400</v>
      </c>
      <c r="P37">
        <f t="shared" si="16"/>
        <v>23302508.527937371</v>
      </c>
      <c r="Q37">
        <f t="shared" si="15"/>
        <v>1403646.9430395958</v>
      </c>
      <c r="R37">
        <f t="shared" si="10"/>
        <v>0.75744942875941579</v>
      </c>
      <c r="S37">
        <f t="shared" si="11"/>
        <v>18713663.348332819</v>
      </c>
    </row>
    <row r="38" spans="1:21">
      <c r="A38">
        <v>19284904</v>
      </c>
      <c r="B38">
        <f t="shared" si="12"/>
        <v>19371025.503283374</v>
      </c>
      <c r="C38">
        <f t="shared" si="13"/>
        <v>17950955.907750383</v>
      </c>
      <c r="D38">
        <f t="shared" si="8"/>
        <v>20791095.098816365</v>
      </c>
      <c r="E38" s="16">
        <f t="shared" si="14"/>
        <v>157785.51061477678</v>
      </c>
      <c r="F38">
        <f t="shared" si="9"/>
        <v>20948880.60943114</v>
      </c>
      <c r="K38">
        <v>2018</v>
      </c>
      <c r="L38">
        <v>19284904</v>
      </c>
      <c r="P38">
        <f t="shared" si="16"/>
        <v>23392815.638383165</v>
      </c>
      <c r="Q38">
        <f t="shared" si="15"/>
        <v>1394616.2319950166</v>
      </c>
      <c r="R38">
        <f t="shared" si="10"/>
        <v>0.76060131470903469</v>
      </c>
      <c r="S38">
        <f t="shared" si="11"/>
        <v>18853353.268870272</v>
      </c>
    </row>
    <row r="39" spans="1:21">
      <c r="A39">
        <v>21116900</v>
      </c>
      <c r="B39">
        <f t="shared" si="12"/>
        <v>19545612.952955037</v>
      </c>
      <c r="C39">
        <f t="shared" si="13"/>
        <v>18110421.612270851</v>
      </c>
      <c r="D39">
        <f t="shared" si="8"/>
        <v>20980804.293639224</v>
      </c>
      <c r="E39">
        <f t="shared" si="14"/>
        <v>159465.70452046519</v>
      </c>
      <c r="F39">
        <f t="shared" si="9"/>
        <v>21140269.998159688</v>
      </c>
      <c r="K39">
        <v>2018</v>
      </c>
      <c r="L39">
        <v>21116900</v>
      </c>
      <c r="P39">
        <f t="shared" si="16"/>
        <v>23638824.978265531</v>
      </c>
      <c r="Q39">
        <f t="shared" si="15"/>
        <v>1370015.29800678</v>
      </c>
      <c r="R39">
        <f t="shared" si="10"/>
        <v>0.76918749776840389</v>
      </c>
      <c r="S39">
        <f t="shared" si="11"/>
        <v>19236487.274195578</v>
      </c>
    </row>
    <row r="40" spans="1:21">
      <c r="A40" s="19" t="s">
        <v>37</v>
      </c>
      <c r="B40" s="19"/>
      <c r="C40" s="19"/>
      <c r="D40" s="19"/>
      <c r="E40" s="19"/>
      <c r="F40">
        <f>SUM(F28:F39)</f>
        <v>245883878.54611304</v>
      </c>
      <c r="K40">
        <v>2019</v>
      </c>
      <c r="L40">
        <v>50438957</v>
      </c>
      <c r="P40" s="20" t="s">
        <v>37</v>
      </c>
      <c r="Q40" s="20"/>
      <c r="R40" s="20"/>
      <c r="S40">
        <f>SUM(S28:S39)</f>
        <v>231491396.8866089</v>
      </c>
    </row>
    <row r="41" spans="1:21">
      <c r="K41">
        <v>2019</v>
      </c>
      <c r="L41">
        <v>32949550</v>
      </c>
    </row>
    <row r="42" spans="1:21">
      <c r="K42">
        <v>2019</v>
      </c>
      <c r="L42">
        <v>39154750</v>
      </c>
    </row>
    <row r="43" spans="1:21">
      <c r="A43" s="12"/>
      <c r="C43" s="17" t="s">
        <v>40</v>
      </c>
      <c r="D43" s="17"/>
      <c r="K43">
        <v>2019</v>
      </c>
      <c r="L43">
        <v>42076650</v>
      </c>
    </row>
    <row r="44" spans="1:21">
      <c r="A44" s="10" t="s">
        <v>25</v>
      </c>
      <c r="C44" t="s">
        <v>41</v>
      </c>
      <c r="D44">
        <f>F39*0.4</f>
        <v>8456107.9992638752</v>
      </c>
      <c r="E44">
        <v>40</v>
      </c>
      <c r="F44" t="s">
        <v>44</v>
      </c>
      <c r="K44">
        <v>2019</v>
      </c>
      <c r="L44">
        <v>51824550</v>
      </c>
      <c r="P44" s="15" t="s">
        <v>40</v>
      </c>
      <c r="Q44">
        <v>19236487.274195578</v>
      </c>
    </row>
    <row r="45" spans="1:21">
      <c r="A45">
        <f>SQRT(SUMXMY2(A28:A39,F28:F39)/COUNTA(A28:A39))</f>
        <v>4012489.522858589</v>
      </c>
      <c r="C45" t="s">
        <v>42</v>
      </c>
      <c r="D45">
        <f>F39*0.3</f>
        <v>6342080.9994479064</v>
      </c>
      <c r="E45">
        <v>30</v>
      </c>
      <c r="F45" t="s">
        <v>45</v>
      </c>
      <c r="K45">
        <v>2019</v>
      </c>
      <c r="L45">
        <v>46537400</v>
      </c>
      <c r="P45" t="s">
        <v>41</v>
      </c>
      <c r="Q45">
        <f>Q44*0.4</f>
        <v>7694594.9096782319</v>
      </c>
      <c r="R45">
        <v>40</v>
      </c>
      <c r="S45" t="s">
        <v>44</v>
      </c>
    </row>
    <row r="46" spans="1:21">
      <c r="A46" s="10" t="s">
        <v>26</v>
      </c>
      <c r="C46" t="s">
        <v>43</v>
      </c>
      <c r="D46">
        <f>F39*0.3</f>
        <v>6342080.9994479064</v>
      </c>
      <c r="E46">
        <v>30</v>
      </c>
      <c r="F46" t="s">
        <v>46</v>
      </c>
      <c r="K46">
        <v>2019</v>
      </c>
      <c r="L46">
        <v>38605200</v>
      </c>
      <c r="P46" t="s">
        <v>42</v>
      </c>
      <c r="Q46">
        <f>Q44*0.3</f>
        <v>5770946.182258673</v>
      </c>
      <c r="R46">
        <v>30</v>
      </c>
      <c r="S46" t="s">
        <v>45</v>
      </c>
    </row>
    <row r="47" spans="1:21">
      <c r="A47">
        <f>SUM(A28:A39)</f>
        <v>256579206</v>
      </c>
      <c r="D47">
        <f>F39-D44-D45-D46</f>
        <v>0</v>
      </c>
      <c r="K47">
        <v>2019</v>
      </c>
      <c r="L47">
        <v>36297750</v>
      </c>
      <c r="P47" t="s">
        <v>43</v>
      </c>
      <c r="Q47">
        <f>Q44*0.3</f>
        <v>5770946.182258673</v>
      </c>
      <c r="R47">
        <v>30</v>
      </c>
      <c r="S47" t="s">
        <v>46</v>
      </c>
    </row>
    <row r="48" spans="1:21">
      <c r="A48" s="10" t="s">
        <v>27</v>
      </c>
      <c r="K48">
        <v>2019</v>
      </c>
      <c r="L48">
        <v>39445300</v>
      </c>
      <c r="Q48">
        <f>Q44-Q45-Q46-Q47</f>
        <v>0</v>
      </c>
    </row>
    <row r="49" spans="1:12">
      <c r="A49">
        <f>SUM(F28:F39)</f>
        <v>245883878.54611304</v>
      </c>
      <c r="K49">
        <v>2019</v>
      </c>
      <c r="L49">
        <v>38443400</v>
      </c>
    </row>
    <row r="50" spans="1:12">
      <c r="A50" s="10" t="s">
        <v>28</v>
      </c>
      <c r="K50">
        <v>2019</v>
      </c>
      <c r="L50">
        <v>35245100</v>
      </c>
    </row>
    <row r="51" spans="1:12">
      <c r="A51">
        <f>A47-A49</f>
        <v>10695327.453886956</v>
      </c>
      <c r="K51">
        <v>2019</v>
      </c>
      <c r="L51">
        <v>44881700</v>
      </c>
    </row>
    <row r="52" spans="1:12">
      <c r="A52" s="11" t="s">
        <v>29</v>
      </c>
    </row>
    <row r="53" spans="1:12">
      <c r="A53" s="22">
        <f>A51^2</f>
        <v>114390029345868.03</v>
      </c>
    </row>
  </sheetData>
  <mergeCells count="6">
    <mergeCell ref="C43:D43"/>
    <mergeCell ref="M27:N27"/>
    <mergeCell ref="A40:E40"/>
    <mergeCell ref="P40:R40"/>
    <mergeCell ref="A26:I26"/>
    <mergeCell ref="K26:S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Fiani Firdaus</dc:creator>
  <cp:lastModifiedBy>Programmer UDMW</cp:lastModifiedBy>
  <dcterms:created xsi:type="dcterms:W3CDTF">2020-02-11T09:21:28Z</dcterms:created>
  <dcterms:modified xsi:type="dcterms:W3CDTF">2020-11-09T08:04:54Z</dcterms:modified>
</cp:coreProperties>
</file>