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wsl.localhost\u2\root\rp2\code\src\main\resources\examples\4_complex_excel\"/>
    </mc:Choice>
  </mc:AlternateContent>
  <xr:revisionPtr revIDLastSave="0" documentId="13_ncr:1_{790BEEA5-B2EC-4E8F-AD48-BAB5F9A29ED3}" xr6:coauthVersionLast="47" xr6:coauthVersionMax="47" xr10:uidLastSave="{00000000-0000-0000-0000-000000000000}"/>
  <bookViews>
    <workbookView xWindow="-120" yWindow="-120" windowWidth="29040" windowHeight="16440" tabRatio="500" activeTab="2" xr2:uid="{00000000-000D-0000-FFFF-FFFF00000000}"/>
  </bookViews>
  <sheets>
    <sheet name="Instruction" sheetId="1" r:id="rId1"/>
    <sheet name="Accounts" sheetId="2" r:id="rId2"/>
    <sheet name="Cash flow" sheetId="3" r:id="rId3"/>
    <sheet name="Document Tables" sheetId="4"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a">IF(COUNTA(#REF!)=0,0,INDEX(#REF!,MATCH(ROW(#REF!),#REF!,TRUE())))+1</definedName>
    <definedName name="accountinfo1">'[1]EI Econ Model Sheet'!$I$107:$I$110</definedName>
    <definedName name="AccountNew">'[2]EI Econ Model Sheet'!$A$106:$A$110</definedName>
    <definedName name="AccountStatus">'[1]EI Econ Model Sheet'!$A$107:$A$111</definedName>
    <definedName name="Activity">#REF!</definedName>
    <definedName name="ads">'[3]FY''19'!$A$2:$F$245</definedName>
    <definedName name="age">[4]Sheet5!$A$3:$B$13</definedName>
    <definedName name="agedstock">'[5]Stock at 130519 by age'!$A$5:$F$88</definedName>
    <definedName name="Amount_Claimed">#REF!</definedName>
    <definedName name="asf">'[3]control list'!$A$1:$C$199</definedName>
    <definedName name="b">#REF!</definedName>
    <definedName name="bpcode">[6]lookups!$I$2:$K$40</definedName>
    <definedName name="budget">'[7]Sales budget'!$D$6:$S$34</definedName>
    <definedName name="budgetproduct">'[8]Sales by SKU'!$A$4:$AG$143</definedName>
    <definedName name="budgetsku">[9]lookups!$K$1:$L$99</definedName>
    <definedName name="chipmix">[10]Line1!$BO$4</definedName>
    <definedName name="control">'[11]control list'!$A$1:$C$199</definedName>
    <definedName name="Copy">#REF!</definedName>
    <definedName name="cost">'[11]FY''19'!$A$2:$F$200</definedName>
    <definedName name="currentperiod">[12]Cover!$D$20</definedName>
    <definedName name="CUSTBUDGET">'[5]Budget Sales by cust 210219'!$A$167:$U$186</definedName>
    <definedName name="Date">[13]Headcount!$J$4:$BK$4</definedName>
    <definedName name="Depreciation">'[14]ebitda reduction calculator'!#REF!</definedName>
    <definedName name="Direct_Labour">#REF!</definedName>
    <definedName name="Dividends">'[14]ebitda reduction calculator'!#REF!</definedName>
    <definedName name="e">'[15]Group Inputs'!#REF!</definedName>
    <definedName name="EBITA">#REF!</definedName>
    <definedName name="efftarget">[10]Line1!$BL$3</definedName>
    <definedName name="Energy_Gas_Electricity">#REF!</definedName>
    <definedName name="Energy_Gas_Ukraine_Comment">'[14]ebitda reduction calculator'!#REF!</definedName>
    <definedName name="Energy_Gas_Ukraine_Impact">'[14]ebitda reduction calculator'!#REF!</definedName>
    <definedName name="EOM">[12]Cover!$D$22</definedName>
    <definedName name="expiry">[16]expiry!$A$2:$B$60</definedName>
    <definedName name="Fuel_Transport">#REF!</definedName>
    <definedName name="Fuel_Transport_Ukraine_Comment">'[14]ebitda reduction calculator'!#REF!</definedName>
    <definedName name="Fuel_Transport_Ukraine_Impact">'[14]ebitda reduction calculator'!#REF!</definedName>
    <definedName name="FY21STD">'[17]Std Costs FY21'!$A$6:$BD$995</definedName>
    <definedName name="graph1">#REF!</definedName>
    <definedName name="Gross_Margin">#REF!</definedName>
    <definedName name="Gross_Profit">#REF!</definedName>
    <definedName name="Header1">IF(COUNTA(#REF!)=0,0,INDEX(#REF!,MATCH(ROW(#REF!),#REF!,TRUE())))+1</definedName>
    <definedName name="Header2" hidden="1">[0]!Header1-1 &amp; "." &amp; MAX(1,COUNTA(INDEX(#REF!,MATCH([0]!Header1-1,#REF!,FALSE)):#REF!))</definedName>
    <definedName name="Interest">'[14]ebitda reduction calculator'!#REF!</definedName>
    <definedName name="Is_Claim_15pc_drop">#REF!</definedName>
    <definedName name="Is_Claim_over_20k">#REF!</definedName>
    <definedName name="labcost">[10]Line1!$BI$4</definedName>
    <definedName name="labreccost">[10]Line1!$BJ$4</definedName>
    <definedName name="market">'[18]Sales control lists'!$E$7:$Q$986</definedName>
    <definedName name="masterdata">[10]MasterData2010!$B$12:$T$99</definedName>
    <definedName name="MonthYear">[13]Formula!$C$4:$C$51</definedName>
    <definedName name="n">#REF!</definedName>
    <definedName name="new">'[19]EI Econ Model Sheet'!$A$106:$A$110</definedName>
    <definedName name="Non_Operating_Expenses">'[14]ebitda reduction calculator'!#REF!</definedName>
    <definedName name="o" hidden="1">[0]!a-1 &amp; "." &amp; MAX(1,COUNTA(INDEX(#REF!,MATCH([0]!a-1,#REF!,FALSE)):#REF!))</definedName>
    <definedName name="Other_Costs_not_impacted">#REF!</definedName>
    <definedName name="Other_Direct_Costs">#REF!</definedName>
    <definedName name="Other_Impacted_Costs">'[14]ebitda reduction calculator'!#REF!</definedName>
    <definedName name="Other_Impacted_Costs_Comment">'[14]ebitda reduction calculator'!#REF!</definedName>
    <definedName name="Other_Impacted_Costs_total">'[14]ebitda reduction calculator'!#REF!</definedName>
    <definedName name="outrun">'[6]SALES OUTRUN SEP'!$B$7:$M$47</definedName>
    <definedName name="Owner">'[1]EI Econ Model Sheet'!$G$107:$G$109</definedName>
    <definedName name="Paste1">#REF!</definedName>
    <definedName name="Paste2">#REF!</definedName>
    <definedName name="Paste3">#REF!</definedName>
    <definedName name="Percentage_EBITA_Change">#REF!</definedName>
    <definedName name="Percentages">'[1]EI Econ Model Sheet'!$P$107:$P$124</definedName>
    <definedName name="planning">[6]Planning!$A$9:$L$87</definedName>
    <definedName name="premiummix">[10]Line1!$BM$4</definedName>
    <definedName name="prevytdtb">'[12]Prev YTD tb'!$A$2:$E$805</definedName>
    <definedName name="procING">'[6]Procurement Calc'!$AG$115</definedName>
    <definedName name="procingmtd">'[6]Procurement Calc'!$AJ$115</definedName>
    <definedName name="procingwk">'[6]Procurement Calc'!$AI$115</definedName>
    <definedName name="procPACK">'[6]Procurement Calc'!$AG$116</definedName>
    <definedName name="procpackmtd">'[6]Procurement Calc'!$AJ$116</definedName>
    <definedName name="procpackwk">'[6]Procurement Calc'!$AI$116</definedName>
    <definedName name="product">'[8]Sales by SKU'!$A$4:$AG$143</definedName>
    <definedName name="Profit_Loss">'[14]ebitda reduction calculator'!#REF!</definedName>
    <definedName name="Projection">#REF!</definedName>
    <definedName name="Projections">#REF!</definedName>
    <definedName name="Projectionss">#REF!</definedName>
    <definedName name="Projectionsss">#REF!</definedName>
    <definedName name="Purchase_Ukraine_Comment">'[14]ebitda reduction calculator'!#REF!</definedName>
    <definedName name="Purchase_Ukraine_Impact">'[14]ebitda reduction calculator'!#REF!</definedName>
    <definedName name="Purchases">#REF!</definedName>
    <definedName name="Question">'[1]EI Econ Model Sheet'!#REF!</definedName>
    <definedName name="Region">'[1]EI Econ Model Sheet'!$C$107:$C$111</definedName>
    <definedName name="rotarymix">[10]Line1!$BN$4</definedName>
    <definedName name="Sales">#REF!</definedName>
    <definedName name="salesfc">'[7]Sales Forecast'!$B$8:$BT$55</definedName>
    <definedName name="SAP_Code">[20]Sheet2!$C$1:$C$6</definedName>
    <definedName name="Select">'[15]Group Inputs'!#REF!</definedName>
    <definedName name="sens" hidden="1">[0]!Header1-1 &amp; "." &amp; MAX(1,COUNTA(INDEX(#REF!,MATCH([0]!Header1-1,#REF!,FALSE)):#REF!))</definedName>
    <definedName name="sku">[9]lookups!$K$1:$L$99</definedName>
    <definedName name="stock">'[5]SKU stock by week'!$B$12:$E$103</definedName>
    <definedName name="supplier">[21]Sheet1!$A$1:$C$15</definedName>
    <definedName name="Total_Direct_Costs">#REF!</definedName>
    <definedName name="Total_Operating_Expenditure">#REF!</definedName>
    <definedName name="tradesp">'[17]Sales control lists'!$H$1:$I$53</definedName>
    <definedName name="trialtime">'[6]OEE ytd'!$C$5</definedName>
    <definedName name="trialwk">[22]lookup!$E$2:$F$17</definedName>
    <definedName name="Type">'[1]EI Econ Model Sheet'!$E$107:$E$109</definedName>
    <definedName name="Ukraine_Sales_Comment">'[14]ebitda reduction calculator'!#REF!</definedName>
    <definedName name="Ukraine_Sales_Impact">'[14]ebitda reduction calculator'!#REF!</definedName>
    <definedName name="week">'[6]KPI Weekly Summary'!$C$1</definedName>
    <definedName name="weekdate">[6]lookups!$A$2:$F$53</definedName>
    <definedName name="Wgtcost">'[18]Sales control lists'!$A$7:$Q$986</definedName>
    <definedName name="wk34stock">#REF!</definedName>
    <definedName name="yieldtarget">[10]Line1!$BP$3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16" i="2" l="1"/>
  <c r="B14" i="2"/>
  <c r="I194" i="2"/>
  <c r="H194" i="2"/>
  <c r="G194" i="2"/>
  <c r="F194" i="2"/>
  <c r="E194" i="2"/>
  <c r="I193" i="2"/>
  <c r="H193" i="2"/>
  <c r="G193" i="2"/>
  <c r="F193" i="2"/>
  <c r="E193" i="2"/>
  <c r="E190" i="2"/>
  <c r="I185" i="2"/>
  <c r="H185" i="2"/>
  <c r="G185" i="2"/>
  <c r="F185" i="2"/>
  <c r="E185" i="2"/>
  <c r="D185" i="2"/>
  <c r="C185" i="2"/>
  <c r="I184" i="2"/>
  <c r="H184" i="2"/>
  <c r="G184" i="2"/>
  <c r="F184" i="2"/>
  <c r="E184" i="2"/>
  <c r="D184" i="2"/>
  <c r="C184" i="2"/>
  <c r="I183" i="2"/>
  <c r="H183" i="2"/>
  <c r="G183" i="2"/>
  <c r="F183" i="2"/>
  <c r="E183" i="2"/>
  <c r="D183" i="2"/>
  <c r="C183" i="2"/>
  <c r="I182" i="2"/>
  <c r="H182" i="2"/>
  <c r="G182" i="2"/>
  <c r="F182" i="2"/>
  <c r="E182" i="2"/>
  <c r="D182" i="2"/>
  <c r="C182" i="2"/>
  <c r="I181" i="2"/>
  <c r="H181" i="2"/>
  <c r="G181" i="2"/>
  <c r="F181" i="2"/>
  <c r="E181" i="2"/>
  <c r="D181" i="2"/>
  <c r="C181" i="2"/>
  <c r="I180" i="2"/>
  <c r="H180" i="2"/>
  <c r="G180" i="2"/>
  <c r="F180" i="2"/>
  <c r="E180" i="2"/>
  <c r="D180" i="2"/>
  <c r="C180" i="2"/>
  <c r="I179" i="2"/>
  <c r="H179" i="2"/>
  <c r="G179" i="2"/>
  <c r="F179" i="2"/>
  <c r="E179" i="2"/>
  <c r="I178" i="2"/>
  <c r="H178" i="2"/>
  <c r="G178" i="2"/>
  <c r="F178" i="2"/>
  <c r="E178" i="2"/>
  <c r="I177" i="2"/>
  <c r="H177" i="2"/>
  <c r="G177" i="2"/>
  <c r="F177" i="2"/>
  <c r="E177" i="2"/>
  <c r="D177" i="2"/>
  <c r="C177" i="2"/>
  <c r="I176" i="2"/>
  <c r="H176" i="2"/>
  <c r="G176" i="2"/>
  <c r="F176" i="2"/>
  <c r="E176" i="2"/>
  <c r="D176" i="2"/>
  <c r="C176" i="2"/>
  <c r="I175" i="2"/>
  <c r="H175" i="2"/>
  <c r="G175" i="2"/>
  <c r="F175" i="2"/>
  <c r="E175" i="2"/>
  <c r="D175" i="2"/>
  <c r="C175" i="2"/>
  <c r="I174" i="2"/>
  <c r="I186" i="2" s="1"/>
  <c r="H174" i="2"/>
  <c r="G174" i="2"/>
  <c r="F174" i="2"/>
  <c r="E174" i="2"/>
  <c r="E186" i="2" s="1"/>
  <c r="D174" i="2"/>
  <c r="C174" i="2"/>
  <c r="I173" i="2"/>
  <c r="H173" i="2"/>
  <c r="H186" i="2" s="1"/>
  <c r="G173" i="2"/>
  <c r="G186" i="2" s="1"/>
  <c r="F173" i="2"/>
  <c r="F186" i="2" s="1"/>
  <c r="E173" i="2"/>
  <c r="D173" i="2"/>
  <c r="D186" i="2" s="1"/>
  <c r="C173" i="2"/>
  <c r="C186" i="2" s="1"/>
  <c r="F168" i="2"/>
  <c r="I167" i="2"/>
  <c r="H167" i="2"/>
  <c r="G167" i="2"/>
  <c r="F167" i="2"/>
  <c r="E167" i="2"/>
  <c r="D167" i="2"/>
  <c r="C167" i="2"/>
  <c r="I166" i="2"/>
  <c r="H166" i="2"/>
  <c r="G166" i="2"/>
  <c r="F166" i="2"/>
  <c r="E166" i="2"/>
  <c r="D166" i="2"/>
  <c r="C166" i="2"/>
  <c r="I165" i="2"/>
  <c r="H165" i="2"/>
  <c r="G165" i="2"/>
  <c r="F165" i="2"/>
  <c r="E165" i="2"/>
  <c r="D165" i="2"/>
  <c r="C165" i="2"/>
  <c r="I164" i="2"/>
  <c r="H164" i="2"/>
  <c r="G164" i="2"/>
  <c r="F164" i="2"/>
  <c r="E164" i="2"/>
  <c r="D164" i="2"/>
  <c r="C164" i="2"/>
  <c r="I163" i="2"/>
  <c r="H163" i="2"/>
  <c r="G163" i="2"/>
  <c r="F163" i="2"/>
  <c r="E163" i="2"/>
  <c r="D163" i="2"/>
  <c r="C163" i="2"/>
  <c r="I162" i="2"/>
  <c r="H162" i="2"/>
  <c r="G162" i="2"/>
  <c r="F162" i="2"/>
  <c r="E162" i="2"/>
  <c r="D162" i="2"/>
  <c r="C162" i="2"/>
  <c r="I161" i="2"/>
  <c r="H161" i="2"/>
  <c r="G161" i="2"/>
  <c r="F161" i="2"/>
  <c r="E161" i="2"/>
  <c r="I160" i="2"/>
  <c r="H160" i="2"/>
  <c r="G160" i="2"/>
  <c r="F160" i="2"/>
  <c r="E160" i="2"/>
  <c r="D160" i="2"/>
  <c r="C160" i="2"/>
  <c r="I159" i="2"/>
  <c r="H159" i="2"/>
  <c r="G159" i="2"/>
  <c r="F159" i="2"/>
  <c r="E159" i="2"/>
  <c r="D159" i="2"/>
  <c r="C159" i="2"/>
  <c r="I158" i="2"/>
  <c r="H158" i="2"/>
  <c r="G158" i="2"/>
  <c r="F158" i="2"/>
  <c r="E158" i="2"/>
  <c r="D158" i="2"/>
  <c r="C158" i="2"/>
  <c r="I157" i="2"/>
  <c r="H157" i="2"/>
  <c r="G157" i="2"/>
  <c r="F157" i="2"/>
  <c r="E157" i="2"/>
  <c r="E168" i="2" s="1"/>
  <c r="D157" i="2"/>
  <c r="C157" i="2"/>
  <c r="I156" i="2"/>
  <c r="I168" i="2" s="1"/>
  <c r="H156" i="2"/>
  <c r="H168" i="2" s="1"/>
  <c r="G156" i="2"/>
  <c r="G168" i="2" s="1"/>
  <c r="F156" i="2"/>
  <c r="E156" i="2"/>
  <c r="D156" i="2"/>
  <c r="D168" i="2" s="1"/>
  <c r="C156" i="2"/>
  <c r="C168" i="2" s="1"/>
  <c r="I151" i="2"/>
  <c r="F151" i="2"/>
  <c r="I150" i="2"/>
  <c r="H150" i="2"/>
  <c r="G150" i="2"/>
  <c r="F150" i="2"/>
  <c r="E150" i="2"/>
  <c r="D150" i="2"/>
  <c r="C150" i="2"/>
  <c r="I149" i="2"/>
  <c r="H149" i="2"/>
  <c r="H151" i="2" s="1"/>
  <c r="G149" i="2"/>
  <c r="G151" i="2" s="1"/>
  <c r="F149" i="2"/>
  <c r="E149" i="2"/>
  <c r="E151" i="2" s="1"/>
  <c r="D149" i="2"/>
  <c r="D151" i="2" s="1"/>
  <c r="C149" i="2"/>
  <c r="C151" i="2" s="1"/>
  <c r="C145" i="2"/>
  <c r="I144" i="2"/>
  <c r="H144" i="2"/>
  <c r="G144" i="2"/>
  <c r="F144" i="2"/>
  <c r="E144" i="2"/>
  <c r="D144" i="2"/>
  <c r="C144" i="2"/>
  <c r="I143" i="2"/>
  <c r="H143" i="2"/>
  <c r="G143" i="2"/>
  <c r="F143" i="2"/>
  <c r="E143" i="2"/>
  <c r="D143" i="2"/>
  <c r="C143" i="2"/>
  <c r="I142" i="2"/>
  <c r="H142" i="2"/>
  <c r="G142" i="2"/>
  <c r="F142" i="2"/>
  <c r="E142" i="2"/>
  <c r="D142" i="2"/>
  <c r="C142" i="2"/>
  <c r="I141" i="2"/>
  <c r="I145" i="2" s="1"/>
  <c r="H141" i="2"/>
  <c r="G141" i="2"/>
  <c r="G145" i="2" s="1"/>
  <c r="F141" i="2"/>
  <c r="E141" i="2"/>
  <c r="D141" i="2"/>
  <c r="C141" i="2"/>
  <c r="I140" i="2"/>
  <c r="H140" i="2"/>
  <c r="H145" i="2" s="1"/>
  <c r="G140" i="2"/>
  <c r="F140" i="2"/>
  <c r="F145" i="2" s="1"/>
  <c r="E140" i="2"/>
  <c r="E145" i="2" s="1"/>
  <c r="D140" i="2"/>
  <c r="D145" i="2" s="1"/>
  <c r="C140" i="2"/>
  <c r="I137" i="2"/>
  <c r="H137" i="2"/>
  <c r="G137" i="2"/>
  <c r="F137" i="2"/>
  <c r="E137" i="2"/>
  <c r="D137" i="2"/>
  <c r="C137" i="2"/>
  <c r="B124" i="2"/>
  <c r="B125" i="2" s="1"/>
  <c r="C123" i="2"/>
  <c r="D123" i="2" s="1"/>
  <c r="E123" i="2" s="1"/>
  <c r="F123" i="2" s="1"/>
  <c r="G123" i="2" s="1"/>
  <c r="C114" i="2"/>
  <c r="D114" i="2"/>
  <c r="B114" i="2"/>
  <c r="E122" i="2"/>
  <c r="F122" i="2" s="1"/>
  <c r="G122" i="2" s="1"/>
  <c r="I121" i="2"/>
  <c r="H121" i="2"/>
  <c r="G121" i="2"/>
  <c r="F121" i="2"/>
  <c r="E121" i="2"/>
  <c r="H120" i="2"/>
  <c r="I113" i="2"/>
  <c r="H111" i="2"/>
  <c r="I111" i="2" s="1"/>
  <c r="H110" i="2"/>
  <c r="I110" i="2" s="1"/>
  <c r="I109" i="2"/>
  <c r="H109" i="2"/>
  <c r="H108" i="2"/>
  <c r="I108" i="2" s="1"/>
  <c r="B103" i="2"/>
  <c r="G102" i="2"/>
  <c r="H102" i="2" s="1"/>
  <c r="I102" i="2" s="1"/>
  <c r="F102" i="2"/>
  <c r="E102" i="2"/>
  <c r="D102" i="2"/>
  <c r="C102" i="2"/>
  <c r="C103" i="2" s="1"/>
  <c r="H101" i="2"/>
  <c r="I101" i="2" s="1"/>
  <c r="H100" i="2"/>
  <c r="I100" i="2" s="1"/>
  <c r="D100" i="2"/>
  <c r="G99" i="2"/>
  <c r="F99" i="2"/>
  <c r="E99" i="2"/>
  <c r="G98" i="2"/>
  <c r="G103" i="2" s="1"/>
  <c r="F98" i="2"/>
  <c r="F103" i="2" s="1"/>
  <c r="E98" i="2"/>
  <c r="C95" i="2"/>
  <c r="B95" i="2"/>
  <c r="B105" i="2" s="1"/>
  <c r="H94" i="2"/>
  <c r="I94" i="2" s="1"/>
  <c r="H93" i="2"/>
  <c r="I93" i="2" s="1"/>
  <c r="I92" i="2"/>
  <c r="H92" i="2"/>
  <c r="G92" i="2"/>
  <c r="F92" i="2"/>
  <c r="F95" i="2" s="1"/>
  <c r="E92" i="2"/>
  <c r="G91" i="2"/>
  <c r="E91" i="2"/>
  <c r="D91" i="2"/>
  <c r="D95" i="2" s="1"/>
  <c r="H90" i="2"/>
  <c r="I90" i="2" s="1"/>
  <c r="D87" i="2"/>
  <c r="C87" i="2"/>
  <c r="B87" i="2"/>
  <c r="B116" i="2" s="1"/>
  <c r="H86" i="2"/>
  <c r="I86" i="2" s="1"/>
  <c r="E85" i="2"/>
  <c r="F85" i="2" s="1"/>
  <c r="G85" i="2" s="1"/>
  <c r="E84" i="2"/>
  <c r="F84" i="2" s="1"/>
  <c r="H74" i="2"/>
  <c r="I74" i="2" s="1"/>
  <c r="H71" i="2"/>
  <c r="I71" i="2" s="1"/>
  <c r="H68" i="2"/>
  <c r="I68" i="2" s="1"/>
  <c r="H67" i="2"/>
  <c r="I67" i="2" s="1"/>
  <c r="I66" i="2"/>
  <c r="H66" i="2"/>
  <c r="G66" i="2"/>
  <c r="F66" i="2"/>
  <c r="E66" i="2"/>
  <c r="H65" i="2"/>
  <c r="I65" i="2" s="1"/>
  <c r="H64" i="2"/>
  <c r="I64" i="2" s="1"/>
  <c r="H63" i="2"/>
  <c r="I63" i="2" s="1"/>
  <c r="H62" i="2"/>
  <c r="I62" i="2" s="1"/>
  <c r="I61" i="2"/>
  <c r="H61" i="2"/>
  <c r="G61" i="2"/>
  <c r="F61" i="2"/>
  <c r="E61" i="2"/>
  <c r="E113" i="2" s="1"/>
  <c r="G54" i="2"/>
  <c r="G57" i="2" s="1"/>
  <c r="F54" i="2"/>
  <c r="F57" i="2" s="1"/>
  <c r="E54" i="2"/>
  <c r="E57" i="2" s="1"/>
  <c r="D54" i="2"/>
  <c r="C54" i="2"/>
  <c r="C57" i="2" s="1"/>
  <c r="B54" i="2"/>
  <c r="B57" i="2" s="1"/>
  <c r="H53" i="2"/>
  <c r="I53" i="2" s="1"/>
  <c r="H52" i="2"/>
  <c r="H51" i="2"/>
  <c r="I51" i="2" s="1"/>
  <c r="H50" i="2"/>
  <c r="I50" i="2" s="1"/>
  <c r="D50" i="2"/>
  <c r="G46" i="2"/>
  <c r="F46" i="2"/>
  <c r="F48" i="2" s="1"/>
  <c r="F59" i="2" s="1"/>
  <c r="F69" i="2" s="1"/>
  <c r="F72" i="2" s="1"/>
  <c r="F75" i="2" s="1"/>
  <c r="F135" i="2" s="1"/>
  <c r="E46" i="2"/>
  <c r="D46" i="2"/>
  <c r="C46" i="2"/>
  <c r="B46" i="2"/>
  <c r="H45" i="2"/>
  <c r="I45" i="2" s="1"/>
  <c r="H44" i="2"/>
  <c r="I44" i="2" s="1"/>
  <c r="H43" i="2"/>
  <c r="G41" i="2"/>
  <c r="F41" i="2"/>
  <c r="E41" i="2"/>
  <c r="D41" i="2"/>
  <c r="C41" i="2"/>
  <c r="B41" i="2"/>
  <c r="H40" i="2"/>
  <c r="I40" i="2" s="1"/>
  <c r="H39" i="2"/>
  <c r="I39" i="2" s="1"/>
  <c r="H38" i="2"/>
  <c r="I38" i="2" s="1"/>
  <c r="H37" i="2"/>
  <c r="I37" i="2" s="1"/>
  <c r="D14" i="2"/>
  <c r="E14" i="2"/>
  <c r="F14" i="2"/>
  <c r="G14" i="2"/>
  <c r="C14" i="2"/>
  <c r="H29" i="2"/>
  <c r="I29" i="2" s="1"/>
  <c r="H28" i="2"/>
  <c r="I28" i="2" s="1"/>
  <c r="H27" i="2"/>
  <c r="I27" i="2" s="1"/>
  <c r="H26" i="2"/>
  <c r="I26" i="2" s="1"/>
  <c r="H25" i="2"/>
  <c r="I25" i="2" s="1"/>
  <c r="H24" i="2"/>
  <c r="I24" i="2" s="1"/>
  <c r="H23" i="2"/>
  <c r="I23" i="2" s="1"/>
  <c r="H22" i="2"/>
  <c r="I22" i="2" s="1"/>
  <c r="I99" i="2" s="1"/>
  <c r="H21" i="2"/>
  <c r="I21" i="2" s="1"/>
  <c r="I98" i="2" s="1"/>
  <c r="H20" i="2"/>
  <c r="I20" i="2" s="1"/>
  <c r="H19" i="2"/>
  <c r="I19" i="2" s="1"/>
  <c r="G18" i="2"/>
  <c r="H18" i="2" s="1"/>
  <c r="I18" i="2" s="1"/>
  <c r="F18" i="2"/>
  <c r="E18" i="2"/>
  <c r="D18" i="2"/>
  <c r="C18" i="2"/>
  <c r="B18" i="2"/>
  <c r="H17" i="2"/>
  <c r="I17" i="2" s="1"/>
  <c r="H16" i="2"/>
  <c r="I16" i="2" s="1"/>
  <c r="H15" i="2"/>
  <c r="I15" i="2" s="1"/>
  <c r="I14" i="2" s="1"/>
  <c r="F13" i="2"/>
  <c r="G13" i="2" s="1"/>
  <c r="H13" i="2" s="1"/>
  <c r="I13" i="2" s="1"/>
  <c r="C13" i="2"/>
  <c r="B13" i="2" s="1"/>
  <c r="F147" i="2" l="1"/>
  <c r="F153" i="2" s="1"/>
  <c r="F170" i="2" s="1"/>
  <c r="H54" i="2"/>
  <c r="F113" i="2"/>
  <c r="G113" i="2" s="1"/>
  <c r="I112" i="2"/>
  <c r="I114" i="2" s="1"/>
  <c r="H99" i="2"/>
  <c r="H46" i="2"/>
  <c r="D57" i="2"/>
  <c r="D103" i="2"/>
  <c r="D105" i="2" s="1"/>
  <c r="D116" i="2" s="1"/>
  <c r="F105" i="2"/>
  <c r="G124" i="2"/>
  <c r="G125" i="2" s="1"/>
  <c r="H122" i="2"/>
  <c r="I122" i="2" s="1"/>
  <c r="B48" i="2"/>
  <c r="B59" i="2" s="1"/>
  <c r="B69" i="2" s="1"/>
  <c r="B72" i="2" s="1"/>
  <c r="B75" i="2" s="1"/>
  <c r="E103" i="2"/>
  <c r="D48" i="2"/>
  <c r="H57" i="2"/>
  <c r="H123" i="2"/>
  <c r="I123" i="2" s="1"/>
  <c r="E112" i="2"/>
  <c r="E114" i="2" s="1"/>
  <c r="E48" i="2"/>
  <c r="E59" i="2" s="1"/>
  <c r="E69" i="2" s="1"/>
  <c r="E72" i="2" s="1"/>
  <c r="E75" i="2" s="1"/>
  <c r="E135" i="2" s="1"/>
  <c r="E147" i="2" s="1"/>
  <c r="E153" i="2" s="1"/>
  <c r="H98" i="2"/>
  <c r="H103" i="2" s="1"/>
  <c r="F112" i="2"/>
  <c r="F114" i="2" s="1"/>
  <c r="F124" i="2"/>
  <c r="F125" i="2" s="1"/>
  <c r="G112" i="2"/>
  <c r="G114" i="2" s="1"/>
  <c r="E124" i="2"/>
  <c r="E125" i="2" s="1"/>
  <c r="H85" i="2"/>
  <c r="I85" i="2" s="1"/>
  <c r="E95" i="2"/>
  <c r="H112" i="2"/>
  <c r="D124" i="2"/>
  <c r="G95" i="2"/>
  <c r="G105" i="2" s="1"/>
  <c r="D125" i="2"/>
  <c r="C124" i="2"/>
  <c r="C125" i="2" s="1"/>
  <c r="I103" i="2"/>
  <c r="C105" i="2"/>
  <c r="C116" i="2" s="1"/>
  <c r="G84" i="2"/>
  <c r="F87" i="2"/>
  <c r="H113" i="2"/>
  <c r="E87" i="2"/>
  <c r="I120" i="2"/>
  <c r="H91" i="2"/>
  <c r="I91" i="2" s="1"/>
  <c r="I95" i="2" s="1"/>
  <c r="I105" i="2" s="1"/>
  <c r="G48" i="2"/>
  <c r="G59" i="2" s="1"/>
  <c r="G69" i="2" s="1"/>
  <c r="G72" i="2" s="1"/>
  <c r="G75" i="2" s="1"/>
  <c r="G135" i="2" s="1"/>
  <c r="G147" i="2" s="1"/>
  <c r="G153" i="2" s="1"/>
  <c r="G170" i="2" s="1"/>
  <c r="C48" i="2"/>
  <c r="C59" i="2" s="1"/>
  <c r="C69" i="2" s="1"/>
  <c r="C72" i="2" s="1"/>
  <c r="C75" i="2" s="1"/>
  <c r="C135" i="2" s="1"/>
  <c r="C147" i="2" s="1"/>
  <c r="C153" i="2" s="1"/>
  <c r="C170" i="2" s="1"/>
  <c r="I43" i="2"/>
  <c r="I46" i="2" s="1"/>
  <c r="H41" i="2"/>
  <c r="H48" i="2" s="1"/>
  <c r="I41" i="2"/>
  <c r="I48" i="2"/>
  <c r="D59" i="2"/>
  <c r="D69" i="2" s="1"/>
  <c r="D72" i="2" s="1"/>
  <c r="D75" i="2" s="1"/>
  <c r="D135" i="2" s="1"/>
  <c r="D147" i="2" s="1"/>
  <c r="D153" i="2" s="1"/>
  <c r="D170" i="2" s="1"/>
  <c r="I52" i="2"/>
  <c r="I54" i="2" s="1"/>
  <c r="I57" i="2" s="1"/>
  <c r="H14" i="2"/>
  <c r="G188" i="2" l="1"/>
  <c r="F188" i="2"/>
  <c r="E170" i="2"/>
  <c r="E188" i="2"/>
  <c r="E191" i="2" s="1"/>
  <c r="D188" i="2"/>
  <c r="C188" i="2"/>
  <c r="E195" i="2"/>
  <c r="F190" i="2"/>
  <c r="F191" i="2" s="1"/>
  <c r="H59" i="2"/>
  <c r="H69" i="2" s="1"/>
  <c r="H72" i="2" s="1"/>
  <c r="H75" i="2" s="1"/>
  <c r="H135" i="2" s="1"/>
  <c r="H147" i="2" s="1"/>
  <c r="H153" i="2" s="1"/>
  <c r="H114" i="2"/>
  <c r="F116" i="2"/>
  <c r="E105" i="2"/>
  <c r="E116" i="2" s="1"/>
  <c r="I124" i="2"/>
  <c r="I125" i="2" s="1"/>
  <c r="H124" i="2"/>
  <c r="H125" i="2" s="1"/>
  <c r="H95" i="2"/>
  <c r="H105" i="2" s="1"/>
  <c r="H84" i="2"/>
  <c r="G87" i="2"/>
  <c r="G116" i="2" s="1"/>
  <c r="I59" i="2"/>
  <c r="I69" i="2" s="1"/>
  <c r="I72" i="2" s="1"/>
  <c r="I75" i="2" s="1"/>
  <c r="I135" i="2" s="1"/>
  <c r="I147" i="2" s="1"/>
  <c r="I153" i="2" s="1"/>
  <c r="I170" i="2" l="1"/>
  <c r="I188" i="2"/>
  <c r="H170" i="2"/>
  <c r="H188" i="2"/>
  <c r="F195" i="2"/>
  <c r="G190" i="2"/>
  <c r="G191" i="2" s="1"/>
  <c r="H87" i="2"/>
  <c r="H116" i="2" s="1"/>
  <c r="I84" i="2"/>
  <c r="I87" i="2" s="1"/>
  <c r="I116" i="2" s="1"/>
  <c r="G195" i="2" l="1"/>
  <c r="H190" i="2"/>
  <c r="H191" i="2" s="1"/>
  <c r="H195" i="2" l="1"/>
  <c r="I190" i="2"/>
  <c r="I191" i="2" s="1"/>
  <c r="I195" i="2" s="1"/>
  <c r="D378" i="4" l="1"/>
  <c r="C378" i="4"/>
  <c r="B378" i="4"/>
  <c r="I350" i="4"/>
  <c r="H350" i="4"/>
  <c r="G350" i="4"/>
  <c r="F350" i="4"/>
  <c r="E350" i="4"/>
  <c r="E281" i="4"/>
  <c r="E280" i="4"/>
  <c r="E279" i="4"/>
  <c r="E278" i="4"/>
  <c r="E277" i="4"/>
  <c r="E276" i="4"/>
  <c r="I240" i="4"/>
  <c r="H240" i="4"/>
  <c r="G240" i="4"/>
  <c r="F240" i="4"/>
  <c r="E240" i="4"/>
  <c r="D240" i="4"/>
  <c r="C240" i="4"/>
  <c r="B240" i="4"/>
  <c r="B239" i="4"/>
  <c r="I233" i="4"/>
  <c r="H233" i="4"/>
  <c r="G233" i="4"/>
  <c r="F233" i="4"/>
  <c r="E233" i="4"/>
  <c r="D233" i="4"/>
  <c r="C233" i="4"/>
  <c r="I232" i="4"/>
  <c r="I362" i="4" s="1"/>
  <c r="H232" i="4"/>
  <c r="G232" i="4"/>
  <c r="F232" i="4"/>
  <c r="E232" i="4"/>
  <c r="D232" i="4"/>
  <c r="C232" i="4"/>
  <c r="I231" i="4"/>
  <c r="H231" i="4"/>
  <c r="H361" i="4" s="1"/>
  <c r="G231" i="4"/>
  <c r="F231" i="4"/>
  <c r="E231" i="4"/>
  <c r="D231" i="4"/>
  <c r="C231" i="4"/>
  <c r="I230" i="4"/>
  <c r="H230" i="4"/>
  <c r="G230" i="4"/>
  <c r="G360" i="4" s="1"/>
  <c r="F230" i="4"/>
  <c r="E230" i="4"/>
  <c r="D230" i="4"/>
  <c r="C230" i="4"/>
  <c r="I229" i="4"/>
  <c r="H229" i="4"/>
  <c r="G229" i="4"/>
  <c r="F229" i="4"/>
  <c r="F359" i="4" s="1"/>
  <c r="E229" i="4"/>
  <c r="D229" i="4"/>
  <c r="C229" i="4"/>
  <c r="I228" i="4"/>
  <c r="H228" i="4"/>
  <c r="G228" i="4"/>
  <c r="F228" i="4"/>
  <c r="E228" i="4"/>
  <c r="D228" i="4"/>
  <c r="C228" i="4"/>
  <c r="I227" i="4"/>
  <c r="H227" i="4"/>
  <c r="G227" i="4"/>
  <c r="F227" i="4"/>
  <c r="E227" i="4"/>
  <c r="D227" i="4"/>
  <c r="C227" i="4"/>
  <c r="I224" i="4"/>
  <c r="H224" i="4"/>
  <c r="G224" i="4"/>
  <c r="F224" i="4"/>
  <c r="E224" i="4"/>
  <c r="D224" i="4"/>
  <c r="C224" i="4"/>
  <c r="I223" i="4"/>
  <c r="H223" i="4"/>
  <c r="G223" i="4"/>
  <c r="F223" i="4"/>
  <c r="E223" i="4"/>
  <c r="D223" i="4"/>
  <c r="C223" i="4"/>
  <c r="I222" i="4"/>
  <c r="I361" i="4" s="1"/>
  <c r="H222" i="4"/>
  <c r="G222" i="4"/>
  <c r="F222" i="4"/>
  <c r="E222" i="4"/>
  <c r="D222" i="4"/>
  <c r="C222" i="4"/>
  <c r="I221" i="4"/>
  <c r="I360" i="4" s="1"/>
  <c r="H221" i="4"/>
  <c r="H360" i="4" s="1"/>
  <c r="G221" i="4"/>
  <c r="F221" i="4"/>
  <c r="E221" i="4"/>
  <c r="D221" i="4"/>
  <c r="C221" i="4"/>
  <c r="I220" i="4"/>
  <c r="H220" i="4"/>
  <c r="H359" i="4" s="1"/>
  <c r="G220" i="4"/>
  <c r="G359" i="4" s="1"/>
  <c r="F220" i="4"/>
  <c r="E220" i="4"/>
  <c r="D220" i="4"/>
  <c r="C220" i="4"/>
  <c r="I219" i="4"/>
  <c r="H219" i="4"/>
  <c r="G219" i="4"/>
  <c r="G358" i="4" s="1"/>
  <c r="F219" i="4"/>
  <c r="E219" i="4"/>
  <c r="D219" i="4"/>
  <c r="C219" i="4"/>
  <c r="I218" i="4"/>
  <c r="H218" i="4"/>
  <c r="G218" i="4"/>
  <c r="F218" i="4"/>
  <c r="E218" i="4"/>
  <c r="D218" i="4"/>
  <c r="C218" i="4"/>
  <c r="A211" i="4"/>
  <c r="B210" i="4"/>
  <c r="A210" i="4"/>
  <c r="I209" i="4"/>
  <c r="H209" i="4"/>
  <c r="G209" i="4"/>
  <c r="F209" i="4"/>
  <c r="E209" i="4"/>
  <c r="D209" i="4"/>
  <c r="C209" i="4"/>
  <c r="B209" i="4"/>
  <c r="A209" i="4"/>
  <c r="I208" i="4"/>
  <c r="H208" i="4"/>
  <c r="G208" i="4"/>
  <c r="F208" i="4"/>
  <c r="E208" i="4"/>
  <c r="D208" i="4"/>
  <c r="C208" i="4"/>
  <c r="B208" i="4"/>
  <c r="A208" i="4"/>
  <c r="I207" i="4"/>
  <c r="H207" i="4"/>
  <c r="G207" i="4"/>
  <c r="F207" i="4"/>
  <c r="E207" i="4"/>
  <c r="A207" i="4"/>
  <c r="I206" i="4"/>
  <c r="H206" i="4"/>
  <c r="G206" i="4"/>
  <c r="F206" i="4"/>
  <c r="E206" i="4"/>
  <c r="D206" i="4"/>
  <c r="C206" i="4"/>
  <c r="B206" i="4"/>
  <c r="A206" i="4"/>
  <c r="A205" i="4"/>
  <c r="A203" i="4"/>
  <c r="A201" i="4"/>
  <c r="I200" i="4"/>
  <c r="H200" i="4"/>
  <c r="G200" i="4"/>
  <c r="F200" i="4"/>
  <c r="E200" i="4"/>
  <c r="D200" i="4"/>
  <c r="C200" i="4"/>
  <c r="B200" i="4"/>
  <c r="A200" i="4"/>
  <c r="I199" i="4"/>
  <c r="H199" i="4"/>
  <c r="G199" i="4"/>
  <c r="F199" i="4"/>
  <c r="E199" i="4"/>
  <c r="A199" i="4"/>
  <c r="I198" i="4"/>
  <c r="H198" i="4"/>
  <c r="G198" i="4"/>
  <c r="F198" i="4"/>
  <c r="E198" i="4"/>
  <c r="D198" i="4"/>
  <c r="C198" i="4"/>
  <c r="B198" i="4"/>
  <c r="A198" i="4"/>
  <c r="I197" i="4"/>
  <c r="H197" i="4"/>
  <c r="G197" i="4"/>
  <c r="F197" i="4"/>
  <c r="E197" i="4"/>
  <c r="D197" i="4"/>
  <c r="C197" i="4"/>
  <c r="B197" i="4"/>
  <c r="A197" i="4"/>
  <c r="I196" i="4"/>
  <c r="H196" i="4"/>
  <c r="G196" i="4"/>
  <c r="F196" i="4"/>
  <c r="E196" i="4"/>
  <c r="D196" i="4"/>
  <c r="C196" i="4"/>
  <c r="B196" i="4"/>
  <c r="A196" i="4"/>
  <c r="I195" i="4"/>
  <c r="H195" i="4"/>
  <c r="G195" i="4"/>
  <c r="F195" i="4"/>
  <c r="E195" i="4"/>
  <c r="D195" i="4"/>
  <c r="C195" i="4"/>
  <c r="B195" i="4"/>
  <c r="A195" i="4"/>
  <c r="A194" i="4"/>
  <c r="A192" i="4"/>
  <c r="A190" i="4"/>
  <c r="I189" i="4"/>
  <c r="H189" i="4"/>
  <c r="G189" i="4"/>
  <c r="F189" i="4"/>
  <c r="E189" i="4"/>
  <c r="D189" i="4"/>
  <c r="C189" i="4"/>
  <c r="B189" i="4"/>
  <c r="A189" i="4"/>
  <c r="I188" i="4"/>
  <c r="H188" i="4"/>
  <c r="G188" i="4"/>
  <c r="F188" i="4"/>
  <c r="E188" i="4"/>
  <c r="D188" i="4"/>
  <c r="C188" i="4"/>
  <c r="C54" i="4" s="1"/>
  <c r="B188" i="4"/>
  <c r="A188" i="4"/>
  <c r="I187" i="4"/>
  <c r="H187" i="4"/>
  <c r="G187" i="4"/>
  <c r="F187" i="4"/>
  <c r="E187" i="4"/>
  <c r="D187" i="4"/>
  <c r="C187" i="4"/>
  <c r="C51" i="4" s="1"/>
  <c r="B187" i="4"/>
  <c r="A187" i="4"/>
  <c r="I186" i="4"/>
  <c r="H186" i="4"/>
  <c r="G186" i="4"/>
  <c r="F186" i="4"/>
  <c r="E186" i="4"/>
  <c r="D186" i="4"/>
  <c r="C186" i="4"/>
  <c r="B186" i="4"/>
  <c r="A186" i="4"/>
  <c r="I185" i="4"/>
  <c r="H185" i="4"/>
  <c r="G185" i="4"/>
  <c r="F185" i="4"/>
  <c r="F63" i="4" s="1"/>
  <c r="E185" i="4"/>
  <c r="D185" i="4"/>
  <c r="C185" i="4"/>
  <c r="B185" i="4"/>
  <c r="A185" i="4"/>
  <c r="A184" i="4"/>
  <c r="A182" i="4"/>
  <c r="I181" i="4"/>
  <c r="H181" i="4"/>
  <c r="G181" i="4"/>
  <c r="F181" i="4"/>
  <c r="E181" i="4"/>
  <c r="D181" i="4"/>
  <c r="C181" i="4"/>
  <c r="B181" i="4"/>
  <c r="A181" i="4"/>
  <c r="I180" i="4"/>
  <c r="H180" i="4"/>
  <c r="G180" i="4"/>
  <c r="F180" i="4"/>
  <c r="E180" i="4"/>
  <c r="D180" i="4"/>
  <c r="C180" i="4"/>
  <c r="B180" i="4"/>
  <c r="B55" i="4" s="1"/>
  <c r="A180" i="4"/>
  <c r="D179" i="4"/>
  <c r="C179" i="4"/>
  <c r="B179" i="4"/>
  <c r="A179" i="4"/>
  <c r="I178" i="4"/>
  <c r="H178" i="4"/>
  <c r="G178" i="4"/>
  <c r="F178" i="4"/>
  <c r="E178" i="4"/>
  <c r="D178" i="4"/>
  <c r="C178" i="4"/>
  <c r="B178" i="4"/>
  <c r="A178" i="4"/>
  <c r="I177" i="4"/>
  <c r="H177" i="4"/>
  <c r="G177" i="4"/>
  <c r="F177" i="4"/>
  <c r="E177" i="4"/>
  <c r="D177" i="4"/>
  <c r="C177" i="4"/>
  <c r="B177" i="4"/>
  <c r="A177" i="4"/>
  <c r="A176" i="4"/>
  <c r="A174" i="4"/>
  <c r="I173" i="4"/>
  <c r="H173" i="4"/>
  <c r="G173" i="4"/>
  <c r="F173" i="4"/>
  <c r="E173" i="4"/>
  <c r="D173" i="4"/>
  <c r="C173" i="4"/>
  <c r="B173" i="4"/>
  <c r="A173" i="4"/>
  <c r="I172" i="4"/>
  <c r="H172" i="4"/>
  <c r="G172" i="4"/>
  <c r="F172" i="4"/>
  <c r="E172" i="4"/>
  <c r="D172" i="4"/>
  <c r="C172" i="4"/>
  <c r="B172" i="4"/>
  <c r="A172" i="4"/>
  <c r="I171" i="4"/>
  <c r="H171" i="4"/>
  <c r="G171" i="4"/>
  <c r="F171" i="4"/>
  <c r="E171" i="4"/>
  <c r="D171" i="4"/>
  <c r="C171" i="4"/>
  <c r="B171" i="4"/>
  <c r="A171" i="4"/>
  <c r="A170" i="4"/>
  <c r="I169" i="4"/>
  <c r="H169" i="4"/>
  <c r="G169" i="4"/>
  <c r="F169" i="4"/>
  <c r="E169" i="4"/>
  <c r="D169" i="4"/>
  <c r="C169" i="4"/>
  <c r="B169" i="4"/>
  <c r="A168" i="4"/>
  <c r="F167" i="4"/>
  <c r="A167" i="4"/>
  <c r="A163" i="4"/>
  <c r="D162" i="4"/>
  <c r="C162" i="4"/>
  <c r="B162" i="4"/>
  <c r="A162" i="4"/>
  <c r="A160" i="4"/>
  <c r="I159" i="4"/>
  <c r="H159" i="4"/>
  <c r="G159" i="4"/>
  <c r="F159" i="4"/>
  <c r="E159" i="4"/>
  <c r="D159" i="4"/>
  <c r="C159" i="4"/>
  <c r="B159" i="4"/>
  <c r="A159" i="4"/>
  <c r="A157" i="4"/>
  <c r="I156" i="4"/>
  <c r="H156" i="4"/>
  <c r="G156" i="4"/>
  <c r="F156" i="4"/>
  <c r="E156" i="4"/>
  <c r="D156" i="4"/>
  <c r="C156" i="4"/>
  <c r="B156" i="4"/>
  <c r="A156" i="4"/>
  <c r="I155" i="4"/>
  <c r="H155" i="4"/>
  <c r="G155" i="4"/>
  <c r="F155" i="4"/>
  <c r="E155" i="4"/>
  <c r="D155" i="4"/>
  <c r="C155" i="4"/>
  <c r="B155" i="4"/>
  <c r="A155" i="4"/>
  <c r="A154" i="4"/>
  <c r="I153" i="4"/>
  <c r="H153" i="4"/>
  <c r="G153" i="4"/>
  <c r="F153" i="4"/>
  <c r="E153" i="4"/>
  <c r="D153" i="4"/>
  <c r="C153" i="4"/>
  <c r="B153" i="4"/>
  <c r="A153" i="4"/>
  <c r="I152" i="4"/>
  <c r="H152" i="4"/>
  <c r="G152" i="4"/>
  <c r="F152" i="4"/>
  <c r="E152" i="4"/>
  <c r="D152" i="4"/>
  <c r="C152" i="4"/>
  <c r="B152" i="4"/>
  <c r="A152" i="4"/>
  <c r="I151" i="4"/>
  <c r="H151" i="4"/>
  <c r="G151" i="4"/>
  <c r="F151" i="4"/>
  <c r="E151" i="4"/>
  <c r="D151" i="4"/>
  <c r="C151" i="4"/>
  <c r="B151" i="4"/>
  <c r="A151" i="4"/>
  <c r="I150" i="4"/>
  <c r="H150" i="4"/>
  <c r="G150" i="4"/>
  <c r="F150" i="4"/>
  <c r="E150" i="4"/>
  <c r="D150" i="4"/>
  <c r="C150" i="4"/>
  <c r="B150" i="4"/>
  <c r="A150" i="4"/>
  <c r="A148" i="4"/>
  <c r="A146" i="4"/>
  <c r="I145" i="4"/>
  <c r="H145" i="4"/>
  <c r="G145" i="4"/>
  <c r="F145" i="4"/>
  <c r="E145" i="4"/>
  <c r="D145" i="4"/>
  <c r="C145" i="4"/>
  <c r="B145" i="4"/>
  <c r="A145" i="4"/>
  <c r="A144" i="4"/>
  <c r="I143" i="4"/>
  <c r="H143" i="4"/>
  <c r="G143" i="4"/>
  <c r="F143" i="4"/>
  <c r="E143" i="4"/>
  <c r="D143" i="4"/>
  <c r="C143" i="4"/>
  <c r="B143" i="4"/>
  <c r="A143" i="4"/>
  <c r="I142" i="4"/>
  <c r="H142" i="4"/>
  <c r="G142" i="4"/>
  <c r="F142" i="4"/>
  <c r="E142" i="4"/>
  <c r="D142" i="4"/>
  <c r="C142" i="4"/>
  <c r="B142" i="4"/>
  <c r="A142" i="4"/>
  <c r="A140" i="4"/>
  <c r="A138" i="4"/>
  <c r="I137" i="4"/>
  <c r="H137" i="4"/>
  <c r="G137" i="4"/>
  <c r="F137" i="4"/>
  <c r="E137" i="4"/>
  <c r="D137" i="4"/>
  <c r="C137" i="4"/>
  <c r="B137" i="4"/>
  <c r="A137" i="4"/>
  <c r="I136" i="4"/>
  <c r="H136" i="4"/>
  <c r="G136" i="4"/>
  <c r="F136" i="4"/>
  <c r="E136" i="4"/>
  <c r="D136" i="4"/>
  <c r="C136" i="4"/>
  <c r="B136" i="4"/>
  <c r="A136" i="4"/>
  <c r="I135" i="4"/>
  <c r="H135" i="4"/>
  <c r="G135" i="4"/>
  <c r="F135" i="4"/>
  <c r="E135" i="4"/>
  <c r="D135" i="4"/>
  <c r="C135" i="4"/>
  <c r="B135" i="4"/>
  <c r="A135" i="4"/>
  <c r="A133" i="4"/>
  <c r="I132" i="4"/>
  <c r="H132" i="4"/>
  <c r="G132" i="4"/>
  <c r="F132" i="4"/>
  <c r="E132" i="4"/>
  <c r="D132" i="4"/>
  <c r="C132" i="4"/>
  <c r="B132" i="4"/>
  <c r="A132" i="4"/>
  <c r="I131" i="4"/>
  <c r="H131" i="4"/>
  <c r="G131" i="4"/>
  <c r="F131" i="4"/>
  <c r="E131" i="4"/>
  <c r="D131" i="4"/>
  <c r="C131" i="4"/>
  <c r="B131" i="4"/>
  <c r="A131" i="4"/>
  <c r="I130" i="4"/>
  <c r="H130" i="4"/>
  <c r="G130" i="4"/>
  <c r="G24" i="4" s="1"/>
  <c r="F130" i="4"/>
  <c r="F24" i="4" s="1"/>
  <c r="E130" i="4"/>
  <c r="D130" i="4"/>
  <c r="C130" i="4"/>
  <c r="B130" i="4"/>
  <c r="A130" i="4"/>
  <c r="I129" i="4"/>
  <c r="I23" i="4" s="1"/>
  <c r="H129" i="4"/>
  <c r="H23" i="4" s="1"/>
  <c r="G129" i="4"/>
  <c r="G23" i="4" s="1"/>
  <c r="F129" i="4"/>
  <c r="F23" i="4" s="1"/>
  <c r="E129" i="4"/>
  <c r="D129" i="4"/>
  <c r="C129" i="4"/>
  <c r="B129" i="4"/>
  <c r="A129" i="4"/>
  <c r="I128" i="4"/>
  <c r="H128" i="4"/>
  <c r="G128" i="4"/>
  <c r="F128" i="4"/>
  <c r="E128" i="4"/>
  <c r="D128" i="4"/>
  <c r="C128" i="4"/>
  <c r="B128" i="4"/>
  <c r="I127" i="4"/>
  <c r="H127" i="4"/>
  <c r="G127" i="4"/>
  <c r="F127" i="4"/>
  <c r="E127" i="4"/>
  <c r="D127" i="4"/>
  <c r="C127" i="4"/>
  <c r="B127" i="4"/>
  <c r="A127" i="4"/>
  <c r="A126" i="4"/>
  <c r="I125" i="4"/>
  <c r="H125" i="4"/>
  <c r="G125" i="4"/>
  <c r="F125" i="4"/>
  <c r="E125" i="4"/>
  <c r="D125" i="4"/>
  <c r="C125" i="4"/>
  <c r="B125" i="4"/>
  <c r="E121" i="4"/>
  <c r="D117" i="4"/>
  <c r="C117" i="4"/>
  <c r="B117" i="4"/>
  <c r="D116" i="4"/>
  <c r="C116" i="4"/>
  <c r="B116" i="4"/>
  <c r="D111" i="4"/>
  <c r="C111" i="4"/>
  <c r="C82" i="4" s="1"/>
  <c r="B111" i="4"/>
  <c r="A111" i="4" s="1"/>
  <c r="D105" i="4"/>
  <c r="C105" i="4"/>
  <c r="B105" i="4"/>
  <c r="E105" i="4" s="1"/>
  <c r="E104" i="4"/>
  <c r="E103" i="4"/>
  <c r="E102" i="4"/>
  <c r="E101" i="4"/>
  <c r="E100" i="4"/>
  <c r="E99" i="4"/>
  <c r="A99" i="4"/>
  <c r="E98" i="4"/>
  <c r="E97" i="4"/>
  <c r="D97" i="4"/>
  <c r="C97" i="4"/>
  <c r="A97" i="4" s="1"/>
  <c r="B97" i="4"/>
  <c r="E93" i="4"/>
  <c r="E92" i="4"/>
  <c r="E91" i="4"/>
  <c r="E90" i="4"/>
  <c r="D89" i="4"/>
  <c r="D94" i="4" s="1"/>
  <c r="D107" i="4" s="1"/>
  <c r="D82" i="4" s="1"/>
  <c r="C89" i="4"/>
  <c r="C94" i="4" s="1"/>
  <c r="C107" i="4" s="1"/>
  <c r="B89" i="4"/>
  <c r="E89" i="4" s="1"/>
  <c r="E88" i="4"/>
  <c r="E87" i="4"/>
  <c r="E86" i="4"/>
  <c r="D78" i="4"/>
  <c r="C78" i="4"/>
  <c r="B78" i="4"/>
  <c r="A74" i="4"/>
  <c r="I73" i="4"/>
  <c r="H73" i="4"/>
  <c r="G73" i="4"/>
  <c r="F73" i="4"/>
  <c r="E73" i="4"/>
  <c r="D73" i="4"/>
  <c r="C73" i="4"/>
  <c r="B73" i="4"/>
  <c r="I72" i="4"/>
  <c r="H72" i="4"/>
  <c r="G72" i="4"/>
  <c r="F72" i="4"/>
  <c r="E72" i="4"/>
  <c r="D72" i="4"/>
  <c r="C72" i="4"/>
  <c r="B72" i="4"/>
  <c r="I71" i="4"/>
  <c r="H71" i="4"/>
  <c r="G71" i="4"/>
  <c r="F71" i="4"/>
  <c r="E71" i="4"/>
  <c r="D71" i="4"/>
  <c r="C71" i="4"/>
  <c r="B71" i="4"/>
  <c r="I70" i="4"/>
  <c r="H70" i="4"/>
  <c r="G70" i="4"/>
  <c r="F70" i="4"/>
  <c r="E70" i="4"/>
  <c r="D70" i="4"/>
  <c r="C70" i="4"/>
  <c r="B70" i="4"/>
  <c r="C68" i="4"/>
  <c r="B68" i="4"/>
  <c r="I64" i="4"/>
  <c r="H64" i="4"/>
  <c r="G64" i="4"/>
  <c r="B64" i="4"/>
  <c r="H63" i="4"/>
  <c r="G63" i="4"/>
  <c r="D59" i="4"/>
  <c r="C59" i="4"/>
  <c r="B59" i="4"/>
  <c r="F54" i="4"/>
  <c r="E54" i="4"/>
  <c r="D54" i="4"/>
  <c r="I24" i="4"/>
  <c r="H24" i="4"/>
  <c r="E24" i="4"/>
  <c r="D24" i="4"/>
  <c r="C24" i="4"/>
  <c r="B24" i="4"/>
  <c r="E23" i="4"/>
  <c r="D23" i="4"/>
  <c r="C23" i="4"/>
  <c r="B23" i="4"/>
  <c r="C38" i="4" s="1"/>
  <c r="I18" i="4"/>
  <c r="H18" i="4"/>
  <c r="G18" i="4"/>
  <c r="F18" i="4"/>
  <c r="E18" i="4"/>
  <c r="D18" i="4"/>
  <c r="C18" i="4"/>
  <c r="B18" i="4"/>
  <c r="F15" i="4"/>
  <c r="A15" i="4"/>
  <c r="AA74" i="3"/>
  <c r="X74" i="3"/>
  <c r="W74" i="3"/>
  <c r="S74" i="3"/>
  <c r="M74" i="3"/>
  <c r="L74" i="3"/>
  <c r="H74" i="3"/>
  <c r="E74" i="3"/>
  <c r="D74" i="3"/>
  <c r="AC72" i="3"/>
  <c r="AB72" i="3"/>
  <c r="AA72" i="3"/>
  <c r="Z72" i="3"/>
  <c r="Z74" i="3" s="1"/>
  <c r="Y72" i="3"/>
  <c r="X72" i="3"/>
  <c r="W72" i="3"/>
  <c r="V72" i="3"/>
  <c r="U72" i="3"/>
  <c r="T72" i="3"/>
  <c r="S72" i="3"/>
  <c r="R72" i="3"/>
  <c r="R74" i="3" s="1"/>
  <c r="M72" i="3"/>
  <c r="L72" i="3"/>
  <c r="K72" i="3"/>
  <c r="J72" i="3"/>
  <c r="I72" i="3"/>
  <c r="H72" i="3"/>
  <c r="G72" i="3"/>
  <c r="G74" i="3" s="1"/>
  <c r="F72" i="3"/>
  <c r="E72" i="3"/>
  <c r="D72" i="3"/>
  <c r="C72" i="3"/>
  <c r="B72" i="3"/>
  <c r="AE70" i="3"/>
  <c r="O70" i="3"/>
  <c r="AE69" i="3"/>
  <c r="O69" i="3"/>
  <c r="AE68" i="3"/>
  <c r="O68" i="3"/>
  <c r="AE67" i="3"/>
  <c r="O67" i="3"/>
  <c r="AE66" i="3"/>
  <c r="O66" i="3"/>
  <c r="AE64" i="3"/>
  <c r="O64" i="3"/>
  <c r="AE63" i="3"/>
  <c r="O63" i="3"/>
  <c r="AE62" i="3"/>
  <c r="O62" i="3"/>
  <c r="AE61" i="3"/>
  <c r="O61" i="3"/>
  <c r="AE60" i="3"/>
  <c r="O60" i="3"/>
  <c r="AE59" i="3"/>
  <c r="O59" i="3"/>
  <c r="AE58" i="3"/>
  <c r="O58" i="3"/>
  <c r="AE57" i="3"/>
  <c r="O57" i="3"/>
  <c r="AE56" i="3"/>
  <c r="O56" i="3"/>
  <c r="AE55" i="3"/>
  <c r="O55" i="3"/>
  <c r="AE54" i="3"/>
  <c r="O54" i="3"/>
  <c r="AE53" i="3"/>
  <c r="O53" i="3"/>
  <c r="AE52" i="3"/>
  <c r="O52" i="3"/>
  <c r="AE51" i="3"/>
  <c r="O51" i="3"/>
  <c r="AE50" i="3"/>
  <c r="O50" i="3"/>
  <c r="AE49" i="3"/>
  <c r="O49" i="3"/>
  <c r="AE48" i="3"/>
  <c r="O48" i="3"/>
  <c r="AE47" i="3"/>
  <c r="O47" i="3"/>
  <c r="AE46" i="3"/>
  <c r="O46" i="3"/>
  <c r="AE45" i="3"/>
  <c r="O45" i="3"/>
  <c r="AE44" i="3"/>
  <c r="O44" i="3"/>
  <c r="AE43" i="3"/>
  <c r="O43" i="3"/>
  <c r="AE42" i="3"/>
  <c r="O42" i="3"/>
  <c r="AE41" i="3"/>
  <c r="O41" i="3"/>
  <c r="AE40" i="3"/>
  <c r="O40" i="3"/>
  <c r="AE39" i="3"/>
  <c r="O39" i="3"/>
  <c r="AE38" i="3"/>
  <c r="O38" i="3"/>
  <c r="AE37" i="3"/>
  <c r="O37" i="3"/>
  <c r="AE36" i="3"/>
  <c r="O36" i="3"/>
  <c r="AE35" i="3"/>
  <c r="O35" i="3"/>
  <c r="AE34" i="3"/>
  <c r="O34" i="3"/>
  <c r="AE33" i="3"/>
  <c r="O33" i="3"/>
  <c r="AE32" i="3"/>
  <c r="O32" i="3"/>
  <c r="O72" i="3" s="1"/>
  <c r="AE31" i="3"/>
  <c r="O31" i="3"/>
  <c r="AE30" i="3"/>
  <c r="O30" i="3"/>
  <c r="AE29" i="3"/>
  <c r="AE72" i="3" s="1"/>
  <c r="O29" i="3"/>
  <c r="AC26" i="3"/>
  <c r="AC74" i="3" s="1"/>
  <c r="AB26" i="3"/>
  <c r="AB74" i="3" s="1"/>
  <c r="AA26" i="3"/>
  <c r="Z26" i="3"/>
  <c r="Y26" i="3"/>
  <c r="Y74" i="3" s="1"/>
  <c r="X26" i="3"/>
  <c r="W26" i="3"/>
  <c r="V26" i="3"/>
  <c r="V74" i="3" s="1"/>
  <c r="U26" i="3"/>
  <c r="U74" i="3" s="1"/>
  <c r="T26" i="3"/>
  <c r="T74" i="3" s="1"/>
  <c r="S26" i="3"/>
  <c r="R26" i="3"/>
  <c r="M26" i="3"/>
  <c r="L26" i="3"/>
  <c r="K26" i="3"/>
  <c r="K74" i="3" s="1"/>
  <c r="J26" i="3"/>
  <c r="J74" i="3" s="1"/>
  <c r="I26" i="3"/>
  <c r="I74" i="3" s="1"/>
  <c r="H26" i="3"/>
  <c r="G26" i="3"/>
  <c r="F26" i="3"/>
  <c r="F74" i="3" s="1"/>
  <c r="E26" i="3"/>
  <c r="D26" i="3"/>
  <c r="C26" i="3"/>
  <c r="C74" i="3" s="1"/>
  <c r="B26" i="3"/>
  <c r="B74" i="3" s="1"/>
  <c r="AE24" i="3"/>
  <c r="O24" i="3"/>
  <c r="AE22" i="3"/>
  <c r="O22" i="3"/>
  <c r="AE21" i="3"/>
  <c r="O21" i="3"/>
  <c r="AE18" i="3"/>
  <c r="O18" i="3"/>
  <c r="AE17" i="3"/>
  <c r="O17" i="3"/>
  <c r="AE14" i="3"/>
  <c r="O14" i="3"/>
  <c r="AE13" i="3"/>
  <c r="O13" i="3"/>
  <c r="AE12" i="3"/>
  <c r="AE26" i="3" s="1"/>
  <c r="AE74" i="3" s="1"/>
  <c r="O12" i="3"/>
  <c r="O26" i="3" s="1"/>
  <c r="AE11" i="3"/>
  <c r="O11" i="3"/>
  <c r="C8" i="3"/>
  <c r="D8" i="3" s="1"/>
  <c r="E8" i="3" s="1"/>
  <c r="F8" i="3" s="1"/>
  <c r="G8" i="3" s="1"/>
  <c r="H8" i="3" s="1"/>
  <c r="I8" i="3" s="1"/>
  <c r="J8" i="3" s="1"/>
  <c r="K8" i="3" s="1"/>
  <c r="L8" i="3" s="1"/>
  <c r="M8" i="3" s="1"/>
  <c r="B77" i="3"/>
  <c r="O77" i="3" s="1"/>
  <c r="H377" i="4"/>
  <c r="G377" i="4"/>
  <c r="F377" i="4"/>
  <c r="I376" i="4"/>
  <c r="H376" i="4"/>
  <c r="G376" i="4"/>
  <c r="F376" i="4"/>
  <c r="E376" i="4"/>
  <c r="E373" i="4"/>
  <c r="I366" i="4"/>
  <c r="H366" i="4"/>
  <c r="G366" i="4"/>
  <c r="F366" i="4"/>
  <c r="E366" i="4"/>
  <c r="I365" i="4"/>
  <c r="H365" i="4"/>
  <c r="G365" i="4"/>
  <c r="F365" i="4"/>
  <c r="E365" i="4"/>
  <c r="I364" i="4"/>
  <c r="H364" i="4"/>
  <c r="G364" i="4"/>
  <c r="F364" i="4"/>
  <c r="E364" i="4"/>
  <c r="I363" i="4"/>
  <c r="H363" i="4"/>
  <c r="G363" i="4"/>
  <c r="F363" i="4"/>
  <c r="E363" i="4"/>
  <c r="H362" i="4"/>
  <c r="G362" i="4"/>
  <c r="F362" i="4"/>
  <c r="E362" i="4"/>
  <c r="G361" i="4"/>
  <c r="F361" i="4"/>
  <c r="E361" i="4"/>
  <c r="F360" i="4"/>
  <c r="E360" i="4"/>
  <c r="I359" i="4"/>
  <c r="E359" i="4"/>
  <c r="I358" i="4"/>
  <c r="I355" i="4"/>
  <c r="H355" i="4"/>
  <c r="G355" i="4"/>
  <c r="F355" i="4"/>
  <c r="E355" i="4"/>
  <c r="I354" i="4"/>
  <c r="H354" i="4"/>
  <c r="G354" i="4"/>
  <c r="F354" i="4"/>
  <c r="E354" i="4"/>
  <c r="I353" i="4"/>
  <c r="H353" i="4"/>
  <c r="G353" i="4"/>
  <c r="F353" i="4"/>
  <c r="E353" i="4"/>
  <c r="I348" i="4"/>
  <c r="H348" i="4"/>
  <c r="G348" i="4"/>
  <c r="F348" i="4"/>
  <c r="E348" i="4"/>
  <c r="I347" i="4"/>
  <c r="H347" i="4"/>
  <c r="G347" i="4"/>
  <c r="F347" i="4"/>
  <c r="E347" i="4"/>
  <c r="I346" i="4"/>
  <c r="H346" i="4"/>
  <c r="G346" i="4"/>
  <c r="F346" i="4"/>
  <c r="E346" i="4"/>
  <c r="I345" i="4"/>
  <c r="G345" i="4"/>
  <c r="F345" i="4"/>
  <c r="E345" i="4"/>
  <c r="I344" i="4"/>
  <c r="H344" i="4"/>
  <c r="G344" i="4"/>
  <c r="E344" i="4"/>
  <c r="B211" i="4"/>
  <c r="I201" i="4"/>
  <c r="H201" i="4"/>
  <c r="G201" i="4"/>
  <c r="F201" i="4"/>
  <c r="E201" i="4"/>
  <c r="D201" i="4"/>
  <c r="C201" i="4"/>
  <c r="B201" i="4"/>
  <c r="I190" i="4"/>
  <c r="H190" i="4"/>
  <c r="G190" i="4"/>
  <c r="F190" i="4"/>
  <c r="E190" i="4"/>
  <c r="D190" i="4"/>
  <c r="C190" i="4"/>
  <c r="B190" i="4"/>
  <c r="B182" i="4"/>
  <c r="I174" i="4"/>
  <c r="I262" i="4" s="1"/>
  <c r="B174" i="4"/>
  <c r="I162" i="4"/>
  <c r="H162" i="4"/>
  <c r="G162" i="4"/>
  <c r="F162" i="4"/>
  <c r="E162" i="4"/>
  <c r="H154" i="4"/>
  <c r="G154" i="4"/>
  <c r="G146" i="4"/>
  <c r="G47" i="4" s="1"/>
  <c r="F146" i="4"/>
  <c r="F47" i="4" s="1"/>
  <c r="E146" i="4"/>
  <c r="E47" i="4" s="1"/>
  <c r="D146" i="4"/>
  <c r="D47" i="4" s="1"/>
  <c r="C144" i="4"/>
  <c r="I138" i="4"/>
  <c r="I60" i="4" s="1"/>
  <c r="H138" i="4"/>
  <c r="H60" i="4" s="1"/>
  <c r="G138" i="4"/>
  <c r="G60" i="4" s="1"/>
  <c r="F138" i="4"/>
  <c r="F57" i="4" s="1"/>
  <c r="E138" i="4"/>
  <c r="E60" i="4" s="1"/>
  <c r="D138" i="4"/>
  <c r="D57" i="4" s="1"/>
  <c r="C138" i="4"/>
  <c r="B138" i="4"/>
  <c r="I133" i="4"/>
  <c r="I42" i="4" s="1"/>
  <c r="H133" i="4"/>
  <c r="H42" i="4" s="1"/>
  <c r="G133" i="4"/>
  <c r="G42" i="4" s="1"/>
  <c r="F133" i="4"/>
  <c r="F42" i="4" s="1"/>
  <c r="E133" i="4"/>
  <c r="E42" i="4" s="1"/>
  <c r="D133" i="4"/>
  <c r="D21" i="4" s="1"/>
  <c r="C133" i="4"/>
  <c r="B133" i="4"/>
  <c r="B42" i="4" s="1"/>
  <c r="B34" i="2"/>
  <c r="C239" i="4"/>
  <c r="I57" i="4" l="1"/>
  <c r="C42" i="4"/>
  <c r="G57" i="4"/>
  <c r="C248" i="4"/>
  <c r="B57" i="4"/>
  <c r="D42" i="4"/>
  <c r="E57" i="4"/>
  <c r="H54" i="4"/>
  <c r="D55" i="4"/>
  <c r="B51" i="4"/>
  <c r="B63" i="4"/>
  <c r="E358" i="4"/>
  <c r="F217" i="4"/>
  <c r="F226" i="4"/>
  <c r="E217" i="4"/>
  <c r="D51" i="4"/>
  <c r="H57" i="4"/>
  <c r="I54" i="4"/>
  <c r="G217" i="4"/>
  <c r="F64" i="4"/>
  <c r="G226" i="4"/>
  <c r="B54" i="4"/>
  <c r="G58" i="4"/>
  <c r="F358" i="4"/>
  <c r="C243" i="4"/>
  <c r="G243" i="4"/>
  <c r="E250" i="4"/>
  <c r="D248" i="4"/>
  <c r="F250" i="4"/>
  <c r="E248" i="4"/>
  <c r="D247" i="4"/>
  <c r="G250" i="4"/>
  <c r="F248" i="4"/>
  <c r="H250" i="4"/>
  <c r="G248" i="4"/>
  <c r="I250" i="4"/>
  <c r="H248" i="4"/>
  <c r="I248" i="4"/>
  <c r="B60" i="4"/>
  <c r="B248" i="4"/>
  <c r="C217" i="4"/>
  <c r="B78" i="3"/>
  <c r="C77" i="3" s="1"/>
  <c r="C78" i="3" s="1"/>
  <c r="E226" i="4"/>
  <c r="D239" i="4"/>
  <c r="I349" i="4"/>
  <c r="G54" i="4"/>
  <c r="B53" i="4"/>
  <c r="I243" i="4"/>
  <c r="E64" i="4"/>
  <c r="D63" i="4"/>
  <c r="H140" i="4"/>
  <c r="H28" i="4" s="1"/>
  <c r="I140" i="4"/>
  <c r="I28" i="4" s="1"/>
  <c r="D192" i="4"/>
  <c r="D41" i="4" s="1"/>
  <c r="D217" i="4"/>
  <c r="D257" i="4"/>
  <c r="D295" i="4"/>
  <c r="D43" i="4"/>
  <c r="D26" i="4"/>
  <c r="D25" i="4"/>
  <c r="D22" i="4"/>
  <c r="R8" i="3"/>
  <c r="S8" i="3" s="1"/>
  <c r="T8" i="3" s="1"/>
  <c r="U8" i="3" s="1"/>
  <c r="V8" i="3" s="1"/>
  <c r="W8" i="3" s="1"/>
  <c r="X8" i="3" s="1"/>
  <c r="Y8" i="3" s="1"/>
  <c r="Z8" i="3" s="1"/>
  <c r="AA8" i="3" s="1"/>
  <c r="AB8" i="3" s="1"/>
  <c r="AC8" i="3" s="1"/>
  <c r="AE8" i="3" s="1"/>
  <c r="O8" i="3"/>
  <c r="I45" i="4"/>
  <c r="I144" i="4"/>
  <c r="I251" i="4" s="1"/>
  <c r="O74" i="3"/>
  <c r="O78" i="3" s="1"/>
  <c r="B82" i="3"/>
  <c r="F289" i="4"/>
  <c r="B62" i="4"/>
  <c r="B66" i="4" s="1"/>
  <c r="E377" i="4"/>
  <c r="E59" i="4"/>
  <c r="E216" i="4"/>
  <c r="D174" i="4"/>
  <c r="D203" i="4"/>
  <c r="B67" i="4"/>
  <c r="F252" i="4"/>
  <c r="F264" i="4"/>
  <c r="F253" i="4"/>
  <c r="F267" i="4"/>
  <c r="F58" i="4"/>
  <c r="F32" i="4"/>
  <c r="F21" i="4"/>
  <c r="F258" i="4"/>
  <c r="F259" i="4" s="1"/>
  <c r="H144" i="4"/>
  <c r="H251" i="4" s="1"/>
  <c r="H45" i="4"/>
  <c r="B144" i="4"/>
  <c r="B251" i="4" s="1"/>
  <c r="B45" i="4"/>
  <c r="C182" i="4"/>
  <c r="C53" i="4" s="1"/>
  <c r="C192" i="4"/>
  <c r="C41" i="4" s="1"/>
  <c r="B267" i="4"/>
  <c r="B264" i="4"/>
  <c r="B258" i="4"/>
  <c r="B260" i="4" s="1"/>
  <c r="B253" i="4"/>
  <c r="B252" i="4"/>
  <c r="B250" i="4"/>
  <c r="B58" i="4"/>
  <c r="B21" i="4"/>
  <c r="B49" i="4" s="1"/>
  <c r="H358" i="4"/>
  <c r="F60" i="4"/>
  <c r="F268" i="4"/>
  <c r="B146" i="4"/>
  <c r="B47" i="4" s="1"/>
  <c r="I264" i="4"/>
  <c r="I253" i="4"/>
  <c r="I267" i="4"/>
  <c r="I258" i="4"/>
  <c r="I259" i="4" s="1"/>
  <c r="I58" i="4"/>
  <c r="I21" i="4"/>
  <c r="I252" i="4"/>
  <c r="D144" i="4"/>
  <c r="D251" i="4" s="1"/>
  <c r="D45" i="4"/>
  <c r="D46" i="4" s="1"/>
  <c r="G341" i="4"/>
  <c r="C58" i="4"/>
  <c r="C267" i="4"/>
  <c r="C258" i="4"/>
  <c r="C259" i="4" s="1"/>
  <c r="C250" i="4"/>
  <c r="C251" i="4"/>
  <c r="C252" i="4"/>
  <c r="C264" i="4"/>
  <c r="C253" i="4"/>
  <c r="C21" i="4"/>
  <c r="E144" i="4"/>
  <c r="E251" i="4" s="1"/>
  <c r="E45" i="4"/>
  <c r="H341" i="4"/>
  <c r="I154" i="4"/>
  <c r="I341" i="4"/>
  <c r="H216" i="4"/>
  <c r="G174" i="4"/>
  <c r="B126" i="4"/>
  <c r="B281" i="4"/>
  <c r="B81" i="2"/>
  <c r="B168" i="4" s="1"/>
  <c r="B17" i="4"/>
  <c r="D267" i="4"/>
  <c r="D258" i="4"/>
  <c r="D260" i="4" s="1"/>
  <c r="D58" i="4"/>
  <c r="D250" i="4"/>
  <c r="D252" i="4"/>
  <c r="D264" i="4"/>
  <c r="D253" i="4"/>
  <c r="D32" i="4"/>
  <c r="D60" i="4"/>
  <c r="D266" i="4"/>
  <c r="F144" i="4"/>
  <c r="F251" i="4" s="1"/>
  <c r="F45" i="4"/>
  <c r="H146" i="4"/>
  <c r="H47" i="4" s="1"/>
  <c r="E154" i="4"/>
  <c r="E341" i="4"/>
  <c r="B262" i="4"/>
  <c r="D289" i="4"/>
  <c r="F297" i="4"/>
  <c r="H345" i="4"/>
  <c r="H349" i="4"/>
  <c r="D243" i="4"/>
  <c r="E38" i="4"/>
  <c r="H252" i="4"/>
  <c r="H264" i="4"/>
  <c r="H253" i="4"/>
  <c r="H267" i="4"/>
  <c r="H258" i="4"/>
  <c r="H259" i="4" s="1"/>
  <c r="H58" i="4"/>
  <c r="H31" i="4"/>
  <c r="H21" i="4"/>
  <c r="G216" i="4"/>
  <c r="F174" i="4"/>
  <c r="D34" i="2"/>
  <c r="E258" i="4"/>
  <c r="E259" i="4" s="1"/>
  <c r="E252" i="4"/>
  <c r="E264" i="4"/>
  <c r="E253" i="4"/>
  <c r="E58" i="4"/>
  <c r="E32" i="4"/>
  <c r="E21" i="4"/>
  <c r="E37" i="4" s="1"/>
  <c r="E267" i="4"/>
  <c r="I146" i="4"/>
  <c r="I47" i="4" s="1"/>
  <c r="F154" i="4"/>
  <c r="F341" i="4"/>
  <c r="D216" i="4"/>
  <c r="C174" i="4"/>
  <c r="C203" i="4"/>
  <c r="B40" i="4"/>
  <c r="F344" i="4"/>
  <c r="F349" i="4"/>
  <c r="E349" i="4"/>
  <c r="H266" i="4"/>
  <c r="D182" i="4"/>
  <c r="D53" i="4" s="1"/>
  <c r="D56" i="4" s="1"/>
  <c r="E243" i="4"/>
  <c r="G45" i="4"/>
  <c r="F59" i="4"/>
  <c r="I266" i="4"/>
  <c r="I247" i="4"/>
  <c r="I268" i="4"/>
  <c r="H217" i="4"/>
  <c r="C34" i="2"/>
  <c r="C146" i="4"/>
  <c r="C47" i="4" s="1"/>
  <c r="F216" i="4"/>
  <c r="E174" i="4"/>
  <c r="F243" i="4"/>
  <c r="D38" i="4"/>
  <c r="G59" i="4"/>
  <c r="I63" i="4"/>
  <c r="B268" i="4"/>
  <c r="G21" i="4"/>
  <c r="G32" i="4"/>
  <c r="H59" i="4"/>
  <c r="B94" i="4"/>
  <c r="C60" i="4"/>
  <c r="C57" i="4"/>
  <c r="C266" i="4"/>
  <c r="C247" i="4"/>
  <c r="C268" i="4"/>
  <c r="I59" i="4"/>
  <c r="I377" i="4"/>
  <c r="H243" i="4"/>
  <c r="I38" i="4"/>
  <c r="F38" i="4"/>
  <c r="D64" i="4"/>
  <c r="D268" i="4"/>
  <c r="C64" i="4"/>
  <c r="C63" i="4"/>
  <c r="H226" i="4"/>
  <c r="C226" i="4"/>
  <c r="D226" i="4"/>
  <c r="H174" i="4"/>
  <c r="I216" i="4"/>
  <c r="G38" i="4"/>
  <c r="C45" i="4"/>
  <c r="C55" i="4"/>
  <c r="E268" i="4"/>
  <c r="G144" i="4"/>
  <c r="G251" i="4" s="1"/>
  <c r="G252" i="4"/>
  <c r="G264" i="4"/>
  <c r="G253" i="4"/>
  <c r="G267" i="4"/>
  <c r="G258" i="4"/>
  <c r="G260" i="4" s="1"/>
  <c r="G349" i="4"/>
  <c r="H38" i="4"/>
  <c r="E63" i="4"/>
  <c r="F266" i="4"/>
  <c r="C216" i="4"/>
  <c r="B114" i="4"/>
  <c r="C113" i="4" s="1"/>
  <c r="C114" i="4" s="1"/>
  <c r="D113" i="4" s="1"/>
  <c r="D114" i="4" s="1"/>
  <c r="E111" i="4"/>
  <c r="G266" i="4"/>
  <c r="E247" i="4"/>
  <c r="E266" i="4"/>
  <c r="G268" i="4"/>
  <c r="I226" i="4"/>
  <c r="F247" i="4"/>
  <c r="H268" i="4"/>
  <c r="I217" i="4"/>
  <c r="G247" i="4"/>
  <c r="H247" i="4"/>
  <c r="B247" i="4"/>
  <c r="B266" i="4"/>
  <c r="B259" i="4" l="1"/>
  <c r="C56" i="4"/>
  <c r="B56" i="4"/>
  <c r="B32" i="4"/>
  <c r="C265" i="4"/>
  <c r="D50" i="4"/>
  <c r="D265" i="4"/>
  <c r="C32" i="4"/>
  <c r="I31" i="4"/>
  <c r="E260" i="4"/>
  <c r="G259" i="4"/>
  <c r="I32" i="4"/>
  <c r="H260" i="4"/>
  <c r="H32" i="4"/>
  <c r="F260" i="4"/>
  <c r="H249" i="4"/>
  <c r="C260" i="4"/>
  <c r="D259" i="4"/>
  <c r="I260" i="4"/>
  <c r="I249" i="4"/>
  <c r="D296" i="4"/>
  <c r="C257" i="4"/>
  <c r="C242" i="4"/>
  <c r="C26" i="4"/>
  <c r="C25" i="4"/>
  <c r="C22" i="4"/>
  <c r="C43" i="4"/>
  <c r="C46" i="4"/>
  <c r="D37" i="4"/>
  <c r="C50" i="4"/>
  <c r="E335" i="4"/>
  <c r="E239" i="4"/>
  <c r="E34" i="2"/>
  <c r="C82" i="3"/>
  <c r="D77" i="3"/>
  <c r="D78" i="3" s="1"/>
  <c r="E367" i="4"/>
  <c r="E369" i="4"/>
  <c r="G140" i="4"/>
  <c r="F367" i="4"/>
  <c r="F369" i="4"/>
  <c r="E262" i="4"/>
  <c r="E242" i="4"/>
  <c r="D294" i="4"/>
  <c r="E257" i="4"/>
  <c r="E46" i="4"/>
  <c r="F37" i="4"/>
  <c r="E26" i="4"/>
  <c r="E25" i="4"/>
  <c r="E22" i="4"/>
  <c r="E43" i="4"/>
  <c r="F296" i="4"/>
  <c r="C262" i="4"/>
  <c r="D288" i="4"/>
  <c r="C49" i="4"/>
  <c r="H367" i="4"/>
  <c r="H369" i="4"/>
  <c r="F140" i="4"/>
  <c r="D292" i="4"/>
  <c r="H37" i="4"/>
  <c r="G257" i="4"/>
  <c r="G26" i="4"/>
  <c r="G25" i="4"/>
  <c r="G22" i="4"/>
  <c r="G242" i="4"/>
  <c r="G43" i="4"/>
  <c r="G46" i="4"/>
  <c r="H257" i="4"/>
  <c r="H242" i="4"/>
  <c r="H26" i="4"/>
  <c r="H25" i="4"/>
  <c r="H22" i="4"/>
  <c r="H43" i="4"/>
  <c r="H46" i="4"/>
  <c r="I37" i="4"/>
  <c r="B140" i="4"/>
  <c r="B31" i="4" s="1"/>
  <c r="D40" i="4"/>
  <c r="E140" i="4"/>
  <c r="F295" i="4"/>
  <c r="D287" i="4"/>
  <c r="D262" i="4"/>
  <c r="D49" i="4"/>
  <c r="D242" i="4"/>
  <c r="B192" i="4"/>
  <c r="B203" i="4"/>
  <c r="G262" i="4"/>
  <c r="H262" i="4"/>
  <c r="B107" i="4"/>
  <c r="E94" i="4"/>
  <c r="C140" i="4"/>
  <c r="C31" i="4" s="1"/>
  <c r="B279" i="4"/>
  <c r="D126" i="4"/>
  <c r="D81" i="2"/>
  <c r="D168" i="4" s="1"/>
  <c r="D17" i="4"/>
  <c r="D140" i="4"/>
  <c r="D31" i="4" s="1"/>
  <c r="I242" i="4"/>
  <c r="I46" i="4"/>
  <c r="I43" i="4"/>
  <c r="I257" i="4"/>
  <c r="I26" i="4"/>
  <c r="I25" i="4"/>
  <c r="I22" i="4"/>
  <c r="B257" i="4"/>
  <c r="D297" i="4"/>
  <c r="B26" i="4"/>
  <c r="B25" i="4"/>
  <c r="B22" i="4"/>
  <c r="B43" i="4"/>
  <c r="B46" i="4"/>
  <c r="C37" i="4"/>
  <c r="D293" i="4"/>
  <c r="F242" i="4"/>
  <c r="F257" i="4"/>
  <c r="F46" i="4"/>
  <c r="G37" i="4"/>
  <c r="F26" i="4"/>
  <c r="F25" i="4"/>
  <c r="F22" i="4"/>
  <c r="F43" i="4"/>
  <c r="C40" i="4"/>
  <c r="I367" i="4"/>
  <c r="I369" i="4"/>
  <c r="B280" i="4"/>
  <c r="C126" i="4"/>
  <c r="C17" i="4"/>
  <c r="C81" i="2"/>
  <c r="C168" i="4" s="1"/>
  <c r="F262" i="4"/>
  <c r="G367" i="4"/>
  <c r="G369" i="4"/>
  <c r="B41" i="4" l="1"/>
  <c r="B265" i="4"/>
  <c r="B50" i="4"/>
  <c r="G28" i="4"/>
  <c r="G31" i="4"/>
  <c r="G249" i="4"/>
  <c r="F28" i="4"/>
  <c r="F249" i="4"/>
  <c r="F31" i="4"/>
  <c r="E28" i="4"/>
  <c r="E31" i="4"/>
  <c r="E249" i="4"/>
  <c r="B148" i="4"/>
  <c r="B33" i="4" s="1"/>
  <c r="B249" i="4"/>
  <c r="B28" i="4"/>
  <c r="E126" i="4"/>
  <c r="B278" i="4"/>
  <c r="E81" i="2"/>
  <c r="E168" i="4" s="1"/>
  <c r="E17" i="4"/>
  <c r="B79" i="4" s="1"/>
  <c r="D82" i="3"/>
  <c r="E77" i="3"/>
  <c r="E78" i="3" s="1"/>
  <c r="C148" i="4"/>
  <c r="C33" i="4" s="1"/>
  <c r="G148" i="4"/>
  <c r="F335" i="4"/>
  <c r="F239" i="4"/>
  <c r="F34" i="2"/>
  <c r="H148" i="4"/>
  <c r="C249" i="4"/>
  <c r="C28" i="4"/>
  <c r="F148" i="4"/>
  <c r="D148" i="4"/>
  <c r="I148" i="4"/>
  <c r="D249" i="4"/>
  <c r="D28" i="4"/>
  <c r="A107" i="4"/>
  <c r="E107" i="4"/>
  <c r="B82" i="4"/>
  <c r="E148" i="4"/>
  <c r="D33" i="4" l="1"/>
  <c r="D68" i="4"/>
  <c r="F33" i="4"/>
  <c r="F68" i="4"/>
  <c r="I68" i="4"/>
  <c r="I33" i="4"/>
  <c r="E33" i="4"/>
  <c r="E68" i="4"/>
  <c r="G68" i="4"/>
  <c r="G33" i="4"/>
  <c r="H68" i="4"/>
  <c r="H33" i="4"/>
  <c r="I157" i="4"/>
  <c r="C157" i="4"/>
  <c r="G245" i="4"/>
  <c r="G246" i="4" s="1"/>
  <c r="G29" i="4"/>
  <c r="B292" i="4" s="1"/>
  <c r="D157" i="4"/>
  <c r="B277" i="4"/>
  <c r="F126" i="4"/>
  <c r="F17" i="4"/>
  <c r="C79" i="4" s="1"/>
  <c r="F81" i="2"/>
  <c r="F168" i="4" s="1"/>
  <c r="C245" i="4"/>
  <c r="C246" i="4" s="1"/>
  <c r="C29" i="4"/>
  <c r="E157" i="4"/>
  <c r="E245" i="4"/>
  <c r="E246" i="4" s="1"/>
  <c r="E29" i="4"/>
  <c r="B294" i="4" s="1"/>
  <c r="F245" i="4"/>
  <c r="F246" i="4" s="1"/>
  <c r="F29" i="4"/>
  <c r="B293" i="4" s="1"/>
  <c r="G157" i="4"/>
  <c r="H157" i="4"/>
  <c r="I245" i="4"/>
  <c r="I246" i="4" s="1"/>
  <c r="I29" i="4"/>
  <c r="H245" i="4"/>
  <c r="H246" i="4" s="1"/>
  <c r="H29" i="4"/>
  <c r="E82" i="4"/>
  <c r="A82" i="4"/>
  <c r="D245" i="4"/>
  <c r="D246" i="4" s="1"/>
  <c r="D29" i="4"/>
  <c r="E82" i="3"/>
  <c r="F77" i="3"/>
  <c r="F78" i="3" s="1"/>
  <c r="F157" i="4"/>
  <c r="G335" i="4"/>
  <c r="G239" i="4"/>
  <c r="G34" i="2"/>
  <c r="B157" i="4"/>
  <c r="B245" i="4"/>
  <c r="B246" i="4" s="1"/>
  <c r="B29" i="4"/>
  <c r="B297" i="4" l="1"/>
  <c r="B255" i="4"/>
  <c r="B295" i="4"/>
  <c r="D255" i="4"/>
  <c r="B296" i="4"/>
  <c r="C255" i="4"/>
  <c r="B254" i="4"/>
  <c r="B289" i="4"/>
  <c r="D281" i="4" s="1"/>
  <c r="B288" i="4"/>
  <c r="B287" i="4"/>
  <c r="B276" i="4"/>
  <c r="G126" i="4"/>
  <c r="G17" i="4"/>
  <c r="D79" i="4" s="1"/>
  <c r="G7" i="2"/>
  <c r="G81" i="2"/>
  <c r="G168" i="4" s="1"/>
  <c r="G160" i="4"/>
  <c r="G30" i="4" s="1"/>
  <c r="G34" i="4" s="1"/>
  <c r="H160" i="4"/>
  <c r="H30" i="4" s="1"/>
  <c r="H34" i="4" s="1"/>
  <c r="B286" i="4"/>
  <c r="C160" i="4"/>
  <c r="C30" i="4" s="1"/>
  <c r="C34" i="4" s="1"/>
  <c r="F160" i="4"/>
  <c r="F30" i="4" s="1"/>
  <c r="F34" i="4" s="1"/>
  <c r="E160" i="4"/>
  <c r="E30" i="4" s="1"/>
  <c r="E34" i="4" s="1"/>
  <c r="B284" i="4"/>
  <c r="B285" i="4"/>
  <c r="B160" i="4"/>
  <c r="B163" i="4"/>
  <c r="G77" i="3"/>
  <c r="G78" i="3" s="1"/>
  <c r="F82" i="3"/>
  <c r="I160" i="4"/>
  <c r="I30" i="4" s="1"/>
  <c r="I34" i="4" s="1"/>
  <c r="D160" i="4"/>
  <c r="D30" i="4" s="1"/>
  <c r="D34" i="4" s="1"/>
  <c r="D163" i="4"/>
  <c r="H335" i="4"/>
  <c r="H239" i="4"/>
  <c r="H34" i="2"/>
  <c r="B30" i="4" l="1"/>
  <c r="B34" i="4" s="1"/>
  <c r="B35" i="4"/>
  <c r="H126" i="4"/>
  <c r="H17" i="4"/>
  <c r="H81" i="2"/>
  <c r="H168" i="4" s="1"/>
  <c r="I163" i="4"/>
  <c r="H77" i="3"/>
  <c r="H78" i="3" s="1"/>
  <c r="G82" i="3"/>
  <c r="F163" i="4"/>
  <c r="G163" i="4"/>
  <c r="C163" i="4"/>
  <c r="I335" i="4"/>
  <c r="I239" i="4"/>
  <c r="I34" i="2"/>
  <c r="E163" i="4"/>
  <c r="H163" i="4"/>
  <c r="F65" i="4" l="1"/>
  <c r="F339" i="4"/>
  <c r="F351" i="4"/>
  <c r="H339" i="4"/>
  <c r="H65" i="4"/>
  <c r="H351" i="4"/>
  <c r="C210" i="4"/>
  <c r="C211" i="4"/>
  <c r="C254" i="4" s="1"/>
  <c r="I65" i="4"/>
  <c r="I339" i="4"/>
  <c r="I351" i="4"/>
  <c r="I77" i="3"/>
  <c r="I78" i="3" s="1"/>
  <c r="H82" i="3"/>
  <c r="E339" i="4"/>
  <c r="E65" i="4"/>
  <c r="E351" i="4"/>
  <c r="G339" i="4"/>
  <c r="G351" i="4"/>
  <c r="G65" i="4"/>
  <c r="I126" i="4"/>
  <c r="I81" i="2"/>
  <c r="I168" i="4" s="1"/>
  <c r="I17" i="4"/>
  <c r="E119" i="4" l="1"/>
  <c r="I82" i="3"/>
  <c r="J77" i="3"/>
  <c r="J78" i="3" s="1"/>
  <c r="H371" i="4"/>
  <c r="E371" i="4"/>
  <c r="F288" i="4"/>
  <c r="D280" i="4" s="1"/>
  <c r="C62" i="4"/>
  <c r="C66" i="4" s="1"/>
  <c r="C67" i="4"/>
  <c r="C35" i="4"/>
  <c r="F371" i="4"/>
  <c r="G371" i="4"/>
  <c r="D210" i="4"/>
  <c r="D211" i="4"/>
  <c r="D254" i="4" s="1"/>
  <c r="I371" i="4"/>
  <c r="E210" i="4" l="1"/>
  <c r="E211" i="4"/>
  <c r="E254" i="4" s="1"/>
  <c r="H374" i="4"/>
  <c r="E374" i="4"/>
  <c r="I374" i="4"/>
  <c r="F374" i="4"/>
  <c r="J82" i="3"/>
  <c r="K77" i="3"/>
  <c r="K78" i="3" s="1"/>
  <c r="G374" i="4"/>
  <c r="F287" i="4"/>
  <c r="D279" i="4" s="1"/>
  <c r="D62" i="4"/>
  <c r="D66" i="4" s="1"/>
  <c r="D67" i="4"/>
  <c r="D35" i="4"/>
  <c r="E179" i="4" l="1"/>
  <c r="E378" i="4"/>
  <c r="F373" i="4"/>
  <c r="H378" i="4"/>
  <c r="H179" i="4"/>
  <c r="I373" i="4"/>
  <c r="E62" i="4"/>
  <c r="E66" i="4" s="1"/>
  <c r="E67" i="4"/>
  <c r="F286" i="4"/>
  <c r="E35" i="4"/>
  <c r="F378" i="4"/>
  <c r="F179" i="4"/>
  <c r="G373" i="4"/>
  <c r="G378" i="4"/>
  <c r="G179" i="4"/>
  <c r="H373" i="4"/>
  <c r="F210" i="4"/>
  <c r="F211" i="4"/>
  <c r="F254" i="4" s="1"/>
  <c r="I378" i="4"/>
  <c r="I179" i="4"/>
  <c r="K82" i="3"/>
  <c r="L77" i="3"/>
  <c r="L78" i="3" s="1"/>
  <c r="G55" i="4" l="1"/>
  <c r="G51" i="4"/>
  <c r="H55" i="4"/>
  <c r="H51" i="4"/>
  <c r="I55" i="4"/>
  <c r="I51" i="4"/>
  <c r="F55" i="4"/>
  <c r="F51" i="4"/>
  <c r="E55" i="4"/>
  <c r="E51" i="4"/>
  <c r="G210" i="4"/>
  <c r="G211" i="4"/>
  <c r="G254" i="4" s="1"/>
  <c r="F182" i="4"/>
  <c r="H182" i="4"/>
  <c r="F62" i="4"/>
  <c r="F66" i="4" s="1"/>
  <c r="F285" i="4"/>
  <c r="F67" i="4"/>
  <c r="F35" i="4"/>
  <c r="L82" i="3"/>
  <c r="M77" i="3"/>
  <c r="M78" i="3" s="1"/>
  <c r="G182" i="4"/>
  <c r="E182" i="4"/>
  <c r="I182" i="4"/>
  <c r="E53" i="4" l="1"/>
  <c r="E56" i="4" s="1"/>
  <c r="D286" i="4"/>
  <c r="D278" i="4" s="1"/>
  <c r="E40" i="4"/>
  <c r="E49" i="4"/>
  <c r="E255" i="4"/>
  <c r="F294" i="4"/>
  <c r="E192" i="4"/>
  <c r="E203" i="4"/>
  <c r="H53" i="4"/>
  <c r="H56" i="4" s="1"/>
  <c r="H40" i="4"/>
  <c r="H255" i="4"/>
  <c r="H49" i="4"/>
  <c r="G53" i="4"/>
  <c r="G56" i="4" s="1"/>
  <c r="D284" i="4"/>
  <c r="D276" i="4" s="1"/>
  <c r="F292" i="4"/>
  <c r="G40" i="4"/>
  <c r="G255" i="4"/>
  <c r="G49" i="4"/>
  <c r="F53" i="4"/>
  <c r="F56" i="4" s="1"/>
  <c r="F49" i="4"/>
  <c r="D285" i="4"/>
  <c r="D277" i="4" s="1"/>
  <c r="F40" i="4"/>
  <c r="F255" i="4"/>
  <c r="F293" i="4"/>
  <c r="G192" i="4"/>
  <c r="G203" i="4"/>
  <c r="F192" i="4"/>
  <c r="F203" i="4"/>
  <c r="I192" i="4"/>
  <c r="I203" i="4"/>
  <c r="H210" i="4"/>
  <c r="H211" i="4"/>
  <c r="H254" i="4" s="1"/>
  <c r="H192" i="4"/>
  <c r="H203" i="4"/>
  <c r="M82" i="3"/>
  <c r="R77" i="3"/>
  <c r="I53" i="4"/>
  <c r="I56" i="4" s="1"/>
  <c r="I49" i="4"/>
  <c r="I40" i="4"/>
  <c r="I255" i="4"/>
  <c r="G62" i="4"/>
  <c r="G66" i="4" s="1"/>
  <c r="F284" i="4"/>
  <c r="G67" i="4"/>
  <c r="G35" i="4"/>
  <c r="I41" i="4" l="1"/>
  <c r="I265" i="4"/>
  <c r="I50" i="4"/>
  <c r="E41" i="4"/>
  <c r="E265" i="4"/>
  <c r="E50" i="4"/>
  <c r="F41" i="4"/>
  <c r="F265" i="4"/>
  <c r="F50" i="4"/>
  <c r="H41" i="4"/>
  <c r="H265" i="4"/>
  <c r="H50" i="4"/>
  <c r="G41" i="4"/>
  <c r="G265" i="4"/>
  <c r="G50" i="4"/>
  <c r="I210" i="4"/>
  <c r="I211" i="4"/>
  <c r="I254" i="4" s="1"/>
  <c r="AE77" i="3"/>
  <c r="AE78" i="3" s="1"/>
  <c r="R78" i="3"/>
  <c r="H62" i="4"/>
  <c r="H66" i="4" s="1"/>
  <c r="H67" i="4"/>
  <c r="H35" i="4"/>
  <c r="S77" i="3" l="1"/>
  <c r="S78" i="3" s="1"/>
  <c r="R82" i="3"/>
  <c r="I62" i="4"/>
  <c r="I66" i="4" s="1"/>
  <c r="I67" i="4"/>
  <c r="I35" i="4"/>
  <c r="T77" i="3" l="1"/>
  <c r="T78" i="3" s="1"/>
  <c r="S82" i="3"/>
  <c r="T82" i="3" l="1"/>
  <c r="U77" i="3"/>
  <c r="U78" i="3" s="1"/>
  <c r="U82" i="3" l="1"/>
  <c r="V77" i="3"/>
  <c r="V78" i="3" s="1"/>
  <c r="V82" i="3" l="1"/>
  <c r="W77" i="3"/>
  <c r="W78" i="3" s="1"/>
  <c r="W82" i="3" l="1"/>
  <c r="X77" i="3"/>
  <c r="X78" i="3" s="1"/>
  <c r="X82" i="3" l="1"/>
  <c r="Y77" i="3"/>
  <c r="Y78" i="3" s="1"/>
  <c r="Y82" i="3" l="1"/>
  <c r="Z77" i="3"/>
  <c r="Z78" i="3" s="1"/>
  <c r="AA77" i="3" l="1"/>
  <c r="AA78" i="3" s="1"/>
  <c r="Z82" i="3"/>
  <c r="AB77" i="3" l="1"/>
  <c r="AB78" i="3" s="1"/>
  <c r="AA82" i="3"/>
  <c r="AB82" i="3" l="1"/>
  <c r="AC77" i="3"/>
  <c r="AC78" i="3" s="1"/>
  <c r="AC8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Lucey</author>
    <author>tearly</author>
    <author>Michael Browne</author>
  </authors>
  <commentList>
    <comment ref="E84" authorId="0" shapeId="0" xr:uid="{430B6D50-4012-4EAF-9C21-3EE22DAE787C}">
      <text>
        <r>
          <rPr>
            <b/>
            <sz val="8"/>
            <color indexed="81"/>
            <rFont val="Tahoma"/>
            <family val="2"/>
          </rPr>
          <t xml:space="preserve">Intangible Asset </t>
        </r>
        <r>
          <rPr>
            <sz val="8"/>
            <color indexed="81"/>
            <rFont val="Tahoma"/>
            <family val="2"/>
          </rPr>
          <t>purchases should be inputted in the additional information table above on line 69 and capitalised R&amp;D on line 62</t>
        </r>
      </text>
    </comment>
    <comment ref="F84" authorId="0" shapeId="0" xr:uid="{8297DF30-F6C5-4849-84A2-A2E26A8BFF8A}">
      <text>
        <r>
          <rPr>
            <b/>
            <sz val="8"/>
            <color indexed="81"/>
            <rFont val="Tahoma"/>
            <family val="2"/>
          </rPr>
          <t xml:space="preserve">Intangible Asset </t>
        </r>
        <r>
          <rPr>
            <sz val="8"/>
            <color indexed="81"/>
            <rFont val="Tahoma"/>
            <family val="2"/>
          </rPr>
          <t>purchases should be inputted in the additional information table above on line 69 and capitalised R&amp;D on line 62</t>
        </r>
      </text>
    </comment>
    <comment ref="G84" authorId="0" shapeId="0" xr:uid="{B879EB25-4089-444D-A1E2-F21DE5457058}">
      <text>
        <r>
          <rPr>
            <b/>
            <sz val="8"/>
            <color indexed="81"/>
            <rFont val="Tahoma"/>
            <family val="2"/>
          </rPr>
          <t xml:space="preserve">Intangible Asset </t>
        </r>
        <r>
          <rPr>
            <sz val="8"/>
            <color indexed="81"/>
            <rFont val="Tahoma"/>
            <family val="2"/>
          </rPr>
          <t>purchases should be inputted in the additional information table above on line 69 and capitalised R&amp;D on line 62</t>
        </r>
      </text>
    </comment>
    <comment ref="E85" authorId="0" shapeId="0" xr:uid="{3A4B409C-5704-4831-96F2-80F3C172B36C}">
      <text>
        <r>
          <rPr>
            <b/>
            <sz val="8"/>
            <color indexed="81"/>
            <rFont val="Tahoma"/>
            <family val="2"/>
          </rPr>
          <t xml:space="preserve">Tangible Asset </t>
        </r>
        <r>
          <rPr>
            <sz val="8"/>
            <color indexed="81"/>
            <rFont val="Tahoma"/>
            <family val="2"/>
          </rPr>
          <t>purchases should be inputted in the additional information table above between lines 66 - 68</t>
        </r>
      </text>
    </comment>
    <comment ref="F85" authorId="0" shapeId="0" xr:uid="{F8C7D817-E4EC-415F-80F0-7123ECA8A365}">
      <text>
        <r>
          <rPr>
            <b/>
            <sz val="8"/>
            <color indexed="81"/>
            <rFont val="Tahoma"/>
            <family val="2"/>
          </rPr>
          <t xml:space="preserve">Tangible Asset </t>
        </r>
        <r>
          <rPr>
            <sz val="8"/>
            <color indexed="81"/>
            <rFont val="Tahoma"/>
            <family val="2"/>
          </rPr>
          <t>purchases should be inputted in the additional information table above between lines 66 - 68</t>
        </r>
      </text>
    </comment>
    <comment ref="G85" authorId="0" shapeId="0" xr:uid="{6960F2F7-B156-421A-990B-BA8666EBE13D}">
      <text>
        <r>
          <rPr>
            <b/>
            <sz val="8"/>
            <color indexed="81"/>
            <rFont val="Tahoma"/>
            <family val="2"/>
          </rPr>
          <t xml:space="preserve">Tangible Asset </t>
        </r>
        <r>
          <rPr>
            <sz val="8"/>
            <color indexed="81"/>
            <rFont val="Tahoma"/>
            <family val="2"/>
          </rPr>
          <t>purchases should be inputted in the additional information table above between lines 66 - 68</t>
        </r>
      </text>
    </comment>
    <comment ref="E92" authorId="0" shapeId="0" xr:uid="{BE75C0C2-1CA1-4E1E-AF7C-2E7EFDC78CEB}">
      <text>
        <r>
          <rPr>
            <sz val="8"/>
            <color indexed="81"/>
            <rFont val="Tahoma"/>
            <family val="2"/>
          </rPr>
          <t>This is automatically calculated in the funding table below</t>
        </r>
      </text>
    </comment>
    <comment ref="F92" authorId="0" shapeId="0" xr:uid="{BC6127F3-AF68-4078-A28E-7C48C01E14DF}">
      <text>
        <r>
          <rPr>
            <sz val="8"/>
            <color indexed="81"/>
            <rFont val="Tahoma"/>
            <family val="2"/>
          </rPr>
          <t>This is automatically calculated in the funding table below</t>
        </r>
      </text>
    </comment>
    <comment ref="G92" authorId="0" shapeId="0" xr:uid="{1D1D3417-3017-4A83-B22C-F2A5854D9D04}">
      <text>
        <r>
          <rPr>
            <sz val="8"/>
            <color indexed="81"/>
            <rFont val="Tahoma"/>
            <family val="2"/>
          </rPr>
          <t>This is automatically calculated in the funding table below</t>
        </r>
      </text>
    </comment>
    <comment ref="E122" authorId="1" shapeId="0" xr:uid="{0FD17E64-0476-415E-9F01-924B2A454BC4}">
      <text>
        <r>
          <rPr>
            <sz val="8"/>
            <color indexed="81"/>
            <rFont val="Tahoma"/>
            <family val="2"/>
          </rPr>
          <t>This is automatically calculated from the inputs in the cash flow below</t>
        </r>
        <r>
          <rPr>
            <sz val="8"/>
            <color indexed="81"/>
            <rFont val="Tahoma"/>
            <family val="2"/>
          </rPr>
          <t xml:space="preserve">
</t>
        </r>
      </text>
    </comment>
    <comment ref="F122" authorId="1" shapeId="0" xr:uid="{623DF230-BC56-4AA3-9F8B-FED50A2A29EB}">
      <text>
        <r>
          <rPr>
            <sz val="8"/>
            <color indexed="81"/>
            <rFont val="Tahoma"/>
            <family val="2"/>
          </rPr>
          <t>This is automatically calculated from the inputs in the cash flow below</t>
        </r>
        <r>
          <rPr>
            <b/>
            <sz val="8"/>
            <color indexed="81"/>
            <rFont val="Tahoma"/>
            <family val="2"/>
          </rPr>
          <t xml:space="preserve">
</t>
        </r>
      </text>
    </comment>
    <comment ref="G122" authorId="1" shapeId="0" xr:uid="{B56B70BD-CB8E-4918-A1C5-686529F71C36}">
      <text>
        <r>
          <rPr>
            <sz val="8"/>
            <color indexed="81"/>
            <rFont val="Tahoma"/>
            <family val="2"/>
          </rPr>
          <t xml:space="preserve">This is automatically calculated from the inputs in the cash flow below
</t>
        </r>
      </text>
    </comment>
    <comment ref="D131" authorId="2" shapeId="0" xr:uid="{4A74B04B-A1D4-4308-AD71-FC884D5F269D}">
      <text>
        <r>
          <rPr>
            <b/>
            <sz val="8"/>
            <color indexed="81"/>
            <rFont val="Tahoma"/>
            <family val="2"/>
          </rPr>
          <t>See Note 6 on 'Instructions' Sheet.</t>
        </r>
        <r>
          <rPr>
            <sz val="8"/>
            <color indexed="81"/>
            <rFont val="Tahoma"/>
            <family val="2"/>
          </rPr>
          <t xml:space="preserve">
This is the latest accounting period which has elapsed, regardless of whether audited accounts are available.  If greater than 10 months actual information is available then please use as the base year</t>
        </r>
      </text>
    </comment>
    <comment ref="E131" authorId="1" shapeId="0" xr:uid="{4916BDAC-3F39-4223-B1BB-E62715795384}">
      <text>
        <r>
          <rPr>
            <b/>
            <sz val="8"/>
            <color indexed="81"/>
            <rFont val="Tahoma"/>
            <family val="2"/>
          </rPr>
          <t xml:space="preserve">This is the current Financial Year.  </t>
        </r>
        <r>
          <rPr>
            <sz val="8"/>
            <color indexed="81"/>
            <rFont val="Tahoma"/>
            <family val="2"/>
          </rPr>
          <t xml:space="preserve">
if at least 10 months of actual information is available in the current financial year, then there is a reasonable expectation that the company will meet its end of year projections.  In these situations the company should use the current financial year as the base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200-00000A000000}">
      <text>
        <r>
          <rPr>
            <sz val="11"/>
            <color rgb="FF000000"/>
            <rFont val="Calibri"/>
            <family val="2"/>
            <charset val="1"/>
          </rPr>
          <t>Date is automatically calculated based on the input from the previous sheet</t>
        </r>
      </text>
    </comment>
    <comment ref="A11" authorId="0" shapeId="0" xr:uid="{00000000-0006-0000-0200-000001000000}">
      <text>
        <r>
          <rPr>
            <sz val="11"/>
            <color rgb="FF000000"/>
            <rFont val="Calibri"/>
            <family val="2"/>
            <charset val="1"/>
          </rPr>
          <t>Insert sales receipts as positive.  - separate sales into those supported by Invoice Discounting and those that are cash received directly from customers</t>
        </r>
      </text>
    </comment>
    <comment ref="Q11" authorId="0" shapeId="0" xr:uid="{00000000-0006-0000-0200-00000B000000}">
      <text>
        <r>
          <rPr>
            <sz val="11"/>
            <color rgb="FF000000"/>
            <rFont val="Calibri"/>
            <family val="2"/>
            <charset val="1"/>
          </rPr>
          <t>Insert sales receipts as positive.  - separate sales into those supported by Invoice Discounting and those that are cash received directly from customers</t>
        </r>
      </text>
    </comment>
    <comment ref="A12" authorId="0" shapeId="0" xr:uid="{00000000-0006-0000-0200-000002000000}">
      <text>
        <r>
          <rPr>
            <sz val="11"/>
            <color rgb="FF000000"/>
            <rFont val="Calibri"/>
            <family val="2"/>
            <charset val="1"/>
          </rPr>
          <t xml:space="preserve">Windows User:
</t>
        </r>
        <r>
          <rPr>
            <sz val="9"/>
            <color rgb="FF000000"/>
            <rFont val="Tahoma"/>
            <family val="2"/>
            <charset val="1"/>
          </rPr>
          <t>It should be noted these inputs have the effect of cumulating the Invoice Discounting Facilities in use.  To prevent the cumulative effects of this progression an input is required on corresponding Invoice Discounting Payments at Line 64</t>
        </r>
      </text>
    </comment>
    <comment ref="Q12" authorId="0" shapeId="0" xr:uid="{00000000-0006-0000-0200-00000C000000}">
      <text>
        <r>
          <rPr>
            <sz val="11"/>
            <color rgb="FF000000"/>
            <rFont val="Calibri"/>
            <family val="2"/>
            <charset val="1"/>
          </rPr>
          <t xml:space="preserve">Windows User:
</t>
        </r>
        <r>
          <rPr>
            <sz val="9"/>
            <color rgb="FF000000"/>
            <rFont val="Tahoma"/>
            <family val="2"/>
            <charset val="1"/>
          </rPr>
          <t>It should be noted these inputs have the effect of cumulating the Invoice Discounting Facilities in use.  To prevent the cumulative effects of this progression an input is required on corresponding Invoice Discounting Payments at Line 64</t>
        </r>
      </text>
    </comment>
    <comment ref="A20" authorId="0" shapeId="0" xr:uid="{00000000-0006-0000-0200-000003000000}">
      <text>
        <r>
          <rPr>
            <sz val="11"/>
            <color rgb="FF000000"/>
            <rFont val="Calibri"/>
            <family val="2"/>
            <charset val="1"/>
          </rPr>
          <t xml:space="preserve">Insert monies received from non EI sources e.g. Promoter Equity or other investors
</t>
        </r>
      </text>
    </comment>
    <comment ref="Q20" authorId="0" shapeId="0" xr:uid="{00000000-0006-0000-0200-00000D000000}">
      <text>
        <r>
          <rPr>
            <sz val="11"/>
            <color rgb="FF000000"/>
            <rFont val="Calibri"/>
            <family val="2"/>
            <charset val="1"/>
          </rPr>
          <t xml:space="preserve">Insert monies received from non EI sources e.g. Promoter Equity or other investors
</t>
        </r>
      </text>
    </comment>
    <comment ref="A24" authorId="0" shapeId="0" xr:uid="{00000000-0006-0000-0200-000004000000}">
      <text>
        <r>
          <rPr>
            <sz val="11"/>
            <color rgb="FF000000"/>
            <rFont val="Calibri"/>
            <family val="2"/>
            <charset val="1"/>
          </rPr>
          <t>Insert Money received from EI e.g. Equity or Grants</t>
        </r>
      </text>
    </comment>
    <comment ref="Q24" authorId="0" shapeId="0" xr:uid="{00000000-0006-0000-0200-00000E000000}">
      <text>
        <r>
          <rPr>
            <sz val="11"/>
            <color rgb="FF000000"/>
            <rFont val="Calibri"/>
            <family val="2"/>
            <charset val="1"/>
          </rPr>
          <t>Insert Money received from EI e.g. Equity or Grants</t>
        </r>
      </text>
    </comment>
    <comment ref="A29" authorId="0" shapeId="0" xr:uid="{00000000-0006-0000-0200-000005000000}">
      <text>
        <r>
          <rPr>
            <sz val="11"/>
            <color rgb="FF000000"/>
            <rFont val="Calibri"/>
            <family val="2"/>
            <charset val="1"/>
          </rPr>
          <t>Insert payments as positive figures.</t>
        </r>
      </text>
    </comment>
    <comment ref="Q29" authorId="0" shapeId="0" xr:uid="{00000000-0006-0000-0200-00000F000000}">
      <text>
        <r>
          <rPr>
            <sz val="11"/>
            <color rgb="FF000000"/>
            <rFont val="Calibri"/>
            <family val="2"/>
            <charset val="1"/>
          </rPr>
          <t>Insert payments as positive figures.</t>
        </r>
      </text>
    </comment>
    <comment ref="A30" authorId="0" shapeId="0" xr:uid="{00000000-0006-0000-0200-000006000000}">
      <text>
        <r>
          <rPr>
            <sz val="11"/>
            <color rgb="FF000000"/>
            <rFont val="Calibri"/>
            <family val="2"/>
            <charset val="1"/>
          </rPr>
          <t>Exclude capitalised R&amp;D and capture below in Capital Investment</t>
        </r>
      </text>
    </comment>
    <comment ref="Q30" authorId="0" shapeId="0" xr:uid="{00000000-0006-0000-0200-000010000000}">
      <text>
        <r>
          <rPr>
            <sz val="11"/>
            <color rgb="FF000000"/>
            <rFont val="Calibri"/>
            <family val="2"/>
            <charset val="1"/>
          </rPr>
          <t>Exclude capitalised R&amp;D and capture below in Capital Investment</t>
        </r>
      </text>
    </comment>
    <comment ref="A36" authorId="0" shapeId="0" xr:uid="{00000000-0006-0000-0200-000007000000}">
      <text>
        <r>
          <rPr>
            <sz val="11"/>
            <color rgb="FF000000"/>
            <rFont val="Calibri"/>
            <family val="2"/>
            <charset val="1"/>
          </rPr>
          <t xml:space="preserve">Insert (cash) overhead expenses here.
</t>
        </r>
      </text>
    </comment>
    <comment ref="Q36" authorId="0" shapeId="0" xr:uid="{00000000-0006-0000-0200-000011000000}">
      <text>
        <r>
          <rPr>
            <sz val="11"/>
            <color rgb="FF000000"/>
            <rFont val="Calibri"/>
            <family val="2"/>
            <charset val="1"/>
          </rPr>
          <t xml:space="preserve">Insert (cash) overhead expenses here.
</t>
        </r>
      </text>
    </comment>
    <comment ref="A77" authorId="0" shapeId="0" xr:uid="{00000000-0006-0000-0200-000008000000}">
      <text>
        <r>
          <rPr>
            <sz val="11"/>
            <color rgb="FF000000"/>
            <rFont val="Calibri"/>
            <family val="2"/>
            <charset val="1"/>
          </rPr>
          <t>Insert opening cash balance at beginning of year.
Enter negative cash position (e.g. overdraft) as a negative</t>
        </r>
        <r>
          <rPr>
            <sz val="8"/>
            <color rgb="FF000000"/>
            <rFont val="Tahoma"/>
            <family val="2"/>
            <charset val="1"/>
          </rPr>
          <t xml:space="preserve">. </t>
        </r>
      </text>
    </comment>
    <comment ref="Q77" authorId="0" shapeId="0" xr:uid="{00000000-0006-0000-0200-000012000000}">
      <text>
        <r>
          <rPr>
            <sz val="11"/>
            <color rgb="FF000000"/>
            <rFont val="Calibri"/>
            <family val="2"/>
            <charset val="1"/>
          </rPr>
          <t>Insert opening cash balance at beginning of year.
Enter negative cash position (e.g. overdraft) as a negative</t>
        </r>
        <r>
          <rPr>
            <sz val="8"/>
            <color rgb="FF000000"/>
            <rFont val="Tahoma"/>
            <family val="2"/>
            <charset val="1"/>
          </rPr>
          <t xml:space="preserve">. </t>
        </r>
      </text>
    </comment>
    <comment ref="A82" authorId="0" shapeId="0" xr:uid="{00000000-0006-0000-0200-000009000000}">
      <text>
        <r>
          <rPr>
            <sz val="11"/>
            <color rgb="FF000000"/>
            <rFont val="Calibri"/>
            <family val="2"/>
            <charset val="1"/>
          </rPr>
          <t xml:space="preserve">This calculation nets the available cash and bank facilities available to the Company i.e. cash plus sanctioned overdraft/debt facilities. If the Company is overdrawn this is taken from the available facilities.
</t>
        </r>
        <r>
          <rPr>
            <sz val="8"/>
            <color rgb="FF000000"/>
            <rFont val="Tahoma"/>
            <family val="2"/>
            <charset val="1"/>
          </rPr>
          <t xml:space="preserve"> 
</t>
        </r>
      </text>
    </comment>
    <comment ref="Q82" authorId="0" shapeId="0" xr:uid="{00000000-0006-0000-0200-000013000000}">
      <text>
        <r>
          <rPr>
            <sz val="11"/>
            <color rgb="FF000000"/>
            <rFont val="Calibri"/>
            <family val="2"/>
            <charset val="1"/>
          </rPr>
          <t xml:space="preserve">This calculation nets the available cash and bank facilities available to the Company i.e. cash plus sanctioned overdraft/debt facilities. If the Company is overdrawn this is taken from the available facilities.
</t>
        </r>
        <r>
          <rPr>
            <sz val="8"/>
            <color rgb="FF000000"/>
            <rFont val="Tahoma"/>
            <family val="2"/>
            <charset val="1"/>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9" authorId="0" shapeId="0" xr:uid="{00000000-0006-0000-0300-000001000000}">
      <text>
        <r>
          <rPr>
            <sz val="11"/>
            <color rgb="FF000000"/>
            <rFont val="Calibri"/>
            <family val="2"/>
            <charset val="1"/>
          </rPr>
          <t>Earnings Before Interest, Taxes, Depreciation and Amortisation -  used to analyse and compare profitability between companies and industries because it eliminates the effects of financing and accounting decisions</t>
        </r>
      </text>
    </comment>
    <comment ref="A49" authorId="0" shapeId="0" xr:uid="{00000000-0006-0000-0300-000002000000}">
      <text>
        <r>
          <rPr>
            <sz val="11"/>
            <color rgb="FF000000"/>
            <rFont val="Calibri"/>
            <family val="2"/>
            <charset val="1"/>
          </rPr>
          <t xml:space="preserve">Revenue / Assets
</t>
        </r>
        <r>
          <rPr>
            <sz val="8"/>
            <color rgb="FF000000"/>
            <rFont val="Tahoma"/>
            <family val="2"/>
            <charset val="1"/>
          </rPr>
          <t xml:space="preserve">Asset turnover measures a firm's efficiency at using its assets in generating sales or revenue - the higher the number the better. It also indicates pricing strategy: companies with low profit margins tend to have high asset turnover, while those with high profit margins have low asset turnover. 
</t>
        </r>
        <r>
          <rPr>
            <b/>
            <sz val="8"/>
            <color rgb="FF000000"/>
            <rFont val="Tahoma"/>
            <family val="2"/>
            <charset val="1"/>
          </rPr>
          <t xml:space="preserve">
</t>
        </r>
      </text>
    </comment>
    <comment ref="A50" authorId="0" shapeId="0" xr:uid="{00000000-0006-0000-0300-000003000000}">
      <text>
        <r>
          <rPr>
            <sz val="11"/>
            <color rgb="FF000000"/>
            <rFont val="Calibri"/>
            <family val="2"/>
            <charset val="1"/>
          </rPr>
          <t xml:space="preserve">Sales / Net Current Assets - shows the productivity of the  company's current assets
</t>
        </r>
      </text>
    </comment>
    <comment ref="A53" authorId="0" shapeId="0" xr:uid="{00000000-0006-0000-0300-000004000000}">
      <text>
        <r>
          <rPr>
            <sz val="11"/>
            <color rgb="FF000000"/>
            <rFont val="Calibri"/>
            <family val="2"/>
            <charset val="1"/>
          </rPr>
          <t xml:space="preserve">Sum of Investory, Debtors &amp; prepayments less Creditors &amp; Accruals </t>
        </r>
      </text>
    </comment>
    <comment ref="A57" authorId="0" shapeId="0" xr:uid="{00000000-0006-0000-0300-000005000000}">
      <text>
        <r>
          <rPr>
            <sz val="11"/>
            <color rgb="FF000000"/>
            <rFont val="Calibri"/>
            <family val="2"/>
            <charset val="1"/>
          </rPr>
          <t>Purchases / Inventory -</t>
        </r>
        <r>
          <rPr>
            <sz val="8"/>
            <color rgb="FF000000"/>
            <rFont val="Tahoma"/>
            <family val="2"/>
            <charset val="1"/>
          </rPr>
          <t xml:space="preserve"> Stock turnover measures how well a company coverts stock into revenues </t>
        </r>
      </text>
    </comment>
    <comment ref="A63" authorId="0" shapeId="0" xr:uid="{00000000-0006-0000-0300-000006000000}">
      <text>
        <r>
          <rPr>
            <sz val="11"/>
            <color rgb="FF000000"/>
            <rFont val="Calibri"/>
            <family val="2"/>
            <charset val="1"/>
          </rPr>
          <t>Including Connected parties &amp; contingent Liabilities</t>
        </r>
      </text>
    </comment>
    <comment ref="A66" authorId="0" shapeId="0" xr:uid="{00000000-0006-0000-0300-000007000000}">
      <text>
        <r>
          <rPr>
            <sz val="11"/>
            <color rgb="FF000000"/>
            <rFont val="Calibri"/>
            <family val="2"/>
            <charset val="1"/>
          </rPr>
          <t xml:space="preserve">Debt / Equity 
A measure of a company's financial leverage calculated by dividing its total liabilities by stockholders' equity. It indicates what proportion of equity and debt the company is using to finance its assets.
</t>
        </r>
        <r>
          <rPr>
            <b/>
            <sz val="8"/>
            <color rgb="FF000000"/>
            <rFont val="Tahoma"/>
            <family val="2"/>
            <charset val="1"/>
          </rPr>
          <t>NB Shareholder Loans &amp; EI Pref shares are treated as equity</t>
        </r>
      </text>
    </comment>
    <comment ref="A68" authorId="0" shapeId="0" xr:uid="{00000000-0006-0000-0300-000008000000}">
      <text>
        <r>
          <rPr>
            <sz val="11"/>
            <color rgb="FF000000"/>
            <rFont val="Calibri"/>
            <family val="2"/>
            <charset val="1"/>
          </rPr>
          <t xml:space="preserve">Operating Profit ÷ Interest Payable
</t>
        </r>
      </text>
    </comment>
    <comment ref="A121" authorId="0" shapeId="0" xr:uid="{00000000-0006-0000-0300-000009000000}">
      <text>
        <r>
          <rPr>
            <sz val="11"/>
            <color rgb="FF000000"/>
            <rFont val="Calibri"/>
            <family val="2"/>
            <charset val="1"/>
          </rPr>
          <t>This includes operational inflow and outflow, capital expenditure, and the repayment of financing</t>
        </r>
      </text>
    </comment>
    <comment ref="A217" authorId="0" shapeId="0" xr:uid="{00000000-0006-0000-0300-00000A000000}">
      <text>
        <r>
          <rPr>
            <sz val="11"/>
            <color rgb="FF000000"/>
            <rFont val="Calibri"/>
            <family val="2"/>
            <charset val="1"/>
          </rPr>
          <t>Please note this captures the net movement in loans only</t>
        </r>
      </text>
    </comment>
    <comment ref="A218" authorId="0" shapeId="0" xr:uid="{00000000-0006-0000-0300-00000B000000}">
      <text>
        <r>
          <rPr>
            <sz val="11"/>
            <color rgb="FF000000"/>
            <rFont val="Calibri"/>
            <family val="2"/>
            <charset val="1"/>
          </rPr>
          <t>This is a calculated field and relates to the movement in figures as captured in the balance sheet - please note it capture the net effect only</t>
        </r>
      </text>
    </comment>
    <comment ref="A219" authorId="0" shapeId="0" xr:uid="{00000000-0006-0000-0300-00000C000000}">
      <text>
        <r>
          <rPr>
            <sz val="11"/>
            <color rgb="FF000000"/>
            <rFont val="Calibri"/>
            <family val="2"/>
            <charset val="1"/>
          </rPr>
          <t>This is a calculated field and relates to the movement in figures as captured in the balance sheet - please note it capture the net effect only</t>
        </r>
      </text>
    </comment>
    <comment ref="A220" authorId="0" shapeId="0" xr:uid="{00000000-0006-0000-0300-00000D000000}">
      <text>
        <r>
          <rPr>
            <sz val="11"/>
            <color rgb="FF000000"/>
            <rFont val="Calibri"/>
            <family val="2"/>
            <charset val="1"/>
          </rPr>
          <t>This is a calculated field and relates to the movement in figures as captured in the balance sheet - please note it capture the net effect only</t>
        </r>
      </text>
    </comment>
    <comment ref="A221" authorId="0" shapeId="0" xr:uid="{00000000-0006-0000-0300-00000E000000}">
      <text>
        <r>
          <rPr>
            <sz val="11"/>
            <color rgb="FF000000"/>
            <rFont val="Calibri"/>
            <family val="2"/>
            <charset val="1"/>
          </rPr>
          <t>This is a calculated field and relates to the movement in figures as captured in the balance sheet - please note it capture the net effect only</t>
        </r>
      </text>
    </comment>
    <comment ref="A222" authorId="0" shapeId="0" xr:uid="{00000000-0006-0000-0300-00000F000000}">
      <text>
        <r>
          <rPr>
            <sz val="11"/>
            <color rgb="FF000000"/>
            <rFont val="Calibri"/>
            <family val="2"/>
            <charset val="1"/>
          </rPr>
          <t>This is a calculated field and relates to the movement in figures as captured in the balance sheet - please note it capture the net effect only</t>
        </r>
      </text>
    </comment>
    <comment ref="A223" authorId="0" shapeId="0" xr:uid="{00000000-0006-0000-0300-000010000000}">
      <text>
        <r>
          <rPr>
            <sz val="11"/>
            <color rgb="FF000000"/>
            <rFont val="Calibri"/>
            <family val="2"/>
            <charset val="1"/>
          </rPr>
          <t>This is a calculated field and relates to the movement in figures as captured in the balance sheet - please note it capture the net effect only</t>
        </r>
      </text>
    </comment>
    <comment ref="A224" authorId="0" shapeId="0" xr:uid="{00000000-0006-0000-0300-000011000000}">
      <text>
        <r>
          <rPr>
            <sz val="11"/>
            <color rgb="FF000000"/>
            <rFont val="Calibri"/>
            <family val="2"/>
            <charset val="1"/>
          </rPr>
          <t>This is a calculated field and relates to the movement in figures as captured in the balance sheet - please note it capture the net effect only</t>
        </r>
      </text>
    </comment>
    <comment ref="A226" authorId="0" shapeId="0" xr:uid="{00000000-0006-0000-0300-000012000000}">
      <text>
        <r>
          <rPr>
            <sz val="11"/>
            <color rgb="FF000000"/>
            <rFont val="Calibri"/>
            <family val="2"/>
            <charset val="1"/>
          </rPr>
          <t>Please note this captures the net movement in loans only</t>
        </r>
      </text>
    </comment>
    <comment ref="A227" authorId="0" shapeId="0" xr:uid="{00000000-0006-0000-0300-000013000000}">
      <text>
        <r>
          <rPr>
            <sz val="11"/>
            <color rgb="FF000000"/>
            <rFont val="Calibri"/>
            <family val="2"/>
            <charset val="1"/>
          </rPr>
          <t>This is a calculated field and relates to the movement in figures as captured in the balance sheet - please note it capture the net effect only</t>
        </r>
      </text>
    </comment>
    <comment ref="A228" authorId="0" shapeId="0" xr:uid="{00000000-0006-0000-0300-000014000000}">
      <text>
        <r>
          <rPr>
            <sz val="11"/>
            <color rgb="FF000000"/>
            <rFont val="Calibri"/>
            <family val="2"/>
            <charset val="1"/>
          </rPr>
          <t xml:space="preserve">This is a calculated field and relates to the movement in figures as captured in the balance sheet - please note it capture the net effect only
</t>
        </r>
      </text>
    </comment>
    <comment ref="A229" authorId="0" shapeId="0" xr:uid="{00000000-0006-0000-0300-000015000000}">
      <text>
        <r>
          <rPr>
            <sz val="11"/>
            <color rgb="FF000000"/>
            <rFont val="Calibri"/>
            <family val="2"/>
            <charset val="1"/>
          </rPr>
          <t xml:space="preserve">This is a calculated field and relates to the movement in figures as captured in the balance sheet - please note it capture the net effect only
</t>
        </r>
      </text>
    </comment>
    <comment ref="A230" authorId="0" shapeId="0" xr:uid="{00000000-0006-0000-0300-000016000000}">
      <text>
        <r>
          <rPr>
            <sz val="11"/>
            <color rgb="FF000000"/>
            <rFont val="Calibri"/>
            <family val="2"/>
            <charset val="1"/>
          </rPr>
          <t>This is a calculated field and relates to the movement in figures as captured in the balance sheet - please note it capture the net effect only</t>
        </r>
      </text>
    </comment>
    <comment ref="A231" authorId="0" shapeId="0" xr:uid="{00000000-0006-0000-0300-000017000000}">
      <text>
        <r>
          <rPr>
            <sz val="11"/>
            <color rgb="FF000000"/>
            <rFont val="Calibri"/>
            <family val="2"/>
            <charset val="1"/>
          </rPr>
          <t>This is a calculated field and relates to the movement in figures as captured in the balance sheet - please note it capture the net effect only</t>
        </r>
      </text>
    </comment>
    <comment ref="A232" authorId="0" shapeId="0" xr:uid="{00000000-0006-0000-0300-000018000000}">
      <text>
        <r>
          <rPr>
            <sz val="11"/>
            <color rgb="FF000000"/>
            <rFont val="Calibri"/>
            <family val="2"/>
            <charset val="1"/>
          </rPr>
          <t>This is a calculated field and relates to the movement in figures as captured in the balance sheet - please note it capture the net effect only</t>
        </r>
      </text>
    </comment>
    <comment ref="A233" authorId="0" shapeId="0" xr:uid="{00000000-0006-0000-0300-000019000000}">
      <text>
        <r>
          <rPr>
            <sz val="11"/>
            <color rgb="FF000000"/>
            <rFont val="Calibri"/>
            <family val="2"/>
            <charset val="1"/>
          </rPr>
          <t>This is a calculated field and relates to the movement in figures as captured in the balance sheet - please note it capture the net effect only</t>
        </r>
      </text>
    </comment>
    <comment ref="A254" authorId="0" shapeId="0" xr:uid="{00000000-0006-0000-0300-00001A000000}">
      <text>
        <r>
          <rPr>
            <sz val="11"/>
            <color rgb="FF000000"/>
            <rFont val="Calibri"/>
            <family val="2"/>
            <charset val="1"/>
          </rPr>
          <t xml:space="preserve">PBIT / (S/H funds + non-current liabilities) </t>
        </r>
        <r>
          <rPr>
            <sz val="8"/>
            <color rgb="FF000000"/>
            <rFont val="Tahoma"/>
            <family val="2"/>
            <charset val="1"/>
          </rPr>
          <t>A ratio that indicates the efficiency and profitability of a company's capital investments</t>
        </r>
      </text>
    </comment>
    <comment ref="A255" authorId="0" shapeId="0" xr:uid="{00000000-0006-0000-0300-00001B000000}">
      <text>
        <r>
          <rPr>
            <sz val="11"/>
            <color rgb="FF000000"/>
            <rFont val="Calibri"/>
            <family val="2"/>
            <charset val="1"/>
          </rPr>
          <t xml:space="preserve">See separate sheet "ROI" for a detailed breakdown: EBITDA/Total Assets (Fixed + Current Assets) or alternative view is EBITDA margin * (Sales/Total assets) </t>
        </r>
      </text>
    </comment>
    <comment ref="A258" authorId="0" shapeId="0" xr:uid="{00000000-0006-0000-0300-00001C000000}">
      <text>
        <r>
          <rPr>
            <sz val="11"/>
            <color rgb="FF000000"/>
            <rFont val="Calibri"/>
            <family val="2"/>
            <charset val="1"/>
          </rPr>
          <t xml:space="preserve">This is Sales Less Purchases
</t>
        </r>
      </text>
    </comment>
  </commentList>
</comments>
</file>

<file path=xl/sharedStrings.xml><?xml version="1.0" encoding="utf-8"?>
<sst xmlns="http://schemas.openxmlformats.org/spreadsheetml/2006/main" count="603" uniqueCount="381">
  <si>
    <t>Sample Company information Sheet to capture financial and accounts information</t>
  </si>
  <si>
    <t>This template is based on a publicly available document, used by companies to secure Investment funding</t>
  </si>
  <si>
    <t>Instructions</t>
  </si>
  <si>
    <r>
      <rPr>
        <sz val="9"/>
        <rFont val="Arial"/>
        <family val="2"/>
        <charset val="1"/>
      </rPr>
      <t xml:space="preserve">The </t>
    </r>
    <r>
      <rPr>
        <b/>
        <sz val="9"/>
        <rFont val="Arial"/>
        <family val="2"/>
        <charset val="1"/>
      </rPr>
      <t>D</t>
    </r>
    <r>
      <rPr>
        <sz val="9"/>
        <rFont val="Arial"/>
        <family val="2"/>
        <charset val="1"/>
      </rPr>
      <t xml:space="preserve">ata </t>
    </r>
    <r>
      <rPr>
        <b/>
        <sz val="9"/>
        <rFont val="Arial"/>
        <family val="2"/>
        <charset val="1"/>
      </rPr>
      <t>S</t>
    </r>
    <r>
      <rPr>
        <sz val="9"/>
        <rFont val="Arial"/>
        <family val="2"/>
        <charset val="1"/>
      </rPr>
      <t>heet is used by to generate a standard financial model and</t>
    </r>
  </si>
  <si>
    <t>to calculate standard financial ratios. It is also employed to compute an economic cost benefit ratio.</t>
  </si>
  <si>
    <t>The sheet is based on a publicly available document but has been simplified to showcase the Business Rules project</t>
  </si>
  <si>
    <r>
      <rPr>
        <b/>
        <sz val="9"/>
        <rFont val="Arial"/>
        <family val="2"/>
        <charset val="1"/>
      </rPr>
      <t>Please do not</t>
    </r>
    <r>
      <rPr>
        <sz val="9"/>
        <rFont val="Arial"/>
        <family val="2"/>
        <charset val="1"/>
      </rPr>
      <t xml:space="preserve"> </t>
    </r>
    <r>
      <rPr>
        <b/>
        <sz val="9"/>
        <rFont val="Arial"/>
        <family val="2"/>
        <charset val="1"/>
      </rPr>
      <t>insert</t>
    </r>
    <r>
      <rPr>
        <sz val="9"/>
        <rFont val="Arial"/>
        <family val="2"/>
        <charset val="1"/>
      </rPr>
      <t xml:space="preserve"> additional rows or columns nor </t>
    </r>
    <r>
      <rPr>
        <b/>
        <sz val="9"/>
        <rFont val="Arial"/>
        <family val="2"/>
        <charset val="1"/>
      </rPr>
      <t>delete</t>
    </r>
    <r>
      <rPr>
        <sz val="9"/>
        <rFont val="Arial"/>
        <family val="2"/>
        <charset val="1"/>
      </rPr>
      <t xml:space="preserve"> existing ones.  Doing so may distort the results of</t>
    </r>
  </si>
  <si>
    <t>the financial model and financial ratios.</t>
  </si>
  <si>
    <t>All monetary figures should be entered in thousands of Euro (€000's).</t>
  </si>
  <si>
    <r>
      <rPr>
        <sz val="9"/>
        <rFont val="Arial"/>
        <family val="2"/>
        <charset val="1"/>
      </rPr>
      <t xml:space="preserve">Please fill in all applicable cells on </t>
    </r>
    <r>
      <rPr>
        <b/>
        <sz val="9"/>
        <rFont val="Arial"/>
        <family val="2"/>
        <charset val="1"/>
      </rPr>
      <t>Cashflow and Accounts tabs as instructed below</t>
    </r>
    <r>
      <rPr>
        <sz val="9"/>
        <rFont val="Arial"/>
        <family val="2"/>
        <charset val="1"/>
      </rPr>
      <t xml:space="preserve"> leaving non-relevant cells empty.</t>
    </r>
  </si>
  <si>
    <r>
      <rPr>
        <b/>
        <sz val="9"/>
        <rFont val="Arial"/>
        <family val="2"/>
        <charset val="1"/>
      </rPr>
      <t xml:space="preserve">        Accounts Tab (</t>
    </r>
    <r>
      <rPr>
        <b/>
        <sz val="9"/>
        <color rgb="FFFF0000"/>
        <rFont val="Arial"/>
        <family val="2"/>
        <charset val="1"/>
      </rPr>
      <t>for applications over €150k only</t>
    </r>
    <r>
      <rPr>
        <b/>
        <sz val="9"/>
        <rFont val="Arial"/>
        <family val="2"/>
        <charset val="1"/>
      </rPr>
      <t xml:space="preserve">) </t>
    </r>
    <r>
      <rPr>
        <sz val="9"/>
        <rFont val="Arial"/>
        <family val="2"/>
        <charset val="1"/>
      </rPr>
      <t>contains historic and projected financial information, including P&amp;L and Balance Sheets.</t>
    </r>
  </si>
  <si>
    <r>
      <rPr>
        <b/>
        <sz val="9"/>
        <rFont val="Arial"/>
        <family val="2"/>
        <charset val="1"/>
      </rPr>
      <t xml:space="preserve">        Cashflow ab (</t>
    </r>
    <r>
      <rPr>
        <b/>
        <sz val="9"/>
        <color rgb="FFFF0000"/>
        <rFont val="Arial"/>
        <family val="2"/>
        <charset val="1"/>
      </rPr>
      <t xml:space="preserve">for all applications </t>
    </r>
    <r>
      <rPr>
        <b/>
        <sz val="9"/>
        <rFont val="Arial"/>
        <family val="2"/>
        <charset val="1"/>
      </rPr>
      <t>)</t>
    </r>
    <r>
      <rPr>
        <sz val="9"/>
        <rFont val="Arial"/>
        <family val="2"/>
        <charset val="1"/>
      </rPr>
      <t xml:space="preserve"> contains a pro-forma monthly cash flow for the next 24 months</t>
    </r>
  </si>
  <si>
    <r>
      <rPr>
        <sz val="9"/>
        <rFont val="Arial"/>
        <family val="2"/>
        <charset val="1"/>
      </rPr>
      <t xml:space="preserve">The </t>
    </r>
    <r>
      <rPr>
        <b/>
        <sz val="9"/>
        <rFont val="Arial"/>
        <family val="2"/>
        <charset val="1"/>
      </rPr>
      <t>Base year</t>
    </r>
    <r>
      <rPr>
        <sz val="9"/>
        <rFont val="Arial"/>
        <family val="2"/>
        <charset val="1"/>
      </rPr>
      <t xml:space="preserve"> is normally selected as the latest accounting period which has elapsed, regardless of</t>
    </r>
  </si>
  <si>
    <t xml:space="preserve">whether audited accounts are available.  </t>
  </si>
  <si>
    <t xml:space="preserve">Please ensure that the totals of the Balance Sheet are balanced i.e. that the Net Assets in each year equal the total of the 'Financed By' section. </t>
  </si>
  <si>
    <t>Additional clarification for each field is available by placing the mouse cursor over all cells with a red triangle located in the upper right corner</t>
  </si>
  <si>
    <t>Colour Key</t>
  </si>
  <si>
    <t>White cells represent areas available for Company input.</t>
  </si>
  <si>
    <t>Blue shading represents automatically calculated formulae [password protected].</t>
  </si>
  <si>
    <t>Blue shading represents cells requiring input from Enterprise Ireland staff.</t>
  </si>
  <si>
    <t>Company Name</t>
  </si>
  <si>
    <t>Single Entity</t>
  </si>
  <si>
    <t>Information required prior to completing Profit &amp; Loss and Balance Sheet sections</t>
  </si>
  <si>
    <t>Base Year-2</t>
  </si>
  <si>
    <t>Base Year-1</t>
  </si>
  <si>
    <t>Base Year</t>
  </si>
  <si>
    <t>Current Year</t>
  </si>
  <si>
    <t>Base Year+2</t>
  </si>
  <si>
    <t>Base Year+3</t>
  </si>
  <si>
    <t>Base Year+4</t>
  </si>
  <si>
    <t>Base Year+5</t>
  </si>
  <si>
    <t>Year End</t>
  </si>
  <si>
    <t>No. of Global Employees @ y/e (incl Irish employment)</t>
  </si>
  <si>
    <t>No. of Irish Based Employees @ y/e</t>
  </si>
  <si>
    <t>No. of Global R&amp;D Employees @y/e</t>
  </si>
  <si>
    <t>No. of Irish Based R&amp;D Employees @ y/e</t>
  </si>
  <si>
    <r>
      <rPr>
        <sz val="8"/>
        <rFont val="Arial"/>
        <family val="2"/>
        <charset val="1"/>
      </rPr>
      <t xml:space="preserve">Total Irish Labour Costs </t>
    </r>
    <r>
      <rPr>
        <sz val="7"/>
        <rFont val="Arial"/>
        <family val="2"/>
        <charset val="1"/>
      </rPr>
      <t>(€000's)</t>
    </r>
  </si>
  <si>
    <r>
      <rPr>
        <b/>
        <sz val="8"/>
        <rFont val="Arial"/>
        <family val="2"/>
        <charset val="1"/>
      </rPr>
      <t xml:space="preserve">Capitalised R&amp;D </t>
    </r>
    <r>
      <rPr>
        <b/>
        <sz val="7"/>
        <rFont val="Arial"/>
        <family val="2"/>
        <charset val="1"/>
      </rPr>
      <t>(€000's)</t>
    </r>
  </si>
  <si>
    <t>VAT / PAYE / PRSI paid / (Received) in year</t>
  </si>
  <si>
    <t>Bank Overdraft (Facility Limit for Projected Years)</t>
  </si>
  <si>
    <t>Invoice discounting (Projected Year End Balance)</t>
  </si>
  <si>
    <t>Site/Buildings Purchase</t>
  </si>
  <si>
    <t>Site/Buildings Modifications</t>
  </si>
  <si>
    <t>New Machinery / other Capex</t>
  </si>
  <si>
    <t>Intangible asset (Excl Capitalised R&amp;D)</t>
  </si>
  <si>
    <t>Promoters' Equity Investment / (Divestment)</t>
  </si>
  <si>
    <t>Other Equity Investment  / (Divestment)</t>
  </si>
  <si>
    <t>Dividends Paid to EI</t>
  </si>
  <si>
    <t>Other Dividends Paid</t>
  </si>
  <si>
    <t>Profit &amp; Loss</t>
  </si>
  <si>
    <t>Account Status</t>
  </si>
  <si>
    <t>Audited</t>
  </si>
  <si>
    <t>Actual</t>
  </si>
  <si>
    <t>Projected</t>
  </si>
  <si>
    <t>Sales</t>
  </si>
  <si>
    <t>€000's</t>
  </si>
  <si>
    <t>Own Product / Service Produced in Ireland &amp; Exported</t>
  </si>
  <si>
    <t>Own Product / Service Produced Abroad &amp; sold Abroad</t>
  </si>
  <si>
    <t>Own Product / Service Produced &amp; Sold in Ireland</t>
  </si>
  <si>
    <t>Distribution Sales of Other Co's Product</t>
  </si>
  <si>
    <t xml:space="preserve">Total Sales </t>
  </si>
  <si>
    <t>Direct Labour</t>
  </si>
  <si>
    <t>Purchases</t>
  </si>
  <si>
    <t>Other Cost of Goods Sold</t>
  </si>
  <si>
    <t>Cost of Sales</t>
  </si>
  <si>
    <t>Gross Profit/(Loss)</t>
  </si>
  <si>
    <t>Selling, General &amp; Admin Expenses</t>
  </si>
  <si>
    <t>Indirect Labour (excluding R&amp;D Salaries)</t>
  </si>
  <si>
    <t>R&amp;D Salaries</t>
  </si>
  <si>
    <t>Other R&amp;D expenditure</t>
  </si>
  <si>
    <t>R&amp;D Expenditure</t>
  </si>
  <si>
    <t>Other Operating Expenses/(Gains)</t>
  </si>
  <si>
    <t>Operating Expenditure</t>
  </si>
  <si>
    <t>Operating Profit/(Loss) - EBITDA</t>
  </si>
  <si>
    <t>Interest Payable</t>
  </si>
  <si>
    <t>Interest / Dividends (Receivable)</t>
  </si>
  <si>
    <t>Depreciation</t>
  </si>
  <si>
    <t>Amortisation</t>
  </si>
  <si>
    <t>Grant Amortisation (This application only)</t>
  </si>
  <si>
    <t>Remitted Profits to Ireland From Foreign Subsidiary</t>
  </si>
  <si>
    <t>Non-Operating Expenses/(Gains)</t>
  </si>
  <si>
    <t>Profit/(Loss) before Tax</t>
  </si>
  <si>
    <t>Tax</t>
  </si>
  <si>
    <t>Net Profit/(Loss)</t>
  </si>
  <si>
    <t>Dividends (see Rows 30 &amp; 31)</t>
  </si>
  <si>
    <t>Profit Retained for the Year</t>
  </si>
  <si>
    <t xml:space="preserve">Balance Sheet </t>
  </si>
  <si>
    <t>Fixed Assets</t>
  </si>
  <si>
    <t xml:space="preserve">   Intangible</t>
  </si>
  <si>
    <t xml:space="preserve">   Tangible Fixed Assets</t>
  </si>
  <si>
    <t xml:space="preserve">   Investments</t>
  </si>
  <si>
    <t>Total Fixed Assets</t>
  </si>
  <si>
    <t>Current Assets</t>
  </si>
  <si>
    <t xml:space="preserve">   Inventory</t>
  </si>
  <si>
    <t xml:space="preserve">   Trade Debtors</t>
  </si>
  <si>
    <t xml:space="preserve">   Bank/Cash</t>
  </si>
  <si>
    <t xml:space="preserve">   Connected Parties / Inter Company Loans</t>
  </si>
  <si>
    <t xml:space="preserve">   Prepayments / Other Debtors</t>
  </si>
  <si>
    <t>Total Current Assets</t>
  </si>
  <si>
    <t>Current Liabilities</t>
  </si>
  <si>
    <t xml:space="preserve">   Bank Overdraft (Facility Limit in Projected Years)</t>
  </si>
  <si>
    <t xml:space="preserve">   Invoice discounting (YE Balance)</t>
  </si>
  <si>
    <t xml:space="preserve">   Short Term loans / Leasing (&lt;1 year)</t>
  </si>
  <si>
    <t xml:space="preserve">   Trade Creditors</t>
  </si>
  <si>
    <t xml:space="preserve">   Accruals / Other Creditors</t>
  </si>
  <si>
    <t>Total Current Liabilities</t>
  </si>
  <si>
    <t>Net Current Assets</t>
  </si>
  <si>
    <t xml:space="preserve"> Liabilities &gt; 1 Year</t>
  </si>
  <si>
    <t xml:space="preserve">  Long Term Loans</t>
  </si>
  <si>
    <t xml:space="preserve">  Leases</t>
  </si>
  <si>
    <t xml:space="preserve">  Connected Parties / Inter Company Loans</t>
  </si>
  <si>
    <t xml:space="preserve">  Directors / Shareholders Loans</t>
  </si>
  <si>
    <t xml:space="preserve">  EI Grant Liability  (This application only)</t>
  </si>
  <si>
    <r>
      <rPr>
        <sz val="8"/>
        <rFont val="Arial"/>
        <family val="2"/>
        <charset val="1"/>
      </rPr>
      <t xml:space="preserve">  Other Long Term Liabilities incl  </t>
    </r>
    <r>
      <rPr>
        <b/>
        <sz val="8"/>
        <rFont val="Arial"/>
        <family val="2"/>
        <charset val="1"/>
      </rPr>
      <t xml:space="preserve">EI Repayable Advances  </t>
    </r>
  </si>
  <si>
    <t>Total Liabilities &gt; 1 Year</t>
  </si>
  <si>
    <t>Net Assets</t>
  </si>
  <si>
    <t>Financed by</t>
  </si>
  <si>
    <t xml:space="preserve">  Preference Shares</t>
  </si>
  <si>
    <t xml:space="preserve">  EI Equity Assistance  (This application only)</t>
  </si>
  <si>
    <t xml:space="preserve">  Ordinary Shares &amp; Share Premium</t>
  </si>
  <si>
    <t xml:space="preserve">  Provisions/Grants/Other Reserves</t>
  </si>
  <si>
    <t xml:space="preserve">  Retained Earnings</t>
  </si>
  <si>
    <t>Shareholders Funds</t>
  </si>
  <si>
    <t>Projected Cash Funding Table</t>
  </si>
  <si>
    <t xml:space="preserve">Cash Flow Statement For the year ended </t>
  </si>
  <si>
    <t>Add back; Depreciation / Amortisation</t>
  </si>
  <si>
    <t>Working Capital (Increase)/Decrease</t>
  </si>
  <si>
    <t>Stocks</t>
  </si>
  <si>
    <t>Trade Debtors</t>
  </si>
  <si>
    <t>Prepayments / Other Debtors</t>
  </si>
  <si>
    <t>Trade Creditors</t>
  </si>
  <si>
    <t>Accruals / Other Creditors</t>
  </si>
  <si>
    <t>Total</t>
  </si>
  <si>
    <t>Operating Cash Inflow / (Outflow)</t>
  </si>
  <si>
    <t>Capex - Tangible</t>
  </si>
  <si>
    <t>Capex - Intangible</t>
  </si>
  <si>
    <t>Capital Expenditure</t>
  </si>
  <si>
    <t>Funding Inc/ (Dec)</t>
  </si>
  <si>
    <t>OverDraft &amp; Invoice Discounting Facility</t>
  </si>
  <si>
    <t xml:space="preserve">Short Term loans  / Leasing  (&lt;1 year) </t>
  </si>
  <si>
    <t>Long Term Loans / Leasing / convertible</t>
  </si>
  <si>
    <t>Connected Parties / Inter Company Loans</t>
  </si>
  <si>
    <t>Directors Loans</t>
  </si>
  <si>
    <t>EI Equity</t>
  </si>
  <si>
    <t>EI Grant</t>
  </si>
  <si>
    <t>Other Reserves</t>
  </si>
  <si>
    <t xml:space="preserve">Total </t>
  </si>
  <si>
    <t>Non Operating Cash Inflow / (outflow)</t>
  </si>
  <si>
    <t>Net Movement in Cash</t>
  </si>
  <si>
    <t>Opening Cash Balance - includes Facilities</t>
  </si>
  <si>
    <t>Closing Cash (Incl Facilities i.e. available cash)</t>
  </si>
  <si>
    <t>Overdraft Facility</t>
  </si>
  <si>
    <t>Invoice Discounting Balance</t>
  </si>
  <si>
    <t>Net Closing Cash (Excl Short Term Facilities)</t>
  </si>
  <si>
    <t>The template below aims to assist companies that currently do not prepare monthly cashflows.</t>
  </si>
  <si>
    <t xml:space="preserve">The Rows and Columns below may be altered and new rows may be inserted. </t>
  </si>
  <si>
    <t>Summary Monthly Cashflow Statement for the NEXT 12 MONTHS</t>
  </si>
  <si>
    <t>Summary Monthly Cashflow Statement for the FOLLOWING 12 MONTHS</t>
  </si>
  <si>
    <t xml:space="preserve">  Month End</t>
  </si>
  <si>
    <t>Operating Cash Inflow</t>
  </si>
  <si>
    <t>Sales receipts - Non Invoice Discounting Supported</t>
  </si>
  <si>
    <t>Sales Receipts - Both with and without Invoice Discounting support</t>
  </si>
  <si>
    <t xml:space="preserve">Other Revenue - specify </t>
  </si>
  <si>
    <t>Non - Operating Cash Inflow</t>
  </si>
  <si>
    <t>Loan 1</t>
  </si>
  <si>
    <t>Loan 2</t>
  </si>
  <si>
    <t xml:space="preserve">  Non EI Equity/Grants</t>
  </si>
  <si>
    <t>Promoters' Equity Investment</t>
  </si>
  <si>
    <t>Other Equity Investment</t>
  </si>
  <si>
    <t xml:space="preserve"> EI Monies (This investment) </t>
  </si>
  <si>
    <t>Total Cash Receipts</t>
  </si>
  <si>
    <t>Operating Cash Payments</t>
  </si>
  <si>
    <t xml:space="preserve"> Payments to Creditors/Suppliers</t>
  </si>
  <si>
    <t>Wages/Salaries</t>
  </si>
  <si>
    <t>Founders salaries (inc PRSI)</t>
  </si>
  <si>
    <t>Marketing Salaries (inc PRSI)</t>
  </si>
  <si>
    <t>Operations Salaries (inc PRSI)</t>
  </si>
  <si>
    <t>Admin Salaries (inc PRSI)</t>
  </si>
  <si>
    <t>R+D Salaries (inc PRSI)</t>
  </si>
  <si>
    <t>Other Cash Operating Expenses</t>
  </si>
  <si>
    <t>Capital investment related to R+D</t>
  </si>
  <si>
    <t xml:space="preserve">R+D Consultancy </t>
  </si>
  <si>
    <t>R+D Materials</t>
  </si>
  <si>
    <t>Travel and Expenses</t>
  </si>
  <si>
    <t>Rent and Rates</t>
  </si>
  <si>
    <t xml:space="preserve">Facilities, Supplies, Cleaning , etc </t>
  </si>
  <si>
    <t>Insurance</t>
  </si>
  <si>
    <t>Telephones and Broadband</t>
  </si>
  <si>
    <t>IT support and security</t>
  </si>
  <si>
    <t xml:space="preserve">Audit and Taxation Services </t>
  </si>
  <si>
    <t xml:space="preserve">Legal Fees </t>
  </si>
  <si>
    <t>Staff Training</t>
  </si>
  <si>
    <t>Bank Charges</t>
  </si>
  <si>
    <t>Travel</t>
  </si>
  <si>
    <t>Freight and Postage</t>
  </si>
  <si>
    <t>Office Supplies</t>
  </si>
  <si>
    <t>Miscellanous</t>
  </si>
  <si>
    <t xml:space="preserve">  Capital Investment</t>
  </si>
  <si>
    <t xml:space="preserve">  Dividends</t>
  </si>
  <si>
    <t xml:space="preserve">  Dividends Paid to EI</t>
  </si>
  <si>
    <t xml:space="preserve">  Other Dividends Paid</t>
  </si>
  <si>
    <t>Non-Operating Cash Payments</t>
  </si>
  <si>
    <t>Net VAT Payment/Receipt Amounts (if above figs incl VAT)</t>
  </si>
  <si>
    <t>Loan Repayments</t>
  </si>
  <si>
    <t>EI Repayable Advance Repayments</t>
  </si>
  <si>
    <t>Directors Loans/ Related Parties Payments</t>
  </si>
  <si>
    <t xml:space="preserve">  Equity/Grants</t>
  </si>
  <si>
    <t xml:space="preserve">  EI Share/Grant Redemptions</t>
  </si>
  <si>
    <t xml:space="preserve">  Other Share Redemptions</t>
  </si>
  <si>
    <t>Total Cash Payments</t>
  </si>
  <si>
    <t>Total Cash Inflow/(Outflow)</t>
  </si>
  <si>
    <t>Net Opening Cash (Excl Short Term Facilities)</t>
  </si>
  <si>
    <t>OverDraft Facility</t>
  </si>
  <si>
    <t>Inv Disc (Proj Month End Bal)</t>
  </si>
  <si>
    <t>Net Closing Cash (Incl Short Term Facilities)</t>
  </si>
  <si>
    <t>To insert the below tables into the Commercial Assessment (CA) Document please follow the below steps:</t>
  </si>
  <si>
    <r>
      <rPr>
        <b/>
        <sz val="7"/>
        <rFont val="Arial"/>
        <family val="2"/>
        <charset val="1"/>
      </rPr>
      <t xml:space="preserve">Step 1: Copy the </t>
    </r>
    <r>
      <rPr>
        <b/>
        <sz val="7"/>
        <color rgb="FFFFCC99"/>
        <rFont val="Arial"/>
        <family val="2"/>
        <charset val="1"/>
      </rPr>
      <t>Track Record &amp; Projections</t>
    </r>
    <r>
      <rPr>
        <b/>
        <sz val="7"/>
        <rFont val="Arial"/>
        <family val="2"/>
        <charset val="1"/>
      </rPr>
      <t xml:space="preserve"> Table into the CA document by Hi-lighting cells A15 to H70</t>
    </r>
  </si>
  <si>
    <t>Step 2: Open the CA document and place the cursor where you want the selected table to appear</t>
  </si>
  <si>
    <t>Step 3: Using the mouse go to the Edit menu on the tool bar and left click on "Paste Special"</t>
  </si>
  <si>
    <t>Step 4: A "Paste Special" pop up box will appear - select Microsoft Office Excel Worksheet Object and left click on OK</t>
  </si>
  <si>
    <r>
      <rPr>
        <b/>
        <sz val="7"/>
        <rFont val="Arial"/>
        <family val="2"/>
        <charset val="1"/>
      </rPr>
      <t xml:space="preserve">Step 5: Copy the </t>
    </r>
    <r>
      <rPr>
        <b/>
        <sz val="7"/>
        <color rgb="FFFFCC99"/>
        <rFont val="Arial"/>
        <family val="2"/>
        <charset val="1"/>
      </rPr>
      <t>Projected Cash Funding Table</t>
    </r>
    <r>
      <rPr>
        <b/>
        <sz val="7"/>
        <rFont val="Arial"/>
        <family val="2"/>
        <charset val="1"/>
      </rPr>
      <t xml:space="preserve"> into the CA document by Hi-lighting cells A118 to H162</t>
    </r>
  </si>
  <si>
    <t>Step 6: Repeat steps 2 to 4</t>
  </si>
  <si>
    <r>
      <rPr>
        <b/>
        <sz val="7"/>
        <rFont val="Arial"/>
        <family val="2"/>
        <charset val="1"/>
      </rPr>
      <t>Step 7: Copy the</t>
    </r>
    <r>
      <rPr>
        <b/>
        <sz val="7"/>
        <color rgb="FFFFCC99"/>
        <rFont val="Arial"/>
        <family val="2"/>
        <charset val="1"/>
      </rPr>
      <t xml:space="preserve"> Profit &amp; Loss Table</t>
    </r>
    <r>
      <rPr>
        <b/>
        <sz val="7"/>
        <color rgb="FFFF0000"/>
        <rFont val="Arial"/>
        <family val="2"/>
        <charset val="1"/>
      </rPr>
      <t xml:space="preserve"> </t>
    </r>
    <r>
      <rPr>
        <b/>
        <sz val="7"/>
        <rFont val="Arial"/>
        <family val="2"/>
        <charset val="1"/>
      </rPr>
      <t>into the CA document by Hi-lighting cells A164 to H204</t>
    </r>
  </si>
  <si>
    <t>Step 8: Repeat steps 2 to 4</t>
  </si>
  <si>
    <r>
      <rPr>
        <b/>
        <sz val="7"/>
        <rFont val="Arial"/>
        <family val="2"/>
        <charset val="1"/>
      </rPr>
      <t xml:space="preserve">Step 9: Copy the </t>
    </r>
    <r>
      <rPr>
        <b/>
        <sz val="7"/>
        <color rgb="FFFFCC99"/>
        <rFont val="Arial"/>
        <family val="2"/>
        <charset val="1"/>
      </rPr>
      <t>Balance Sheet</t>
    </r>
    <r>
      <rPr>
        <b/>
        <sz val="7"/>
        <color rgb="FFFF0000"/>
        <rFont val="Arial"/>
        <family val="2"/>
        <charset val="1"/>
      </rPr>
      <t xml:space="preserve"> </t>
    </r>
    <r>
      <rPr>
        <b/>
        <sz val="7"/>
        <rFont val="Arial"/>
        <family val="2"/>
        <charset val="1"/>
      </rPr>
      <t>into the CA document by Hi-lighting cells A206 to H251</t>
    </r>
  </si>
  <si>
    <t>Step 10: Repeat steps 2 to 4</t>
  </si>
  <si>
    <t>Note - numbers below in Red will no longer be available</t>
  </si>
  <si>
    <t xml:space="preserve">FDS Template as at </t>
  </si>
  <si>
    <t>Month</t>
  </si>
  <si>
    <t>Base Year+1</t>
  </si>
  <si>
    <t>SALES &amp; EXPORTS</t>
  </si>
  <si>
    <t>Sales (€000's)</t>
  </si>
  <si>
    <t>Domestic Sales (€'000s)</t>
  </si>
  <si>
    <t>Exports (€000's)</t>
  </si>
  <si>
    <t>International Sales (€000's)</t>
  </si>
  <si>
    <t>Exports as % of Sales</t>
  </si>
  <si>
    <t>International Sales as % of Sales</t>
  </si>
  <si>
    <t>PROFITABILITY</t>
  </si>
  <si>
    <t>Gross Profit / (Loss)</t>
  </si>
  <si>
    <t>EBITDA</t>
  </si>
  <si>
    <t>Net Profit/(Loss) (€000's)</t>
  </si>
  <si>
    <t>Gross Profit as a % of Sales</t>
  </si>
  <si>
    <t>Operating as a % of Sales</t>
  </si>
  <si>
    <t>EBITDA as a % of Sales</t>
  </si>
  <si>
    <t>Net Margin</t>
  </si>
  <si>
    <t>Return on Shareholders' Funds</t>
  </si>
  <si>
    <t>GROWTH</t>
  </si>
  <si>
    <t>Sales growth %</t>
  </si>
  <si>
    <t>Export growth %</t>
  </si>
  <si>
    <t>PRODUCTIVITY</t>
  </si>
  <si>
    <t xml:space="preserve">Sales / total assets less current liabilities </t>
  </si>
  <si>
    <t>Sales / working capital</t>
  </si>
  <si>
    <t>Sales / fixed assets</t>
  </si>
  <si>
    <t>Sales per Irish employee (€000's)</t>
  </si>
  <si>
    <t>RESEARCH &amp; DEVELOPMENT</t>
  </si>
  <si>
    <t>Total R&amp;D spend (€000's)</t>
  </si>
  <si>
    <t>R&amp;D as % of sales</t>
  </si>
  <si>
    <t>R&amp;D as a % of OPEX</t>
  </si>
  <si>
    <t>MANAGEMENT</t>
  </si>
  <si>
    <t>Asset turnover</t>
  </si>
  <si>
    <t>Net Current Asset Turnover</t>
  </si>
  <si>
    <t>Current Ratio</t>
  </si>
  <si>
    <t>WORKING CAPITAL ANALYSIS</t>
  </si>
  <si>
    <t>Working Capital</t>
  </si>
  <si>
    <t>Working capital (exc short term facilities) ('000s)</t>
  </si>
  <si>
    <t>Short term facilities ('000s)</t>
  </si>
  <si>
    <t>Working Capital Turnover (times)</t>
  </si>
  <si>
    <t>Avg Dr Days</t>
  </si>
  <si>
    <t>Anything above 90 days should be considered excessive - identify why</t>
  </si>
  <si>
    <t>Inventory Turnover</t>
  </si>
  <si>
    <t>Avg Cr Days</t>
  </si>
  <si>
    <t>Total Debtors (inc pre payments) days</t>
  </si>
  <si>
    <t>Interest Cover</t>
  </si>
  <si>
    <t>Anything less than 1 suggests an inability to meet finance repayments</t>
  </si>
  <si>
    <t>Invoice Discounting as a % of Tr Debtors</t>
  </si>
  <si>
    <t>Std % Dr's</t>
  </si>
  <si>
    <t>75% is the standard amount provided by the bank</t>
  </si>
  <si>
    <t>Total Creditors (inc accruals) days</t>
  </si>
  <si>
    <t>GEARING</t>
  </si>
  <si>
    <t>Equity (Incl Shareholders Funds &amp; Director Loans)</t>
  </si>
  <si>
    <t xml:space="preserve">Total Debt </t>
  </si>
  <si>
    <t>Total Bank Debt</t>
  </si>
  <si>
    <t>Free Cash Flow (FCF)</t>
  </si>
  <si>
    <t>Debt/Equity</t>
  </si>
  <si>
    <t>1+( LT liabilities/S/H funds)</t>
  </si>
  <si>
    <t>EMPLOYMENT</t>
  </si>
  <si>
    <t>Global Employees at year-end</t>
  </si>
  <si>
    <t>Irish Employees at year-end</t>
  </si>
  <si>
    <t>No. of R&amp;D Employees @y/e</t>
  </si>
  <si>
    <t>No. of Irish R&amp;D Employees @ y/e</t>
  </si>
  <si>
    <t>Funding Table</t>
  </si>
  <si>
    <t>Non-Operating</t>
  </si>
  <si>
    <t>Sources</t>
  </si>
  <si>
    <t>EI Grants</t>
  </si>
  <si>
    <t>Overdraft &amp; Inv Discounting</t>
  </si>
  <si>
    <t>Short Term Bank Financing</t>
  </si>
  <si>
    <t>Long Term Bank Loans/Leasing</t>
  </si>
  <si>
    <t>Convertible/Other Loans</t>
  </si>
  <si>
    <t>Requirements</t>
  </si>
  <si>
    <t>EI Dividends</t>
  </si>
  <si>
    <t>Share Redemptions</t>
  </si>
  <si>
    <t>Short Term Bank Financing Payments</t>
  </si>
  <si>
    <t>Long Term Bank Loans/Leasing Payments</t>
  </si>
  <si>
    <t>Directors / Connected Parties  Redemptions</t>
  </si>
  <si>
    <t>Opening Cash</t>
  </si>
  <si>
    <t>Closing Cash\ Available Cash</t>
  </si>
  <si>
    <t>Opening Cash excl Short term facilities</t>
  </si>
  <si>
    <t>Closing Cash excl Short term facilities</t>
  </si>
  <si>
    <t>Funding Cost of the Business Plan</t>
  </si>
  <si>
    <t xml:space="preserve">3 Year </t>
  </si>
  <si>
    <t>Balance Sheet</t>
  </si>
  <si>
    <t>Capex</t>
  </si>
  <si>
    <t>Loans Facilities Total</t>
  </si>
  <si>
    <t>Bank Overdraft</t>
  </si>
  <si>
    <t>Invoice disc</t>
  </si>
  <si>
    <t>Related Parties</t>
  </si>
  <si>
    <t>Loans Repayment Total</t>
  </si>
  <si>
    <t>-</t>
  </si>
  <si>
    <t xml:space="preserve">  Bank Overdraft Payments</t>
  </si>
  <si>
    <t xml:space="preserve">  Invoice Discounting Payments</t>
  </si>
  <si>
    <t xml:space="preserve">  Short term Loan / Leasing Payments</t>
  </si>
  <si>
    <t xml:space="preserve">  Long Term Bank Loans/Leasing Payments</t>
  </si>
  <si>
    <t xml:space="preserve">  Other Long Term Liabilities Redeemed</t>
  </si>
  <si>
    <t xml:space="preserve">  Related Parties Payments</t>
  </si>
  <si>
    <t xml:space="preserve">  Directors Loans Redeemed</t>
  </si>
  <si>
    <t>Additional Ratios</t>
  </si>
  <si>
    <t>Net increase in Sales</t>
  </si>
  <si>
    <t>Net increase in Exports</t>
  </si>
  <si>
    <t>EBIT</t>
  </si>
  <si>
    <t>EBIT as % of Sales</t>
  </si>
  <si>
    <t>Purchases as a % of Sales</t>
  </si>
  <si>
    <t>Direct labour as a % of Sales</t>
  </si>
  <si>
    <t>SGA as a % of Gross Profit</t>
  </si>
  <si>
    <t>Indirect Labour as a % of Sales</t>
  </si>
  <si>
    <t>R&amp;D as a % of Sales</t>
  </si>
  <si>
    <t>Other</t>
  </si>
  <si>
    <t>Depreciation-Amortization</t>
  </si>
  <si>
    <t>ROCE</t>
  </si>
  <si>
    <t>ROI</t>
  </si>
  <si>
    <t>Sales per total employee (€000's)</t>
  </si>
  <si>
    <t>Value Add To Ireland</t>
  </si>
  <si>
    <t>Value Add To Ireland per Total employee</t>
  </si>
  <si>
    <t>Value Add To Ireland per Irish employee</t>
  </si>
  <si>
    <t>Sales / total fixed assets less tangible fixed assets</t>
  </si>
  <si>
    <t>WORKING CAPITAL</t>
  </si>
  <si>
    <t>Working capital as a % sales</t>
  </si>
  <si>
    <t>Working capital days</t>
  </si>
  <si>
    <t>Inventory days</t>
  </si>
  <si>
    <t>Trade Debtors Days</t>
  </si>
  <si>
    <t>Trade Creditors Days</t>
  </si>
  <si>
    <t>Year</t>
  </si>
  <si>
    <t>ROSF</t>
  </si>
  <si>
    <t>Sensitivity</t>
  </si>
  <si>
    <t>Net Asset Turnover</t>
  </si>
  <si>
    <t>1+Debt Equity</t>
  </si>
  <si>
    <t>Asset Turnover</t>
  </si>
  <si>
    <t>1+Debt/Equity Ratio</t>
  </si>
  <si>
    <t xml:space="preserve">EDITDA </t>
  </si>
  <si>
    <t>Revenue</t>
  </si>
  <si>
    <t>Total Assets</t>
  </si>
  <si>
    <t>+/-  Above/Below Projection</t>
  </si>
  <si>
    <t>ACME Corp</t>
  </si>
  <si>
    <t>Cash available for Servicing Financing Obligations</t>
  </si>
  <si>
    <t>Servicing of funding</t>
  </si>
  <si>
    <t>Overdraft</t>
  </si>
  <si>
    <t>ID facility</t>
  </si>
  <si>
    <t>Short term loans/Leasing</t>
  </si>
  <si>
    <t>Long term loans</t>
  </si>
  <si>
    <t>Leasing</t>
  </si>
  <si>
    <t>EI repayable advance</t>
  </si>
  <si>
    <t xml:space="preserve">Group </t>
  </si>
  <si>
    <t>Directors loans</t>
  </si>
  <si>
    <t>Other financing requirements</t>
  </si>
  <si>
    <t>Preferred equity</t>
  </si>
  <si>
    <t>Ord equity</t>
  </si>
  <si>
    <t xml:space="preserve">Total obligations </t>
  </si>
  <si>
    <t>Cash available after Servicing Financing Obligations</t>
  </si>
  <si>
    <t>New funding</t>
  </si>
  <si>
    <t>EI grant</t>
  </si>
  <si>
    <t xml:space="preserve">Total funding injection </t>
  </si>
  <si>
    <t>Financial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</si>
</sst>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 #,##0.00_-;\-* #,##0.00_-;_-* \-??_-;_-@_-"/>
    <numFmt numFmtId="165" formatCode="#,##0;[Red]&quot;-(&quot;#,##0\)"/>
    <numFmt numFmtId="166" formatCode="dd/mm/yy;@"/>
    <numFmt numFmtId="167" formatCode="_-* #,##0_-;\-* #,##0_-;_-* \-??_-;_-@_-"/>
    <numFmt numFmtId="168" formatCode="d/m/yy;@"/>
    <numFmt numFmtId="169" formatCode="_-* #,##0.00000_-;\-* #,##0.00000_-;_-* \-??_-;_-@_-"/>
    <numFmt numFmtId="170" formatCode="0.0%"/>
    <numFmt numFmtId="171" formatCode="#,##0.00;[Red]&quot;-(&quot;#,##0.00\)"/>
    <numFmt numFmtId="172" formatCode="#,##0.0000000;[Red]&quot;-(&quot;#,##0.0000000\)"/>
    <numFmt numFmtId="173" formatCode="#,##0;[Red]\-\(#,##0\)"/>
  </numFmts>
  <fonts count="60" x14ac:knownFonts="1">
    <font>
      <sz val="11"/>
      <color rgb="FF000000"/>
      <name val="Calibri"/>
      <family val="2"/>
      <charset val="1"/>
    </font>
    <font>
      <sz val="10"/>
      <name val="Verdana"/>
      <family val="2"/>
      <charset val="1"/>
    </font>
    <font>
      <sz val="10"/>
      <name val="Arial"/>
      <family val="2"/>
      <charset val="1"/>
    </font>
    <font>
      <sz val="9"/>
      <name val="Arial"/>
      <family val="2"/>
      <charset val="1"/>
    </font>
    <font>
      <b/>
      <sz val="14"/>
      <name val="Arial"/>
      <family val="2"/>
      <charset val="1"/>
    </font>
    <font>
      <sz val="9"/>
      <color rgb="FF333333"/>
      <name val="Arial"/>
      <family val="2"/>
      <charset val="1"/>
    </font>
    <font>
      <b/>
      <sz val="14"/>
      <color rgb="FFFF0000"/>
      <name val="Arial"/>
      <family val="2"/>
      <charset val="1"/>
    </font>
    <font>
      <b/>
      <sz val="9"/>
      <name val="Arial"/>
      <family val="2"/>
      <charset val="1"/>
    </font>
    <font>
      <b/>
      <sz val="9"/>
      <color rgb="FFFF0000"/>
      <name val="Arial"/>
      <family val="2"/>
      <charset val="1"/>
    </font>
    <font>
      <sz val="9"/>
      <color rgb="FFFFFF99"/>
      <name val="Arial"/>
      <family val="2"/>
      <charset val="1"/>
    </font>
    <font>
      <sz val="8"/>
      <name val="Arial"/>
      <family val="2"/>
      <charset val="1"/>
    </font>
    <font>
      <sz val="9"/>
      <color rgb="FFFFCC99"/>
      <name val="Arial"/>
      <family val="2"/>
      <charset val="1"/>
    </font>
    <font>
      <sz val="11"/>
      <color rgb="FF006100"/>
      <name val="Arial"/>
      <family val="2"/>
      <charset val="1"/>
    </font>
    <font>
      <sz val="11"/>
      <color rgb="FF006100"/>
      <name val="Calibri"/>
      <family val="2"/>
      <charset val="1"/>
    </font>
    <font>
      <b/>
      <sz val="10"/>
      <color rgb="FFFFFFFF"/>
      <name val="Arial"/>
      <family val="2"/>
      <charset val="1"/>
    </font>
    <font>
      <sz val="8"/>
      <color rgb="FFFF0000"/>
      <name val="Arial"/>
      <family val="2"/>
      <charset val="1"/>
    </font>
    <font>
      <b/>
      <sz val="8"/>
      <color rgb="FFFF0000"/>
      <name val="Arial"/>
      <family val="2"/>
      <charset val="1"/>
    </font>
    <font>
      <b/>
      <sz val="8"/>
      <name val="Arial"/>
      <family val="2"/>
      <charset val="1"/>
    </font>
    <font>
      <b/>
      <sz val="8"/>
      <color rgb="FFFFFFFF"/>
      <name val="Arial"/>
      <family val="2"/>
      <charset val="1"/>
    </font>
    <font>
      <sz val="8"/>
      <color rgb="FFFF9900"/>
      <name val="Arial"/>
      <family val="2"/>
      <charset val="1"/>
    </font>
    <font>
      <sz val="7"/>
      <name val="Arial"/>
      <family val="2"/>
      <charset val="1"/>
    </font>
    <font>
      <sz val="12"/>
      <name val="Arial"/>
      <family val="2"/>
      <charset val="1"/>
    </font>
    <font>
      <b/>
      <sz val="7"/>
      <name val="Arial"/>
      <family val="2"/>
      <charset val="1"/>
    </font>
    <font>
      <sz val="8"/>
      <color rgb="FFC0C0C0"/>
      <name val="Arial"/>
      <family val="2"/>
      <charset val="1"/>
    </font>
    <font>
      <i/>
      <sz val="7"/>
      <name val="Arial"/>
      <family val="2"/>
      <charset val="1"/>
    </font>
    <font>
      <sz val="8"/>
      <name val="Verdana"/>
      <family val="2"/>
      <charset val="1"/>
    </font>
    <font>
      <b/>
      <sz val="7"/>
      <color rgb="FFC0C0C0"/>
      <name val="Arial"/>
      <family val="2"/>
      <charset val="1"/>
    </font>
    <font>
      <i/>
      <sz val="7"/>
      <color rgb="FFC0C0C0"/>
      <name val="Arial"/>
      <family val="2"/>
      <charset val="1"/>
    </font>
    <font>
      <b/>
      <sz val="7"/>
      <color rgb="FFFF0000"/>
      <name val="Arial"/>
      <family val="2"/>
      <charset val="1"/>
    </font>
    <font>
      <b/>
      <sz val="10"/>
      <color rgb="FF000000"/>
      <name val="Arial"/>
      <family val="2"/>
      <charset val="1"/>
    </font>
    <font>
      <sz val="10"/>
      <color rgb="FFFF0000"/>
      <name val="Arial"/>
      <family val="2"/>
      <charset val="1"/>
    </font>
    <font>
      <b/>
      <sz val="12"/>
      <color rgb="FFFFFFFF"/>
      <name val="Arial"/>
      <family val="2"/>
      <charset val="1"/>
    </font>
    <font>
      <sz val="8"/>
      <color rgb="FFFFFFFF"/>
      <name val="Arial"/>
      <family val="2"/>
      <charset val="1"/>
    </font>
    <font>
      <b/>
      <sz val="10"/>
      <color rgb="FFFF0000"/>
      <name val="Arial"/>
      <family val="2"/>
      <charset val="1"/>
    </font>
    <font>
      <sz val="9"/>
      <color rgb="FF000000"/>
      <name val="Tahoma"/>
      <family val="2"/>
      <charset val="1"/>
    </font>
    <font>
      <sz val="8"/>
      <color rgb="FF000000"/>
      <name val="Tahoma"/>
      <family val="2"/>
      <charset val="1"/>
    </font>
    <font>
      <b/>
      <sz val="7"/>
      <color rgb="FFFFCC99"/>
      <name val="Arial"/>
      <family val="2"/>
      <charset val="1"/>
    </font>
    <font>
      <sz val="9"/>
      <color rgb="FFFF0000"/>
      <name val="Arial"/>
      <family val="2"/>
      <charset val="1"/>
    </font>
    <font>
      <sz val="7"/>
      <color rgb="FFFF0000"/>
      <name val="Arial"/>
      <family val="2"/>
      <charset val="1"/>
    </font>
    <font>
      <sz val="7"/>
      <color rgb="FF99CC00"/>
      <name val="Arial"/>
      <family val="2"/>
      <charset val="1"/>
    </font>
    <font>
      <sz val="7"/>
      <name val="Verdana"/>
      <family val="2"/>
      <charset val="1"/>
    </font>
    <font>
      <b/>
      <sz val="7"/>
      <color rgb="FFFFFFFF"/>
      <name val="Arial"/>
      <family val="2"/>
      <charset val="1"/>
    </font>
    <font>
      <sz val="7"/>
      <color rgb="FFFF9900"/>
      <name val="Arial"/>
      <family val="2"/>
      <charset val="1"/>
    </font>
    <font>
      <sz val="7"/>
      <color rgb="FFFFFFFF"/>
      <name val="Arial"/>
      <family val="2"/>
      <charset val="1"/>
    </font>
    <font>
      <b/>
      <sz val="8"/>
      <color rgb="FF000000"/>
      <name val="Tahoma"/>
      <family val="2"/>
      <charset val="1"/>
    </font>
    <font>
      <sz val="11"/>
      <color rgb="FF000000"/>
      <name val="Calibri"/>
      <family val="2"/>
      <charset val="1"/>
    </font>
    <font>
      <sz val="10"/>
      <name val="Verdana"/>
    </font>
    <font>
      <sz val="8"/>
      <name val="Arial"/>
      <family val="2"/>
    </font>
    <font>
      <b/>
      <sz val="8"/>
      <name val="Arial"/>
      <family val="2"/>
    </font>
    <font>
      <sz val="10"/>
      <name val="Verdana"/>
      <family val="2"/>
    </font>
    <font>
      <sz val="7"/>
      <name val="Arial"/>
      <family val="2"/>
    </font>
    <font>
      <sz val="8"/>
      <color theme="3" tint="0.39997558519241921"/>
      <name val="Arial"/>
      <family val="2"/>
    </font>
    <font>
      <i/>
      <sz val="7"/>
      <name val="Arial"/>
      <family val="2"/>
    </font>
    <font>
      <b/>
      <sz val="7"/>
      <name val="Arial"/>
      <family val="2"/>
    </font>
    <font>
      <sz val="10"/>
      <name val="Arial"/>
      <family val="2"/>
    </font>
    <font>
      <sz val="7"/>
      <color theme="3" tint="0.39997558519241921"/>
      <name val="Arial"/>
      <family val="2"/>
    </font>
    <font>
      <b/>
      <sz val="7"/>
      <color theme="3" tint="0.39997558519241921"/>
      <name val="Arial"/>
      <family val="2"/>
    </font>
    <font>
      <b/>
      <sz val="8"/>
      <color indexed="81"/>
      <name val="Tahoma"/>
      <family val="2"/>
    </font>
    <font>
      <sz val="8"/>
      <color indexed="81"/>
      <name val="Tahoma"/>
      <family val="2"/>
    </font>
    <font>
      <b/>
      <sz val="12"/>
      <name val="Arial"/>
      <family val="2"/>
    </font>
  </fonts>
  <fills count="19">
    <fill>
      <patternFill patternType="none"/>
    </fill>
    <fill>
      <patternFill patternType="gray125"/>
    </fill>
    <fill>
      <patternFill patternType="solid">
        <fgColor rgb="FFC6EFCE"/>
        <bgColor rgb="FFCCFFCC"/>
      </patternFill>
    </fill>
    <fill>
      <patternFill patternType="solid">
        <fgColor rgb="FFFFFFFF"/>
        <bgColor rgb="FFE7FDFF"/>
      </patternFill>
    </fill>
    <fill>
      <patternFill patternType="solid">
        <fgColor rgb="FFB4C7E7"/>
        <bgColor rgb="FF9DC3E6"/>
      </patternFill>
    </fill>
    <fill>
      <patternFill patternType="solid">
        <fgColor rgb="FF00CCFF"/>
        <bgColor rgb="FF33CCCC"/>
      </patternFill>
    </fill>
    <fill>
      <patternFill patternType="solid">
        <fgColor rgb="FF3366FF"/>
        <bgColor rgb="FF0066CC"/>
      </patternFill>
    </fill>
    <fill>
      <patternFill patternType="solid">
        <fgColor rgb="FFFFC000"/>
        <bgColor rgb="FFFFCC00"/>
      </patternFill>
    </fill>
    <fill>
      <patternFill patternType="solid">
        <fgColor rgb="FFF0F0F0"/>
        <bgColor rgb="FFE7FDFF"/>
      </patternFill>
    </fill>
    <fill>
      <patternFill patternType="solid">
        <fgColor rgb="FF99CCFF"/>
        <bgColor rgb="FF9DC3E6"/>
      </patternFill>
    </fill>
    <fill>
      <patternFill patternType="solid">
        <fgColor rgb="FF9DC3E6"/>
        <bgColor rgb="FF99CCFF"/>
      </patternFill>
    </fill>
    <fill>
      <patternFill patternType="solid">
        <fgColor rgb="FFE7FDFF"/>
        <bgColor rgb="FFF0F0F0"/>
      </patternFill>
    </fill>
    <fill>
      <patternFill patternType="solid">
        <fgColor rgb="FFC0C0C0"/>
        <bgColor rgb="FFB4C7E7"/>
      </patternFill>
    </fill>
    <fill>
      <patternFill patternType="solid">
        <fgColor theme="0"/>
        <bgColor indexed="64"/>
      </patternFill>
    </fill>
    <fill>
      <patternFill patternType="solid">
        <fgColor theme="0"/>
        <bgColor rgb="FFCCFFCC"/>
      </patternFill>
    </fill>
    <fill>
      <patternFill patternType="solid">
        <fgColor theme="0"/>
        <bgColor rgb="FF0066CC"/>
      </patternFill>
    </fill>
    <fill>
      <patternFill patternType="solid">
        <fgColor theme="0"/>
        <bgColor rgb="FFE7FDFF"/>
      </patternFill>
    </fill>
    <fill>
      <patternFill patternType="solid">
        <fgColor theme="1"/>
        <bgColor rgb="FF0066CC"/>
      </patternFill>
    </fill>
    <fill>
      <patternFill patternType="gray0625">
        <bgColor theme="0"/>
      </patternFill>
    </fill>
  </fills>
  <borders count="56">
    <border>
      <left/>
      <right/>
      <top/>
      <bottom/>
      <diagonal/>
    </border>
    <border>
      <left/>
      <right/>
      <top/>
      <bottom style="thin">
        <color rgb="FF00CCF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diagonal/>
    </border>
    <border>
      <left/>
      <right/>
      <top/>
      <bottom style="double">
        <color auto="1"/>
      </bottom>
      <diagonal/>
    </border>
    <border>
      <left style="thin">
        <color auto="1"/>
      </left>
      <right/>
      <top/>
      <bottom/>
      <diagonal/>
    </border>
    <border>
      <left/>
      <right/>
      <top style="thin">
        <color auto="1"/>
      </top>
      <bottom style="double">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diagonal/>
    </border>
    <border>
      <left/>
      <right style="thin">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style="medium">
        <color auto="1"/>
      </right>
      <top style="thin">
        <color auto="1"/>
      </top>
      <bottom style="double">
        <color auto="1"/>
      </bottom>
      <diagonal/>
    </border>
    <border>
      <left style="medium">
        <color auto="1"/>
      </left>
      <right/>
      <top style="thin">
        <color auto="1"/>
      </top>
      <bottom style="double">
        <color auto="1"/>
      </bottom>
      <diagonal/>
    </border>
    <border>
      <left/>
      <right style="medium">
        <color auto="1"/>
      </right>
      <top style="thin">
        <color auto="1"/>
      </top>
      <bottom style="double">
        <color auto="1"/>
      </bottom>
      <diagonal/>
    </border>
    <border>
      <left/>
      <right style="thin">
        <color auto="1"/>
      </right>
      <top style="thin">
        <color auto="1"/>
      </top>
      <bottom/>
      <diagonal/>
    </border>
    <border>
      <left style="thin">
        <color auto="1"/>
      </left>
      <right/>
      <top style="double">
        <color auto="1"/>
      </top>
      <bottom/>
      <diagonal/>
    </border>
    <border>
      <left/>
      <right/>
      <top style="double">
        <color auto="1"/>
      </top>
      <bottom/>
      <diagonal/>
    </border>
    <border>
      <left/>
      <right style="medium">
        <color auto="1"/>
      </right>
      <top style="double">
        <color auto="1"/>
      </top>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style="thin">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right style="thin">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indexed="64"/>
      </left>
      <right/>
      <top/>
      <bottom style="medium">
        <color auto="1"/>
      </bottom>
      <diagonal/>
    </border>
  </borders>
  <cellStyleXfs count="12">
    <xf numFmtId="0" fontId="0" fillId="0" borderId="0"/>
    <xf numFmtId="164" fontId="45" fillId="0" borderId="0" applyBorder="0" applyProtection="0"/>
    <xf numFmtId="164" fontId="45" fillId="0" borderId="0" applyBorder="0" applyProtection="0"/>
    <xf numFmtId="164" fontId="45" fillId="0" borderId="0" applyBorder="0" applyProtection="0"/>
    <xf numFmtId="0" fontId="1" fillId="0" borderId="0"/>
    <xf numFmtId="0" fontId="45" fillId="0" borderId="0"/>
    <xf numFmtId="0" fontId="2" fillId="0" borderId="0"/>
    <xf numFmtId="9" fontId="45" fillId="0" borderId="0" applyBorder="0" applyProtection="0"/>
    <xf numFmtId="0" fontId="13" fillId="2" borderId="0" applyBorder="0" applyProtection="0"/>
    <xf numFmtId="0" fontId="46" fillId="0" borderId="0"/>
    <xf numFmtId="43" fontId="49" fillId="0" borderId="0" applyFont="0" applyFill="0" applyBorder="0" applyAlignment="0" applyProtection="0"/>
    <xf numFmtId="0" fontId="54" fillId="0" borderId="0"/>
  </cellStyleXfs>
  <cellXfs count="484">
    <xf numFmtId="0" fontId="0" fillId="0" borderId="0" xfId="0"/>
    <xf numFmtId="0" fontId="3" fillId="3" borderId="0" xfId="0" applyFont="1" applyFill="1" applyAlignment="1" applyProtection="1"/>
    <xf numFmtId="0" fontId="3" fillId="0" borderId="0" xfId="0" applyFont="1" applyAlignment="1" applyProtection="1"/>
    <xf numFmtId="0" fontId="4" fillId="3" borderId="0" xfId="0" applyFont="1" applyFill="1" applyAlignment="1" applyProtection="1"/>
    <xf numFmtId="0" fontId="5" fillId="3" borderId="0" xfId="0" applyFont="1" applyFill="1" applyAlignment="1" applyProtection="1"/>
    <xf numFmtId="0" fontId="6" fillId="3" borderId="0" xfId="0" applyFont="1" applyFill="1" applyAlignment="1" applyProtection="1"/>
    <xf numFmtId="0" fontId="7" fillId="3" borderId="0" xfId="0" applyFont="1" applyFill="1" applyAlignment="1" applyProtection="1"/>
    <xf numFmtId="0" fontId="7" fillId="3" borderId="1" xfId="0" applyFont="1" applyFill="1" applyBorder="1" applyAlignment="1" applyProtection="1"/>
    <xf numFmtId="0" fontId="3" fillId="3" borderId="1" xfId="0" applyFont="1" applyFill="1" applyBorder="1" applyAlignment="1" applyProtection="1"/>
    <xf numFmtId="0" fontId="7" fillId="3" borderId="0" xfId="0" applyFont="1" applyFill="1" applyAlignment="1" applyProtection="1">
      <alignment horizontal="center"/>
    </xf>
    <xf numFmtId="0" fontId="3" fillId="0" borderId="1" xfId="0" applyFont="1" applyBorder="1" applyAlignment="1" applyProtection="1"/>
    <xf numFmtId="0" fontId="7" fillId="3" borderId="2" xfId="0" applyFont="1" applyFill="1" applyBorder="1" applyAlignment="1" applyProtection="1">
      <alignment horizontal="center"/>
    </xf>
    <xf numFmtId="1" fontId="9" fillId="3" borderId="3" xfId="0" applyNumberFormat="1" applyFont="1" applyFill="1" applyBorder="1" applyAlignment="1" applyProtection="1"/>
    <xf numFmtId="1" fontId="9" fillId="3" borderId="0" xfId="0" applyNumberFormat="1" applyFont="1" applyFill="1" applyAlignment="1" applyProtection="1"/>
    <xf numFmtId="165" fontId="10" fillId="4" borderId="2" xfId="0" applyNumberFormat="1" applyFont="1" applyFill="1" applyBorder="1" applyAlignment="1" applyProtection="1"/>
    <xf numFmtId="165" fontId="10" fillId="4" borderId="3" xfId="0" applyNumberFormat="1" applyFont="1" applyFill="1" applyBorder="1" applyAlignment="1" applyProtection="1"/>
    <xf numFmtId="1" fontId="11" fillId="3" borderId="0" xfId="0" applyNumberFormat="1" applyFont="1" applyFill="1" applyAlignment="1" applyProtection="1"/>
    <xf numFmtId="15" fontId="3" fillId="3" borderId="0" xfId="0" applyNumberFormat="1" applyFont="1" applyFill="1" applyAlignment="1" applyProtection="1"/>
    <xf numFmtId="0" fontId="10" fillId="3" borderId="0" xfId="0" applyFont="1" applyFill="1" applyAlignment="1" applyProtection="1">
      <protection locked="0"/>
    </xf>
    <xf numFmtId="0" fontId="10" fillId="3" borderId="0" xfId="0" applyFont="1" applyFill="1" applyAlignment="1" applyProtection="1"/>
    <xf numFmtId="0" fontId="10" fillId="3" borderId="0" xfId="0" applyFont="1" applyFill="1" applyAlignment="1" applyProtection="1">
      <alignment horizontal="right"/>
      <protection locked="0"/>
    </xf>
    <xf numFmtId="0" fontId="10" fillId="0" borderId="0" xfId="0" applyFont="1" applyAlignment="1" applyProtection="1">
      <protection locked="0"/>
    </xf>
    <xf numFmtId="0" fontId="15" fillId="3" borderId="0" xfId="0" applyFont="1" applyFill="1" applyAlignment="1" applyProtection="1">
      <protection locked="0"/>
    </xf>
    <xf numFmtId="0" fontId="10" fillId="3" borderId="0" xfId="0" applyFont="1" applyFill="1" applyAlignment="1" applyProtection="1">
      <alignment vertical="top" wrapText="1"/>
    </xf>
    <xf numFmtId="166" fontId="17" fillId="3" borderId="0" xfId="0" applyNumberFormat="1" applyFont="1" applyFill="1" applyAlignment="1" applyProtection="1">
      <alignment horizontal="right"/>
      <protection locked="0"/>
    </xf>
    <xf numFmtId="167" fontId="10" fillId="3" borderId="0" xfId="1" applyNumberFormat="1" applyFont="1" applyFill="1" applyBorder="1" applyAlignment="1" applyProtection="1"/>
    <xf numFmtId="0" fontId="17" fillId="3" borderId="0" xfId="0" applyFont="1" applyFill="1" applyAlignment="1" applyProtection="1">
      <protection locked="0"/>
    </xf>
    <xf numFmtId="0" fontId="18" fillId="6" borderId="4" xfId="0" applyFont="1" applyFill="1" applyBorder="1" applyAlignment="1" applyProtection="1"/>
    <xf numFmtId="0" fontId="19" fillId="6" borderId="11" xfId="0" applyFont="1" applyFill="1" applyBorder="1" applyAlignment="1" applyProtection="1"/>
    <xf numFmtId="0" fontId="19" fillId="6" borderId="11" xfId="0" applyFont="1" applyFill="1" applyBorder="1" applyAlignment="1" applyProtection="1">
      <protection locked="0"/>
    </xf>
    <xf numFmtId="0" fontId="10" fillId="6" borderId="12" xfId="0" applyFont="1" applyFill="1" applyBorder="1" applyAlignment="1" applyProtection="1">
      <protection locked="0"/>
    </xf>
    <xf numFmtId="0" fontId="18" fillId="3" borderId="7" xfId="0" applyFont="1" applyFill="1" applyBorder="1" applyAlignment="1" applyProtection="1"/>
    <xf numFmtId="0" fontId="20" fillId="3" borderId="0" xfId="0" applyFont="1" applyFill="1" applyAlignment="1" applyProtection="1">
      <alignment horizontal="right"/>
    </xf>
    <xf numFmtId="0" fontId="10" fillId="3" borderId="13" xfId="0" applyFont="1" applyFill="1" applyBorder="1" applyAlignment="1" applyProtection="1">
      <protection locked="0"/>
    </xf>
    <xf numFmtId="0" fontId="17" fillId="3" borderId="7" xfId="0" applyFont="1" applyFill="1" applyBorder="1" applyAlignment="1" applyProtection="1"/>
    <xf numFmtId="166" fontId="17" fillId="3" borderId="0" xfId="0" applyNumberFormat="1" applyFont="1" applyFill="1" applyAlignment="1" applyProtection="1">
      <alignment horizontal="center"/>
      <protection locked="0"/>
    </xf>
    <xf numFmtId="0" fontId="10" fillId="3" borderId="7" xfId="0" applyFont="1" applyFill="1" applyBorder="1" applyAlignment="1" applyProtection="1">
      <alignment horizontal="left" indent="1"/>
    </xf>
    <xf numFmtId="165" fontId="10" fillId="3" borderId="0" xfId="0" applyNumberFormat="1" applyFont="1" applyFill="1" applyAlignment="1" applyProtection="1">
      <protection locked="0"/>
    </xf>
    <xf numFmtId="0" fontId="17" fillId="7" borderId="7" xfId="0" applyFont="1" applyFill="1" applyBorder="1" applyAlignment="1" applyProtection="1">
      <alignment horizontal="left" indent="1"/>
    </xf>
    <xf numFmtId="0" fontId="10" fillId="3" borderId="14" xfId="0" applyFont="1" applyFill="1" applyBorder="1" applyAlignment="1" applyProtection="1">
      <protection locked="0"/>
    </xf>
    <xf numFmtId="0" fontId="19" fillId="6" borderId="12" xfId="0" applyFont="1" applyFill="1" applyBorder="1" applyAlignment="1" applyProtection="1">
      <protection locked="0"/>
    </xf>
    <xf numFmtId="0" fontId="17" fillId="3" borderId="7" xfId="0" applyFont="1" applyFill="1" applyBorder="1" applyAlignment="1" applyProtection="1">
      <alignment horizontal="right"/>
    </xf>
    <xf numFmtId="168" fontId="17" fillId="3" borderId="5" xfId="0" applyNumberFormat="1" applyFont="1" applyFill="1" applyBorder="1" applyAlignment="1" applyProtection="1">
      <alignment horizontal="right"/>
    </xf>
    <xf numFmtId="168" fontId="17" fillId="3" borderId="6" xfId="0" applyNumberFormat="1" applyFont="1" applyFill="1" applyBorder="1" applyAlignment="1" applyProtection="1">
      <alignment horizontal="right"/>
    </xf>
    <xf numFmtId="0" fontId="10" fillId="3" borderId="15" xfId="0" applyFont="1" applyFill="1" applyBorder="1" applyAlignment="1" applyProtection="1">
      <protection locked="0"/>
    </xf>
    <xf numFmtId="0" fontId="10" fillId="3" borderId="7" xfId="0" applyFont="1" applyFill="1" applyBorder="1" applyAlignment="1" applyProtection="1">
      <alignment horizontal="right"/>
      <protection locked="0"/>
    </xf>
    <xf numFmtId="0" fontId="24" fillId="3" borderId="7" xfId="0" applyFont="1" applyFill="1" applyBorder="1" applyAlignment="1" applyProtection="1">
      <alignment horizontal="right"/>
    </xf>
    <xf numFmtId="0" fontId="24" fillId="3" borderId="0" xfId="0" applyFont="1" applyFill="1" applyAlignment="1" applyProtection="1">
      <alignment horizontal="right"/>
    </xf>
    <xf numFmtId="165" fontId="10" fillId="9" borderId="16" xfId="0" applyNumberFormat="1" applyFont="1" applyFill="1" applyBorder="1" applyAlignment="1" applyProtection="1"/>
    <xf numFmtId="0" fontId="10" fillId="3" borderId="7" xfId="0" applyFont="1" applyFill="1" applyBorder="1" applyAlignment="1" applyProtection="1"/>
    <xf numFmtId="167" fontId="10" fillId="3" borderId="0" xfId="1" applyNumberFormat="1" applyFont="1" applyFill="1" applyBorder="1" applyAlignment="1" applyProtection="1">
      <protection locked="0"/>
    </xf>
    <xf numFmtId="165" fontId="17" fillId="9" borderId="16" xfId="0" applyNumberFormat="1" applyFont="1" applyFill="1" applyBorder="1" applyAlignment="1" applyProtection="1"/>
    <xf numFmtId="165" fontId="10" fillId="9" borderId="0" xfId="0" applyNumberFormat="1" applyFont="1" applyFill="1" applyAlignment="1" applyProtection="1"/>
    <xf numFmtId="165" fontId="17" fillId="3" borderId="0" xfId="0" applyNumberFormat="1" applyFont="1" applyFill="1" applyAlignment="1" applyProtection="1">
      <protection locked="0"/>
    </xf>
    <xf numFmtId="165" fontId="10" fillId="9" borderId="0" xfId="1" applyNumberFormat="1" applyFont="1" applyFill="1" applyBorder="1" applyAlignment="1" applyProtection="1"/>
    <xf numFmtId="165" fontId="10" fillId="9" borderId="16" xfId="1" applyNumberFormat="1" applyFont="1" applyFill="1" applyBorder="1" applyAlignment="1" applyProtection="1"/>
    <xf numFmtId="165" fontId="25" fillId="3" borderId="0" xfId="0" applyNumberFormat="1" applyFont="1" applyFill="1" applyAlignment="1" applyProtection="1">
      <protection locked="0"/>
    </xf>
    <xf numFmtId="0" fontId="17" fillId="3" borderId="9" xfId="0" applyFont="1" applyFill="1" applyBorder="1" applyAlignment="1" applyProtection="1"/>
    <xf numFmtId="165" fontId="17" fillId="3" borderId="9" xfId="0" applyNumberFormat="1" applyFont="1" applyFill="1" applyBorder="1" applyAlignment="1" applyProtection="1">
      <protection locked="0"/>
    </xf>
    <xf numFmtId="165" fontId="17" fillId="3" borderId="10" xfId="0" applyNumberFormat="1" applyFont="1" applyFill="1" applyBorder="1" applyAlignment="1" applyProtection="1">
      <protection locked="0"/>
    </xf>
    <xf numFmtId="0" fontId="16" fillId="0" borderId="0" xfId="0" applyFont="1" applyAlignment="1" applyProtection="1"/>
    <xf numFmtId="166" fontId="17" fillId="3" borderId="7" xfId="0" applyNumberFormat="1" applyFont="1" applyFill="1" applyBorder="1" applyAlignment="1" applyProtection="1">
      <alignment horizontal="center"/>
    </xf>
    <xf numFmtId="166" fontId="17" fillId="3" borderId="0" xfId="0" applyNumberFormat="1" applyFont="1" applyFill="1" applyAlignment="1" applyProtection="1">
      <alignment horizontal="center"/>
    </xf>
    <xf numFmtId="3" fontId="10" fillId="3" borderId="0" xfId="0" applyNumberFormat="1" applyFont="1" applyFill="1" applyAlignment="1" applyProtection="1">
      <protection locked="0"/>
    </xf>
    <xf numFmtId="165" fontId="25" fillId="10" borderId="0" xfId="0" applyNumberFormat="1" applyFont="1" applyFill="1" applyAlignment="1" applyProtection="1">
      <protection locked="0"/>
    </xf>
    <xf numFmtId="165" fontId="10" fillId="0" borderId="0" xfId="0" applyNumberFormat="1" applyFont="1" applyAlignment="1" applyProtection="1"/>
    <xf numFmtId="0" fontId="10" fillId="0" borderId="7" xfId="0" applyFont="1" applyBorder="1" applyAlignment="1" applyProtection="1"/>
    <xf numFmtId="3" fontId="10" fillId="3" borderId="7" xfId="0" applyNumberFormat="1" applyFont="1" applyFill="1" applyBorder="1" applyAlignment="1" applyProtection="1">
      <protection locked="0"/>
    </xf>
    <xf numFmtId="0" fontId="16" fillId="3" borderId="0" xfId="0" applyFont="1" applyFill="1" applyAlignment="1" applyProtection="1">
      <protection locked="0"/>
    </xf>
    <xf numFmtId="0" fontId="10" fillId="3" borderId="9" xfId="0" applyFont="1" applyFill="1" applyBorder="1" applyAlignment="1" applyProtection="1"/>
    <xf numFmtId="0" fontId="10" fillId="3" borderId="10" xfId="0" applyFont="1" applyFill="1" applyBorder="1" applyAlignment="1" applyProtection="1">
      <protection locked="0"/>
    </xf>
    <xf numFmtId="0" fontId="18" fillId="6" borderId="5" xfId="0" applyFont="1" applyFill="1" applyBorder="1" applyAlignment="1" applyProtection="1"/>
    <xf numFmtId="0" fontId="10" fillId="6" borderId="15" xfId="0" applyFont="1" applyFill="1" applyBorder="1" applyAlignment="1" applyProtection="1">
      <protection locked="0"/>
    </xf>
    <xf numFmtId="0" fontId="22" fillId="3" borderId="5" xfId="0" applyFont="1" applyFill="1" applyBorder="1" applyAlignment="1" applyProtection="1"/>
    <xf numFmtId="166" fontId="22" fillId="3" borderId="6" xfId="0" applyNumberFormat="1" applyFont="1" applyFill="1" applyBorder="1" applyAlignment="1" applyProtection="1">
      <alignment horizontal="center"/>
    </xf>
    <xf numFmtId="0" fontId="20" fillId="3" borderId="15" xfId="0" applyFont="1" applyFill="1" applyBorder="1" applyAlignment="1" applyProtection="1">
      <protection locked="0"/>
    </xf>
    <xf numFmtId="0" fontId="20" fillId="3" borderId="7" xfId="0" applyFont="1" applyFill="1" applyBorder="1" applyAlignment="1" applyProtection="1"/>
    <xf numFmtId="0" fontId="20" fillId="3" borderId="13" xfId="0" applyFont="1" applyFill="1" applyBorder="1" applyAlignment="1" applyProtection="1">
      <protection locked="0"/>
    </xf>
    <xf numFmtId="0" fontId="20" fillId="3" borderId="0" xfId="0" applyFont="1" applyFill="1" applyAlignment="1" applyProtection="1">
      <protection locked="0"/>
    </xf>
    <xf numFmtId="0" fontId="22" fillId="3" borderId="7" xfId="6" applyFont="1" applyFill="1" applyBorder="1" applyAlignment="1" applyProtection="1"/>
    <xf numFmtId="0" fontId="20" fillId="3" borderId="7" xfId="6" applyFont="1" applyFill="1" applyBorder="1" applyAlignment="1" applyProtection="1"/>
    <xf numFmtId="165" fontId="20" fillId="0" borderId="0" xfId="0" applyNumberFormat="1" applyFont="1" applyAlignment="1" applyProtection="1"/>
    <xf numFmtId="0" fontId="22" fillId="3" borderId="17" xfId="6" applyFont="1" applyFill="1" applyBorder="1" applyAlignment="1" applyProtection="1"/>
    <xf numFmtId="0" fontId="20" fillId="3" borderId="17" xfId="6" applyFont="1" applyFill="1" applyBorder="1" applyAlignment="1" applyProtection="1"/>
    <xf numFmtId="165" fontId="20" fillId="3" borderId="0" xfId="0" applyNumberFormat="1" applyFont="1" applyFill="1" applyAlignment="1" applyProtection="1"/>
    <xf numFmtId="0" fontId="20" fillId="3" borderId="17" xfId="0" applyFont="1" applyFill="1" applyBorder="1" applyAlignment="1" applyProtection="1"/>
    <xf numFmtId="165" fontId="22" fillId="3" borderId="16" xfId="0" applyNumberFormat="1" applyFont="1" applyFill="1" applyBorder="1" applyAlignment="1" applyProtection="1"/>
    <xf numFmtId="165" fontId="22" fillId="3" borderId="0" xfId="0" applyNumberFormat="1" applyFont="1" applyFill="1" applyAlignment="1" applyProtection="1"/>
    <xf numFmtId="165" fontId="22" fillId="3" borderId="18" xfId="0" applyNumberFormat="1" applyFont="1" applyFill="1" applyBorder="1" applyAlignment="1" applyProtection="1"/>
    <xf numFmtId="165" fontId="20" fillId="3" borderId="19" xfId="0" applyNumberFormat="1" applyFont="1" applyFill="1" applyBorder="1" applyAlignment="1" applyProtection="1"/>
    <xf numFmtId="0" fontId="22" fillId="3" borderId="7" xfId="0" applyFont="1" applyFill="1" applyBorder="1" applyAlignment="1" applyProtection="1"/>
    <xf numFmtId="0" fontId="22" fillId="3" borderId="0" xfId="0" applyFont="1" applyFill="1" applyAlignment="1" applyProtection="1">
      <protection locked="0"/>
    </xf>
    <xf numFmtId="165" fontId="20" fillId="3" borderId="0" xfId="0" applyNumberFormat="1" applyFont="1" applyFill="1" applyAlignment="1" applyProtection="1">
      <protection locked="0"/>
    </xf>
    <xf numFmtId="0" fontId="20" fillId="3" borderId="9" xfId="0" applyFont="1" applyFill="1" applyBorder="1" applyAlignment="1" applyProtection="1">
      <protection locked="0"/>
    </xf>
    <xf numFmtId="0" fontId="20" fillId="3" borderId="10" xfId="0" applyFont="1" applyFill="1" applyBorder="1" applyAlignment="1" applyProtection="1">
      <protection locked="0"/>
    </xf>
    <xf numFmtId="0" fontId="20" fillId="3" borderId="14" xfId="0" applyFont="1" applyFill="1" applyBorder="1" applyAlignment="1" applyProtection="1">
      <protection locked="0"/>
    </xf>
    <xf numFmtId="0" fontId="2" fillId="0" borderId="0" xfId="0" applyFont="1" applyAlignment="1" applyProtection="1">
      <protection locked="0"/>
    </xf>
    <xf numFmtId="0" fontId="29" fillId="3" borderId="0" xfId="0" applyFont="1" applyFill="1" applyAlignment="1" applyProtection="1"/>
    <xf numFmtId="0" fontId="2" fillId="3" borderId="0" xfId="0" applyFont="1" applyFill="1" applyAlignment="1" applyProtection="1">
      <protection locked="0"/>
    </xf>
    <xf numFmtId="0" fontId="29" fillId="3" borderId="0" xfId="0" applyFont="1" applyFill="1" applyAlignment="1" applyProtection="1">
      <protection locked="0"/>
    </xf>
    <xf numFmtId="0" fontId="29" fillId="0" borderId="0" xfId="0" applyFont="1" applyAlignment="1" applyProtection="1">
      <protection locked="0"/>
    </xf>
    <xf numFmtId="0" fontId="30" fillId="3" borderId="0" xfId="0" applyFont="1" applyFill="1" applyAlignment="1" applyProtection="1">
      <protection locked="0"/>
    </xf>
    <xf numFmtId="0" fontId="30" fillId="0" borderId="0" xfId="0" applyFont="1" applyAlignment="1" applyProtection="1">
      <protection locked="0"/>
    </xf>
    <xf numFmtId="0" fontId="31" fillId="6" borderId="4" xfId="0" applyFont="1" applyFill="1" applyBorder="1" applyAlignment="1" applyProtection="1"/>
    <xf numFmtId="0" fontId="19" fillId="3" borderId="0" xfId="0" applyFont="1" applyFill="1" applyAlignment="1" applyProtection="1">
      <protection locked="0"/>
    </xf>
    <xf numFmtId="0" fontId="18" fillId="0" borderId="0" xfId="0" applyFont="1" applyAlignment="1" applyProtection="1"/>
    <xf numFmtId="0" fontId="31" fillId="6" borderId="11" xfId="0" applyFont="1" applyFill="1" applyBorder="1" applyAlignment="1" applyProtection="1"/>
    <xf numFmtId="0" fontId="18" fillId="6" borderId="20" xfId="0" applyFont="1" applyFill="1" applyBorder="1" applyAlignment="1" applyProtection="1"/>
    <xf numFmtId="17" fontId="17" fillId="3" borderId="21" xfId="0" applyNumberFormat="1" applyFont="1" applyFill="1" applyBorder="1" applyAlignment="1" applyProtection="1">
      <alignment horizontal="center"/>
      <protection locked="0"/>
    </xf>
    <xf numFmtId="17" fontId="17" fillId="3" borderId="6" xfId="0" applyNumberFormat="1" applyFont="1" applyFill="1" applyBorder="1" applyAlignment="1" applyProtection="1">
      <alignment horizontal="center"/>
    </xf>
    <xf numFmtId="17" fontId="17" fillId="3" borderId="22" xfId="0" applyNumberFormat="1" applyFont="1" applyFill="1" applyBorder="1" applyAlignment="1" applyProtection="1">
      <alignment horizontal="center"/>
    </xf>
    <xf numFmtId="17" fontId="17" fillId="3" borderId="0" xfId="0" applyNumberFormat="1" applyFont="1" applyFill="1" applyAlignment="1" applyProtection="1">
      <protection locked="0"/>
    </xf>
    <xf numFmtId="17" fontId="17" fillId="3" borderId="23" xfId="0" applyNumberFormat="1" applyFont="1" applyFill="1" applyBorder="1" applyAlignment="1" applyProtection="1">
      <protection locked="0"/>
    </xf>
    <xf numFmtId="17" fontId="17" fillId="0" borderId="7" xfId="0" applyNumberFormat="1" applyFont="1" applyBorder="1" applyAlignment="1" applyProtection="1">
      <protection locked="0"/>
    </xf>
    <xf numFmtId="0" fontId="17" fillId="3" borderId="24" xfId="0" applyFont="1" applyFill="1" applyBorder="1" applyAlignment="1" applyProtection="1"/>
    <xf numFmtId="17" fontId="17" fillId="3" borderId="7" xfId="0" applyNumberFormat="1" applyFont="1" applyFill="1" applyBorder="1" applyAlignment="1" applyProtection="1">
      <alignment horizontal="center"/>
    </xf>
    <xf numFmtId="17" fontId="17" fillId="3" borderId="0" xfId="0" applyNumberFormat="1" applyFont="1" applyFill="1" applyAlignment="1" applyProtection="1">
      <alignment horizontal="center"/>
    </xf>
    <xf numFmtId="17" fontId="17" fillId="3" borderId="13" xfId="0" applyNumberFormat="1" applyFont="1" applyFill="1" applyBorder="1" applyAlignment="1" applyProtection="1">
      <alignment horizontal="center"/>
    </xf>
    <xf numFmtId="17" fontId="17" fillId="3" borderId="25" xfId="0" applyNumberFormat="1" applyFont="1" applyFill="1" applyBorder="1" applyAlignment="1" applyProtection="1">
      <protection locked="0"/>
    </xf>
    <xf numFmtId="17" fontId="17" fillId="3" borderId="26" xfId="0" applyNumberFormat="1" applyFont="1" applyFill="1" applyBorder="1" applyAlignment="1" applyProtection="1"/>
    <xf numFmtId="0" fontId="24" fillId="3" borderId="17" xfId="0" applyFont="1" applyFill="1" applyBorder="1" applyAlignment="1" applyProtection="1">
      <alignment horizontal="right"/>
    </xf>
    <xf numFmtId="0" fontId="24" fillId="3" borderId="25" xfId="0" applyFont="1" applyFill="1" applyBorder="1" applyAlignment="1" applyProtection="1">
      <alignment horizontal="right"/>
    </xf>
    <xf numFmtId="0" fontId="24" fillId="3" borderId="0" xfId="0" applyFont="1" applyFill="1" applyAlignment="1" applyProtection="1">
      <alignment horizontal="right"/>
      <protection locked="0"/>
    </xf>
    <xf numFmtId="0" fontId="24" fillId="3" borderId="23" xfId="0" applyFont="1" applyFill="1" applyBorder="1" applyAlignment="1" applyProtection="1">
      <alignment horizontal="right"/>
    </xf>
    <xf numFmtId="0" fontId="24" fillId="0" borderId="7" xfId="0" applyFont="1" applyBorder="1" applyAlignment="1" applyProtection="1">
      <alignment horizontal="right"/>
    </xf>
    <xf numFmtId="0" fontId="10" fillId="3" borderId="24" xfId="0" applyFont="1" applyFill="1" applyBorder="1" applyAlignment="1" applyProtection="1"/>
    <xf numFmtId="0" fontId="24" fillId="3" borderId="13" xfId="0" applyFont="1" applyFill="1" applyBorder="1" applyAlignment="1" applyProtection="1">
      <alignment horizontal="right"/>
    </xf>
    <xf numFmtId="0" fontId="24" fillId="3" borderId="26" xfId="0" applyFont="1" applyFill="1" applyBorder="1" applyAlignment="1" applyProtection="1">
      <alignment horizontal="right"/>
    </xf>
    <xf numFmtId="0" fontId="18" fillId="6" borderId="2" xfId="0" applyFont="1" applyFill="1" applyBorder="1" applyAlignment="1" applyProtection="1"/>
    <xf numFmtId="3" fontId="25" fillId="3" borderId="17" xfId="0" applyNumberFormat="1" applyFont="1" applyFill="1" applyBorder="1" applyAlignment="1" applyProtection="1">
      <protection locked="0"/>
    </xf>
    <xf numFmtId="3" fontId="25" fillId="3" borderId="0" xfId="0" applyNumberFormat="1" applyFont="1" applyFill="1" applyAlignment="1" applyProtection="1">
      <protection locked="0"/>
    </xf>
    <xf numFmtId="0" fontId="0" fillId="3" borderId="0" xfId="0" applyFill="1" applyAlignment="1" applyProtection="1">
      <protection locked="0"/>
    </xf>
    <xf numFmtId="0" fontId="0" fillId="3" borderId="25" xfId="0" applyFill="1" applyBorder="1" applyAlignment="1" applyProtection="1">
      <protection locked="0"/>
    </xf>
    <xf numFmtId="0" fontId="2" fillId="3" borderId="23" xfId="0" applyFont="1" applyFill="1" applyBorder="1" applyAlignment="1" applyProtection="1"/>
    <xf numFmtId="0" fontId="2" fillId="0" borderId="0" xfId="0" applyFont="1" applyAlignment="1" applyProtection="1"/>
    <xf numFmtId="0" fontId="18" fillId="6" borderId="27" xfId="0" applyFont="1" applyFill="1" applyBorder="1" applyAlignment="1" applyProtection="1"/>
    <xf numFmtId="0" fontId="2" fillId="3" borderId="13" xfId="0" applyFont="1" applyFill="1" applyBorder="1" applyAlignment="1" applyProtection="1">
      <protection locked="0"/>
    </xf>
    <xf numFmtId="0" fontId="2" fillId="3" borderId="26" xfId="0" applyFont="1" applyFill="1" applyBorder="1" applyAlignment="1" applyProtection="1"/>
    <xf numFmtId="0" fontId="10" fillId="3" borderId="7" xfId="0" applyFont="1" applyFill="1" applyBorder="1" applyAlignment="1" applyProtection="1">
      <alignment horizontal="left" wrapText="1" indent="1"/>
    </xf>
    <xf numFmtId="3" fontId="1" fillId="3" borderId="17" xfId="0" applyNumberFormat="1" applyFont="1" applyFill="1" applyBorder="1" applyAlignment="1" applyProtection="1">
      <protection locked="0"/>
    </xf>
    <xf numFmtId="3" fontId="0" fillId="3" borderId="0" xfId="0" applyNumberFormat="1" applyFill="1" applyAlignment="1" applyProtection="1">
      <protection locked="0"/>
    </xf>
    <xf numFmtId="3" fontId="0" fillId="3" borderId="25" xfId="0" applyNumberFormat="1" applyFill="1" applyBorder="1" applyAlignment="1" applyProtection="1">
      <protection locked="0"/>
    </xf>
    <xf numFmtId="3" fontId="2" fillId="3" borderId="0" xfId="0" applyNumberFormat="1" applyFont="1" applyFill="1" applyAlignment="1" applyProtection="1">
      <protection locked="0"/>
    </xf>
    <xf numFmtId="3" fontId="2" fillId="9" borderId="23" xfId="0" applyNumberFormat="1" applyFont="1" applyFill="1" applyBorder="1" applyAlignment="1" applyProtection="1"/>
    <xf numFmtId="3" fontId="2" fillId="0" borderId="7" xfId="0" applyNumberFormat="1" applyFont="1" applyBorder="1" applyAlignment="1" applyProtection="1"/>
    <xf numFmtId="0" fontId="10" fillId="3" borderId="24" xfId="0" applyFont="1" applyFill="1" applyBorder="1" applyAlignment="1" applyProtection="1">
      <alignment horizontal="left" wrapText="1" indent="1"/>
    </xf>
    <xf numFmtId="3" fontId="0" fillId="3" borderId="7" xfId="0" applyNumberFormat="1" applyFill="1" applyBorder="1" applyAlignment="1" applyProtection="1">
      <protection locked="0"/>
    </xf>
    <xf numFmtId="0" fontId="0" fillId="3" borderId="13" xfId="0" applyFill="1" applyBorder="1" applyAlignment="1" applyProtection="1">
      <protection locked="0"/>
    </xf>
    <xf numFmtId="3" fontId="2" fillId="9" borderId="26" xfId="0" applyNumberFormat="1" applyFont="1" applyFill="1" applyBorder="1" applyAlignment="1" applyProtection="1"/>
    <xf numFmtId="3" fontId="0" fillId="3" borderId="17" xfId="0" applyNumberFormat="1" applyFill="1" applyBorder="1" applyAlignment="1" applyProtection="1">
      <protection locked="0"/>
    </xf>
    <xf numFmtId="3" fontId="0" fillId="3" borderId="13" xfId="0" applyNumberFormat="1" applyFill="1" applyBorder="1" applyAlignment="1" applyProtection="1">
      <protection locked="0"/>
    </xf>
    <xf numFmtId="0" fontId="10" fillId="11" borderId="7" xfId="0" applyFont="1" applyFill="1" applyBorder="1" applyAlignment="1" applyProtection="1">
      <alignment horizontal="left" wrapText="1" indent="1"/>
      <protection locked="0"/>
    </xf>
    <xf numFmtId="3" fontId="0" fillId="0" borderId="17" xfId="0" applyNumberFormat="1" applyBorder="1" applyAlignment="1" applyProtection="1">
      <protection locked="0"/>
    </xf>
    <xf numFmtId="0" fontId="10" fillId="11" borderId="24" xfId="0" applyFont="1" applyFill="1" applyBorder="1" applyAlignment="1" applyProtection="1">
      <alignment horizontal="left" wrapText="1" indent="1"/>
      <protection locked="0"/>
    </xf>
    <xf numFmtId="0" fontId="10" fillId="3" borderId="7" xfId="0" applyFont="1" applyFill="1" applyBorder="1" applyAlignment="1" applyProtection="1">
      <alignment wrapText="1"/>
    </xf>
    <xf numFmtId="0" fontId="2" fillId="0" borderId="7" xfId="0" applyFont="1" applyBorder="1" applyAlignment="1" applyProtection="1"/>
    <xf numFmtId="0" fontId="10" fillId="3" borderId="24" xfId="0" applyFont="1" applyFill="1" applyBorder="1" applyAlignment="1" applyProtection="1">
      <alignment wrapText="1"/>
    </xf>
    <xf numFmtId="0" fontId="18" fillId="6" borderId="2" xfId="0" applyFont="1" applyFill="1" applyBorder="1" applyAlignment="1" applyProtection="1">
      <alignment wrapText="1"/>
    </xf>
    <xf numFmtId="0" fontId="18" fillId="6" borderId="27" xfId="0" applyFont="1" applyFill="1" applyBorder="1" applyAlignment="1" applyProtection="1">
      <alignment wrapText="1"/>
    </xf>
    <xf numFmtId="0" fontId="17" fillId="3" borderId="7" xfId="0" applyFont="1" applyFill="1" applyBorder="1" applyAlignment="1" applyProtection="1">
      <alignment wrapText="1"/>
    </xf>
    <xf numFmtId="0" fontId="17" fillId="3" borderId="24" xfId="0" applyFont="1" applyFill="1" applyBorder="1" applyAlignment="1" applyProtection="1">
      <alignment wrapText="1"/>
    </xf>
    <xf numFmtId="3" fontId="2" fillId="3" borderId="7" xfId="0" applyNumberFormat="1" applyFont="1" applyFill="1" applyBorder="1" applyAlignment="1" applyProtection="1">
      <protection locked="0"/>
    </xf>
    <xf numFmtId="3" fontId="2" fillId="3" borderId="13" xfId="0" applyNumberFormat="1" applyFont="1" applyFill="1" applyBorder="1" applyAlignment="1" applyProtection="1">
      <protection locked="0"/>
    </xf>
    <xf numFmtId="49" fontId="17" fillId="3" borderId="7" xfId="0" applyNumberFormat="1" applyFont="1" applyFill="1" applyBorder="1" applyAlignment="1" applyProtection="1"/>
    <xf numFmtId="49" fontId="17" fillId="3" borderId="24" xfId="0" applyNumberFormat="1" applyFont="1" applyFill="1" applyBorder="1" applyAlignment="1" applyProtection="1"/>
    <xf numFmtId="3" fontId="0" fillId="3" borderId="28" xfId="0" applyNumberFormat="1" applyFill="1" applyBorder="1" applyAlignment="1" applyProtection="1">
      <protection locked="0"/>
    </xf>
    <xf numFmtId="3" fontId="0" fillId="3" borderId="19" xfId="0" applyNumberFormat="1" applyFill="1" applyBorder="1" applyAlignment="1" applyProtection="1">
      <protection locked="0"/>
    </xf>
    <xf numFmtId="0" fontId="0" fillId="3" borderId="19" xfId="0" applyFill="1" applyBorder="1" applyAlignment="1" applyProtection="1">
      <protection locked="0"/>
    </xf>
    <xf numFmtId="0" fontId="0" fillId="3" borderId="29" xfId="0" applyFill="1" applyBorder="1" applyAlignment="1" applyProtection="1">
      <protection locked="0"/>
    </xf>
    <xf numFmtId="3" fontId="2" fillId="9" borderId="30" xfId="0" applyNumberFormat="1" applyFont="1" applyFill="1" applyBorder="1" applyAlignment="1" applyProtection="1"/>
    <xf numFmtId="3" fontId="2" fillId="9" borderId="31" xfId="0" applyNumberFormat="1" applyFont="1" applyFill="1" applyBorder="1" applyAlignment="1" applyProtection="1"/>
    <xf numFmtId="3" fontId="2" fillId="9" borderId="32" xfId="0" applyNumberFormat="1" applyFont="1" applyFill="1" applyBorder="1" applyAlignment="1" applyProtection="1"/>
    <xf numFmtId="3" fontId="2" fillId="9" borderId="33" xfId="0" applyNumberFormat="1" applyFont="1" applyFill="1" applyBorder="1" applyAlignment="1" applyProtection="1"/>
    <xf numFmtId="3" fontId="2" fillId="0" borderId="31" xfId="0" applyNumberFormat="1" applyFont="1" applyBorder="1" applyAlignment="1" applyProtection="1"/>
    <xf numFmtId="3" fontId="2" fillId="9" borderId="34" xfId="0" applyNumberFormat="1" applyFont="1" applyFill="1" applyBorder="1" applyAlignment="1" applyProtection="1"/>
    <xf numFmtId="3" fontId="2" fillId="9" borderId="18" xfId="0" applyNumberFormat="1" applyFont="1" applyFill="1" applyBorder="1" applyAlignment="1" applyProtection="1"/>
    <xf numFmtId="3" fontId="2" fillId="9" borderId="35" xfId="0" applyNumberFormat="1" applyFont="1" applyFill="1" applyBorder="1" applyAlignment="1" applyProtection="1"/>
    <xf numFmtId="3" fontId="2" fillId="3" borderId="30" xfId="0" applyNumberFormat="1" applyFont="1" applyFill="1" applyBorder="1" applyAlignment="1" applyProtection="1">
      <protection locked="0"/>
    </xf>
    <xf numFmtId="3" fontId="2" fillId="3" borderId="31" xfId="0" applyNumberFormat="1" applyFont="1" applyFill="1" applyBorder="1" applyAlignment="1" applyProtection="1">
      <protection locked="0"/>
    </xf>
    <xf numFmtId="0" fontId="2" fillId="3" borderId="31" xfId="0" applyFont="1" applyFill="1" applyBorder="1" applyAlignment="1" applyProtection="1">
      <protection locked="0"/>
    </xf>
    <xf numFmtId="0" fontId="2" fillId="3" borderId="36" xfId="0" applyFont="1" applyFill="1" applyBorder="1" applyAlignment="1" applyProtection="1">
      <protection locked="0"/>
    </xf>
    <xf numFmtId="3" fontId="2" fillId="3" borderId="37" xfId="0" applyNumberFormat="1" applyFont="1" applyFill="1" applyBorder="1" applyAlignment="1" applyProtection="1">
      <protection locked="0"/>
    </xf>
    <xf numFmtId="3" fontId="2" fillId="3" borderId="38" xfId="0" applyNumberFormat="1" applyFont="1" applyFill="1" applyBorder="1" applyAlignment="1" applyProtection="1">
      <protection locked="0"/>
    </xf>
    <xf numFmtId="0" fontId="2" fillId="3" borderId="38" xfId="0" applyFont="1" applyFill="1" applyBorder="1" applyAlignment="1" applyProtection="1">
      <protection locked="0"/>
    </xf>
    <xf numFmtId="0" fontId="2" fillId="3" borderId="39" xfId="0" applyFont="1" applyFill="1" applyBorder="1" applyAlignment="1" applyProtection="1">
      <protection locked="0"/>
    </xf>
    <xf numFmtId="3" fontId="2" fillId="3" borderId="17" xfId="0" applyNumberFormat="1" applyFont="1" applyFill="1" applyBorder="1" applyAlignment="1" applyProtection="1">
      <protection locked="0"/>
    </xf>
    <xf numFmtId="0" fontId="10" fillId="0" borderId="0" xfId="0" applyFont="1" applyAlignment="1" applyProtection="1">
      <alignment horizontal="left" indent="1"/>
    </xf>
    <xf numFmtId="3" fontId="2" fillId="0" borderId="0" xfId="0" applyNumberFormat="1" applyFont="1" applyAlignment="1" applyProtection="1"/>
    <xf numFmtId="0" fontId="0" fillId="3" borderId="17" xfId="0" applyFill="1" applyBorder="1" applyAlignment="1" applyProtection="1">
      <protection locked="0"/>
    </xf>
    <xf numFmtId="3" fontId="0" fillId="3" borderId="29" xfId="0" applyNumberFormat="1" applyFill="1" applyBorder="1" applyAlignment="1" applyProtection="1">
      <protection locked="0"/>
    </xf>
    <xf numFmtId="3" fontId="0" fillId="3" borderId="40" xfId="0" applyNumberFormat="1" applyFill="1" applyBorder="1" applyAlignment="1" applyProtection="1">
      <protection locked="0"/>
    </xf>
    <xf numFmtId="0" fontId="2" fillId="3" borderId="17" xfId="0" applyFont="1" applyFill="1" applyBorder="1" applyAlignment="1" applyProtection="1">
      <protection locked="0"/>
    </xf>
    <xf numFmtId="0" fontId="2" fillId="3" borderId="7" xfId="0" applyFont="1" applyFill="1" applyBorder="1" applyAlignment="1" applyProtection="1">
      <protection locked="0"/>
    </xf>
    <xf numFmtId="3" fontId="2" fillId="9" borderId="0" xfId="0" applyNumberFormat="1" applyFont="1" applyFill="1" applyAlignment="1" applyProtection="1">
      <protection locked="0"/>
    </xf>
    <xf numFmtId="3" fontId="2" fillId="9" borderId="41" xfId="0" applyNumberFormat="1" applyFont="1" applyFill="1" applyBorder="1" applyAlignment="1" applyProtection="1"/>
    <xf numFmtId="3" fontId="2" fillId="9" borderId="42" xfId="0" applyNumberFormat="1" applyFont="1" applyFill="1" applyBorder="1" applyAlignment="1" applyProtection="1"/>
    <xf numFmtId="3" fontId="2" fillId="9" borderId="43" xfId="0" applyNumberFormat="1" applyFont="1" applyFill="1" applyBorder="1" applyAlignment="1" applyProtection="1"/>
    <xf numFmtId="0" fontId="32" fillId="3" borderId="24" xfId="0" applyFont="1" applyFill="1" applyBorder="1" applyAlignment="1" applyProtection="1">
      <alignment wrapText="1"/>
    </xf>
    <xf numFmtId="3" fontId="2" fillId="3" borderId="0" xfId="0" applyNumberFormat="1" applyFont="1" applyFill="1" applyAlignment="1" applyProtection="1"/>
    <xf numFmtId="3" fontId="2" fillId="3" borderId="13" xfId="0" applyNumberFormat="1" applyFont="1" applyFill="1" applyBorder="1" applyAlignment="1" applyProtection="1"/>
    <xf numFmtId="3" fontId="2" fillId="3" borderId="23" xfId="0" applyNumberFormat="1" applyFont="1" applyFill="1" applyBorder="1" applyAlignment="1" applyProtection="1"/>
    <xf numFmtId="3" fontId="2" fillId="3" borderId="26" xfId="0" applyNumberFormat="1" applyFont="1" applyFill="1" applyBorder="1" applyAlignment="1" applyProtection="1"/>
    <xf numFmtId="3" fontId="2" fillId="9" borderId="10" xfId="0" applyNumberFormat="1" applyFont="1" applyFill="1" applyBorder="1" applyAlignment="1" applyProtection="1"/>
    <xf numFmtId="3" fontId="2" fillId="9" borderId="14" xfId="0" applyNumberFormat="1" applyFont="1" applyFill="1" applyBorder="1" applyAlignment="1" applyProtection="1"/>
    <xf numFmtId="3" fontId="2" fillId="9" borderId="44" xfId="0" applyNumberFormat="1" applyFont="1" applyFill="1" applyBorder="1" applyAlignment="1" applyProtection="1"/>
    <xf numFmtId="3" fontId="2" fillId="9" borderId="19" xfId="0" applyNumberFormat="1" applyFont="1" applyFill="1" applyBorder="1" applyAlignment="1" applyProtection="1"/>
    <xf numFmtId="3" fontId="2" fillId="9" borderId="40" xfId="0" applyNumberFormat="1" applyFont="1" applyFill="1" applyBorder="1" applyAlignment="1" applyProtection="1"/>
    <xf numFmtId="3" fontId="2" fillId="3" borderId="7" xfId="0" applyNumberFormat="1" applyFont="1" applyFill="1" applyBorder="1" applyAlignment="1" applyProtection="1"/>
    <xf numFmtId="3" fontId="33" fillId="3" borderId="0" xfId="0" applyNumberFormat="1" applyFont="1" applyFill="1" applyAlignment="1" applyProtection="1"/>
    <xf numFmtId="49" fontId="17" fillId="3" borderId="45" xfId="0" applyNumberFormat="1" applyFont="1" applyFill="1" applyBorder="1" applyAlignment="1" applyProtection="1">
      <alignment wrapText="1"/>
    </xf>
    <xf numFmtId="165" fontId="2" fillId="9" borderId="6" xfId="0" applyNumberFormat="1" applyFont="1" applyFill="1" applyBorder="1" applyAlignment="1" applyProtection="1">
      <protection locked="0"/>
    </xf>
    <xf numFmtId="165" fontId="2" fillId="9" borderId="6" xfId="0" applyNumberFormat="1" applyFont="1" applyFill="1" applyBorder="1" applyAlignment="1" applyProtection="1"/>
    <xf numFmtId="165" fontId="2" fillId="9" borderId="15" xfId="0" applyNumberFormat="1" applyFont="1" applyFill="1" applyBorder="1" applyAlignment="1" applyProtection="1"/>
    <xf numFmtId="165" fontId="2" fillId="9" borderId="5" xfId="0" applyNumberFormat="1" applyFont="1" applyFill="1" applyBorder="1" applyAlignment="1" applyProtection="1"/>
    <xf numFmtId="0" fontId="17" fillId="3" borderId="46" xfId="0" applyFont="1" applyFill="1" applyBorder="1" applyAlignment="1" applyProtection="1">
      <alignment wrapText="1"/>
    </xf>
    <xf numFmtId="165" fontId="2" fillId="9" borderId="10" xfId="0" applyNumberFormat="1" applyFont="1" applyFill="1" applyBorder="1" applyAlignment="1" applyProtection="1"/>
    <xf numFmtId="165" fontId="2" fillId="9" borderId="14" xfId="0" applyNumberFormat="1" applyFont="1" applyFill="1" applyBorder="1" applyAlignment="1" applyProtection="1"/>
    <xf numFmtId="3" fontId="2" fillId="9" borderId="47" xfId="0" applyNumberFormat="1" applyFont="1" applyFill="1" applyBorder="1" applyAlignment="1" applyProtection="1"/>
    <xf numFmtId="3" fontId="2" fillId="0" borderId="9" xfId="0" applyNumberFormat="1" applyFont="1" applyBorder="1" applyAlignment="1" applyProtection="1"/>
    <xf numFmtId="165" fontId="2" fillId="9" borderId="9" xfId="0" applyNumberFormat="1" applyFont="1" applyFill="1" applyBorder="1" applyAlignment="1" applyProtection="1"/>
    <xf numFmtId="3" fontId="2" fillId="9" borderId="48" xfId="0" applyNumberFormat="1" applyFont="1" applyFill="1" applyBorder="1" applyAlignment="1" applyProtection="1"/>
    <xf numFmtId="165" fontId="2" fillId="3" borderId="0" xfId="0" applyNumberFormat="1" applyFont="1" applyFill="1" applyAlignment="1" applyProtection="1">
      <protection locked="0"/>
    </xf>
    <xf numFmtId="165" fontId="2" fillId="3" borderId="13" xfId="0" applyNumberFormat="1" applyFont="1" applyFill="1" applyBorder="1" applyAlignment="1" applyProtection="1">
      <protection locked="0"/>
    </xf>
    <xf numFmtId="165" fontId="2" fillId="3" borderId="7" xfId="0" applyNumberFormat="1" applyFont="1" applyFill="1" applyBorder="1" applyAlignment="1" applyProtection="1">
      <protection locked="0"/>
    </xf>
    <xf numFmtId="0" fontId="10" fillId="3" borderId="45" xfId="0" applyFont="1" applyFill="1" applyBorder="1" applyAlignment="1" applyProtection="1">
      <alignment wrapText="1"/>
    </xf>
    <xf numFmtId="165" fontId="2" fillId="3" borderId="6" xfId="0" applyNumberFormat="1" applyFont="1" applyFill="1" applyBorder="1" applyAlignment="1" applyProtection="1">
      <protection locked="0"/>
    </xf>
    <xf numFmtId="165" fontId="2" fillId="3" borderId="15" xfId="0" applyNumberFormat="1" applyFont="1" applyFill="1" applyBorder="1" applyAlignment="1" applyProtection="1">
      <protection locked="0"/>
    </xf>
    <xf numFmtId="165" fontId="2" fillId="3" borderId="5" xfId="0" applyNumberFormat="1" applyFont="1" applyFill="1" applyBorder="1" applyAlignment="1" applyProtection="1">
      <protection locked="0"/>
    </xf>
    <xf numFmtId="165" fontId="2" fillId="9" borderId="10" xfId="0" applyNumberFormat="1" applyFont="1" applyFill="1" applyBorder="1" applyAlignment="1" applyProtection="1">
      <alignment horizontal="right"/>
    </xf>
    <xf numFmtId="165" fontId="2" fillId="9" borderId="9" xfId="0" applyNumberFormat="1" applyFont="1" applyFill="1" applyBorder="1" applyAlignment="1" applyProtection="1">
      <alignment horizontal="right"/>
    </xf>
    <xf numFmtId="0" fontId="3" fillId="3" borderId="0" xfId="0" applyFont="1" applyFill="1" applyAlignment="1" applyProtection="1">
      <protection locked="0"/>
    </xf>
    <xf numFmtId="0" fontId="2" fillId="3" borderId="0" xfId="0" applyFont="1" applyFill="1" applyAlignment="1" applyProtection="1"/>
    <xf numFmtId="0" fontId="20" fillId="3" borderId="5" xfId="0" applyFont="1" applyFill="1" applyBorder="1" applyAlignment="1" applyProtection="1">
      <protection locked="0"/>
    </xf>
    <xf numFmtId="0" fontId="20" fillId="3" borderId="6" xfId="0" applyFont="1" applyFill="1" applyBorder="1" applyAlignment="1" applyProtection="1">
      <protection locked="0"/>
    </xf>
    <xf numFmtId="0" fontId="22" fillId="3" borderId="0" xfId="0" applyFont="1" applyFill="1" applyAlignment="1" applyProtection="1">
      <alignment horizontal="left"/>
      <protection locked="0"/>
    </xf>
    <xf numFmtId="0" fontId="22" fillId="3" borderId="7" xfId="0" applyFont="1" applyFill="1" applyBorder="1" applyAlignment="1" applyProtection="1">
      <protection locked="0"/>
    </xf>
    <xf numFmtId="0" fontId="20" fillId="3" borderId="7" xfId="0" applyFont="1" applyFill="1" applyBorder="1" applyAlignment="1" applyProtection="1">
      <protection locked="0"/>
    </xf>
    <xf numFmtId="0" fontId="22" fillId="3" borderId="9" xfId="0" applyFont="1" applyFill="1" applyBorder="1" applyAlignment="1" applyProtection="1">
      <protection locked="0"/>
    </xf>
    <xf numFmtId="0" fontId="37" fillId="3" borderId="0" xfId="0" applyFont="1" applyFill="1" applyAlignment="1" applyProtection="1">
      <alignment horizontal="center" wrapText="1"/>
      <protection locked="0"/>
    </xf>
    <xf numFmtId="0" fontId="18" fillId="6" borderId="4" xfId="0" applyFont="1" applyFill="1" applyBorder="1" applyAlignment="1" applyProtection="1">
      <protection hidden="1"/>
    </xf>
    <xf numFmtId="0" fontId="18" fillId="6" borderId="11" xfId="0" applyFont="1" applyFill="1" applyBorder="1" applyAlignment="1" applyProtection="1">
      <protection hidden="1"/>
    </xf>
    <xf numFmtId="0" fontId="32" fillId="6" borderId="11" xfId="0" applyFont="1" applyFill="1" applyBorder="1" applyAlignment="1" applyProtection="1"/>
    <xf numFmtId="0" fontId="18" fillId="6" borderId="12" xfId="0" applyFont="1" applyFill="1" applyBorder="1" applyAlignment="1" applyProtection="1">
      <protection hidden="1"/>
    </xf>
    <xf numFmtId="17" fontId="22" fillId="3" borderId="0" xfId="0" applyNumberFormat="1" applyFont="1" applyFill="1" applyAlignment="1" applyProtection="1">
      <alignment horizontal="right"/>
    </xf>
    <xf numFmtId="166" fontId="20" fillId="3" borderId="0" xfId="0" applyNumberFormat="1" applyFont="1" applyFill="1" applyAlignment="1" applyProtection="1">
      <alignment horizontal="right"/>
    </xf>
    <xf numFmtId="49" fontId="24" fillId="3" borderId="0" xfId="0" applyNumberFormat="1" applyFont="1" applyFill="1" applyAlignment="1" applyProtection="1">
      <alignment horizontal="center"/>
      <protection locked="0"/>
    </xf>
    <xf numFmtId="0" fontId="22" fillId="12" borderId="49" xfId="0" applyFont="1" applyFill="1" applyBorder="1" applyAlignment="1" applyProtection="1"/>
    <xf numFmtId="0" fontId="24" fillId="12" borderId="31" xfId="0" applyFont="1" applyFill="1" applyBorder="1" applyAlignment="1" applyProtection="1">
      <alignment horizontal="center"/>
    </xf>
    <xf numFmtId="0" fontId="24" fillId="12" borderId="36" xfId="0" applyFont="1" applyFill="1" applyBorder="1" applyAlignment="1" applyProtection="1">
      <alignment horizontal="center"/>
    </xf>
    <xf numFmtId="0" fontId="24" fillId="12" borderId="0" xfId="0" applyFont="1" applyFill="1" applyAlignment="1" applyProtection="1">
      <alignment horizontal="center"/>
    </xf>
    <xf numFmtId="0" fontId="20" fillId="3" borderId="24" xfId="0" applyFont="1" applyFill="1" applyBorder="1" applyAlignment="1" applyProtection="1"/>
    <xf numFmtId="165" fontId="20" fillId="3" borderId="25" xfId="0" applyNumberFormat="1" applyFont="1" applyFill="1" applyBorder="1" applyAlignment="1" applyProtection="1"/>
    <xf numFmtId="170" fontId="20" fillId="3" borderId="0" xfId="7" applyNumberFormat="1" applyFont="1" applyFill="1" applyBorder="1" applyAlignment="1" applyProtection="1">
      <alignment horizontal="right"/>
    </xf>
    <xf numFmtId="170" fontId="20" fillId="3" borderId="25" xfId="7" applyNumberFormat="1" applyFont="1" applyFill="1" applyBorder="1" applyAlignment="1" applyProtection="1">
      <alignment horizontal="right"/>
    </xf>
    <xf numFmtId="0" fontId="20" fillId="3" borderId="50" xfId="0" applyFont="1" applyFill="1" applyBorder="1" applyAlignment="1" applyProtection="1"/>
    <xf numFmtId="9" fontId="20" fillId="3" borderId="19" xfId="7" applyFont="1" applyFill="1" applyBorder="1" applyAlignment="1" applyProtection="1">
      <alignment horizontal="right"/>
    </xf>
    <xf numFmtId="9" fontId="20" fillId="3" borderId="29" xfId="7" applyFont="1" applyFill="1" applyBorder="1" applyAlignment="1" applyProtection="1">
      <alignment horizontal="right"/>
    </xf>
    <xf numFmtId="9" fontId="20" fillId="12" borderId="31" xfId="7" applyFont="1" applyFill="1" applyBorder="1" applyAlignment="1" applyProtection="1">
      <alignment horizontal="right"/>
    </xf>
    <xf numFmtId="9" fontId="20" fillId="12" borderId="36" xfId="7" applyFont="1" applyFill="1" applyBorder="1" applyAlignment="1" applyProtection="1">
      <alignment horizontal="right"/>
    </xf>
    <xf numFmtId="165" fontId="20" fillId="3" borderId="0" xfId="7" applyNumberFormat="1" applyFont="1" applyFill="1" applyBorder="1" applyAlignment="1" applyProtection="1">
      <alignment horizontal="right"/>
    </xf>
    <xf numFmtId="165" fontId="20" fillId="3" borderId="25" xfId="7" applyNumberFormat="1" applyFont="1" applyFill="1" applyBorder="1" applyAlignment="1" applyProtection="1">
      <alignment horizontal="right"/>
    </xf>
    <xf numFmtId="0" fontId="22" fillId="3" borderId="24" xfId="0" applyFont="1" applyFill="1" applyBorder="1" applyAlignment="1" applyProtection="1"/>
    <xf numFmtId="9" fontId="22" fillId="3" borderId="0" xfId="0" applyNumberFormat="1" applyFont="1" applyFill="1" applyAlignment="1" applyProtection="1">
      <alignment horizontal="right"/>
    </xf>
    <xf numFmtId="9" fontId="22" fillId="3" borderId="25" xfId="0" applyNumberFormat="1" applyFont="1" applyFill="1" applyBorder="1" applyAlignment="1" applyProtection="1">
      <alignment horizontal="right"/>
    </xf>
    <xf numFmtId="0" fontId="17" fillId="3" borderId="13" xfId="0" applyFont="1" applyFill="1" applyBorder="1" applyAlignment="1" applyProtection="1">
      <protection locked="0"/>
    </xf>
    <xf numFmtId="9" fontId="20" fillId="3" borderId="0" xfId="7" applyFont="1" applyFill="1" applyBorder="1" applyAlignment="1" applyProtection="1">
      <alignment horizontal="right"/>
    </xf>
    <xf numFmtId="9" fontId="20" fillId="3" borderId="25" xfId="7" applyFont="1" applyFill="1" applyBorder="1" applyAlignment="1" applyProtection="1">
      <alignment horizontal="right"/>
    </xf>
    <xf numFmtId="9" fontId="38" fillId="3" borderId="19" xfId="7" applyFont="1" applyFill="1" applyBorder="1" applyAlignment="1" applyProtection="1">
      <alignment horizontal="right"/>
    </xf>
    <xf numFmtId="9" fontId="38" fillId="3" borderId="29" xfId="7" applyFont="1" applyFill="1" applyBorder="1" applyAlignment="1" applyProtection="1">
      <alignment horizontal="right"/>
    </xf>
    <xf numFmtId="0" fontId="20" fillId="3" borderId="0" xfId="0" applyFont="1" applyFill="1" applyAlignment="1" applyProtection="1"/>
    <xf numFmtId="0" fontId="20" fillId="12" borderId="31" xfId="0" applyFont="1" applyFill="1" applyBorder="1" applyAlignment="1" applyProtection="1"/>
    <xf numFmtId="0" fontId="20" fillId="12" borderId="36" xfId="0" applyFont="1" applyFill="1" applyBorder="1" applyAlignment="1" applyProtection="1"/>
    <xf numFmtId="2" fontId="20" fillId="3" borderId="0" xfId="0" applyNumberFormat="1" applyFont="1" applyFill="1" applyAlignment="1" applyProtection="1">
      <alignment horizontal="right"/>
    </xf>
    <xf numFmtId="2" fontId="38" fillId="3" borderId="0" xfId="0" applyNumberFormat="1" applyFont="1" applyFill="1" applyAlignment="1" applyProtection="1">
      <alignment horizontal="right"/>
    </xf>
    <xf numFmtId="2" fontId="38" fillId="3" borderId="25" xfId="0" applyNumberFormat="1" applyFont="1" applyFill="1" applyBorder="1" applyAlignment="1" applyProtection="1">
      <alignment horizontal="right"/>
    </xf>
    <xf numFmtId="4" fontId="20" fillId="3" borderId="0" xfId="0" applyNumberFormat="1" applyFont="1" applyFill="1" applyAlignment="1" applyProtection="1">
      <alignment horizontal="right"/>
    </xf>
    <xf numFmtId="4" fontId="38" fillId="3" borderId="0" xfId="0" applyNumberFormat="1" applyFont="1" applyFill="1" applyAlignment="1" applyProtection="1">
      <alignment horizontal="right"/>
    </xf>
    <xf numFmtId="4" fontId="38" fillId="3" borderId="25" xfId="0" applyNumberFormat="1" applyFont="1" applyFill="1" applyBorder="1" applyAlignment="1" applyProtection="1">
      <alignment horizontal="right"/>
    </xf>
    <xf numFmtId="2" fontId="20" fillId="3" borderId="50" xfId="0" applyNumberFormat="1" applyFont="1" applyFill="1" applyBorder="1" applyAlignment="1" applyProtection="1"/>
    <xf numFmtId="3" fontId="20" fillId="3" borderId="0" xfId="0" applyNumberFormat="1" applyFont="1" applyFill="1" applyAlignment="1" applyProtection="1">
      <alignment horizontal="right"/>
    </xf>
    <xf numFmtId="3" fontId="20" fillId="3" borderId="25" xfId="0" applyNumberFormat="1" applyFont="1" applyFill="1" applyBorder="1" applyAlignment="1" applyProtection="1">
      <alignment horizontal="right"/>
    </xf>
    <xf numFmtId="165" fontId="38" fillId="3" borderId="0" xfId="0" applyNumberFormat="1" applyFont="1" applyFill="1" applyAlignment="1" applyProtection="1"/>
    <xf numFmtId="165" fontId="38" fillId="3" borderId="25" xfId="0" applyNumberFormat="1" applyFont="1" applyFill="1" applyBorder="1" applyAlignment="1" applyProtection="1"/>
    <xf numFmtId="170" fontId="38" fillId="3" borderId="0" xfId="7" applyNumberFormat="1" applyFont="1" applyFill="1" applyBorder="1" applyAlignment="1" applyProtection="1">
      <alignment horizontal="right"/>
    </xf>
    <xf numFmtId="170" fontId="38" fillId="3" borderId="25" xfId="7" applyNumberFormat="1" applyFont="1" applyFill="1" applyBorder="1" applyAlignment="1" applyProtection="1">
      <alignment horizontal="right"/>
    </xf>
    <xf numFmtId="0" fontId="10" fillId="3" borderId="13" xfId="0" applyFont="1" applyFill="1" applyBorder="1" applyAlignment="1" applyProtection="1">
      <alignment horizontal="right"/>
      <protection locked="0"/>
    </xf>
    <xf numFmtId="10" fontId="39" fillId="3" borderId="0" xfId="0" applyNumberFormat="1" applyFont="1" applyFill="1" applyAlignment="1" applyProtection="1"/>
    <xf numFmtId="10" fontId="20" fillId="3" borderId="19" xfId="0" applyNumberFormat="1" applyFont="1" applyFill="1" applyBorder="1" applyAlignment="1" applyProtection="1">
      <alignment horizontal="right"/>
    </xf>
    <xf numFmtId="10" fontId="38" fillId="3" borderId="19" xfId="0" applyNumberFormat="1" applyFont="1" applyFill="1" applyBorder="1" applyAlignment="1" applyProtection="1">
      <alignment horizontal="right"/>
    </xf>
    <xf numFmtId="10" fontId="38" fillId="3" borderId="29" xfId="0" applyNumberFormat="1" applyFont="1" applyFill="1" applyBorder="1" applyAlignment="1" applyProtection="1">
      <alignment horizontal="right"/>
    </xf>
    <xf numFmtId="171" fontId="20" fillId="3" borderId="0" xfId="0" applyNumberFormat="1" applyFont="1" applyFill="1" applyAlignment="1" applyProtection="1">
      <alignment horizontal="right"/>
    </xf>
    <xf numFmtId="171" fontId="38" fillId="3" borderId="0" xfId="0" applyNumberFormat="1" applyFont="1" applyFill="1" applyAlignment="1" applyProtection="1">
      <alignment horizontal="right"/>
    </xf>
    <xf numFmtId="171" fontId="38" fillId="3" borderId="25" xfId="0" applyNumberFormat="1" applyFont="1" applyFill="1" applyBorder="1" applyAlignment="1" applyProtection="1">
      <alignment horizontal="right"/>
    </xf>
    <xf numFmtId="2" fontId="39" fillId="3" borderId="0" xfId="0" applyNumberFormat="1" applyFont="1" applyFill="1" applyAlignment="1" applyProtection="1"/>
    <xf numFmtId="4" fontId="10" fillId="3" borderId="13" xfId="0" applyNumberFormat="1" applyFont="1" applyFill="1" applyBorder="1" applyAlignment="1" applyProtection="1">
      <alignment horizontal="right"/>
    </xf>
    <xf numFmtId="2" fontId="20" fillId="3" borderId="19" xfId="0" applyNumberFormat="1" applyFont="1" applyFill="1" applyBorder="1" applyAlignment="1" applyProtection="1">
      <alignment horizontal="right"/>
    </xf>
    <xf numFmtId="2" fontId="38" fillId="3" borderId="19" xfId="0" applyNumberFormat="1" applyFont="1" applyFill="1" applyBorder="1" applyAlignment="1" applyProtection="1">
      <alignment horizontal="right"/>
    </xf>
    <xf numFmtId="2" fontId="38" fillId="3" borderId="29" xfId="0" applyNumberFormat="1" applyFont="1" applyFill="1" applyBorder="1" applyAlignment="1" applyProtection="1">
      <alignment horizontal="right"/>
    </xf>
    <xf numFmtId="4" fontId="20" fillId="12" borderId="31" xfId="0" applyNumberFormat="1" applyFont="1" applyFill="1" applyBorder="1" applyAlignment="1" applyProtection="1">
      <alignment horizontal="right"/>
    </xf>
    <xf numFmtId="4" fontId="20" fillId="12" borderId="36" xfId="0" applyNumberFormat="1" applyFont="1" applyFill="1" applyBorder="1" applyAlignment="1" applyProtection="1">
      <alignment horizontal="right"/>
    </xf>
    <xf numFmtId="3" fontId="38" fillId="3" borderId="0" xfId="0" applyNumberFormat="1" applyFont="1" applyFill="1" applyAlignment="1" applyProtection="1">
      <alignment horizontal="right"/>
    </xf>
    <xf numFmtId="3" fontId="38" fillId="3" borderId="25" xfId="0" applyNumberFormat="1" applyFont="1" applyFill="1" applyBorder="1" applyAlignment="1" applyProtection="1">
      <alignment horizontal="right"/>
    </xf>
    <xf numFmtId="3" fontId="20" fillId="3" borderId="0" xfId="0" applyNumberFormat="1" applyFont="1" applyFill="1" applyAlignment="1" applyProtection="1"/>
    <xf numFmtId="3" fontId="38" fillId="3" borderId="0" xfId="0" applyNumberFormat="1" applyFont="1" applyFill="1" applyAlignment="1" applyProtection="1"/>
    <xf numFmtId="3" fontId="38" fillId="3" borderId="25" xfId="0" applyNumberFormat="1" applyFont="1" applyFill="1" applyBorder="1" applyAlignment="1" applyProtection="1"/>
    <xf numFmtId="0" fontId="40" fillId="3" borderId="5" xfId="0" applyFont="1" applyFill="1" applyBorder="1" applyAlignment="1" applyProtection="1">
      <protection locked="0"/>
    </xf>
    <xf numFmtId="0" fontId="40" fillId="3" borderId="15" xfId="0" applyFont="1" applyFill="1" applyBorder="1" applyAlignment="1" applyProtection="1">
      <protection locked="0"/>
    </xf>
    <xf numFmtId="0" fontId="40" fillId="3" borderId="0" xfId="0" applyFont="1" applyFill="1" applyAlignment="1" applyProtection="1">
      <protection locked="0"/>
    </xf>
    <xf numFmtId="0" fontId="40" fillId="3" borderId="7" xfId="0" applyFont="1" applyFill="1" applyBorder="1" applyAlignment="1" applyProtection="1">
      <protection locked="0"/>
    </xf>
    <xf numFmtId="0" fontId="40" fillId="3" borderId="13" xfId="0" applyFont="1" applyFill="1" applyBorder="1" applyAlignment="1" applyProtection="1">
      <protection locked="0"/>
    </xf>
    <xf numFmtId="1" fontId="20" fillId="3" borderId="0" xfId="0" applyNumberFormat="1" applyFont="1" applyFill="1" applyAlignment="1" applyProtection="1">
      <alignment horizontal="right"/>
    </xf>
    <xf numFmtId="1" fontId="38" fillId="3" borderId="0" xfId="0" applyNumberFormat="1" applyFont="1" applyFill="1" applyAlignment="1" applyProtection="1">
      <alignment horizontal="right"/>
    </xf>
    <xf numFmtId="1" fontId="38" fillId="3" borderId="25" xfId="0" applyNumberFormat="1" applyFont="1" applyFill="1" applyBorder="1" applyAlignment="1" applyProtection="1">
      <alignment horizontal="right"/>
    </xf>
    <xf numFmtId="0" fontId="40" fillId="3" borderId="9" xfId="0" applyFont="1" applyFill="1" applyBorder="1" applyAlignment="1" applyProtection="1">
      <protection locked="0"/>
    </xf>
    <xf numFmtId="9" fontId="40" fillId="3" borderId="14" xfId="0" applyNumberFormat="1" applyFont="1" applyFill="1" applyBorder="1" applyAlignment="1" applyProtection="1">
      <protection locked="0"/>
    </xf>
    <xf numFmtId="3" fontId="38" fillId="3" borderId="29" xfId="0" applyNumberFormat="1" applyFont="1" applyFill="1" applyBorder="1" applyAlignment="1" applyProtection="1">
      <alignment horizontal="right"/>
    </xf>
    <xf numFmtId="0" fontId="22" fillId="3" borderId="24" xfId="0" applyFont="1" applyFill="1" applyBorder="1" applyAlignment="1" applyProtection="1">
      <protection locked="0"/>
    </xf>
    <xf numFmtId="170" fontId="20" fillId="3" borderId="17" xfId="7" applyNumberFormat="1" applyFont="1" applyFill="1" applyBorder="1" applyAlignment="1" applyProtection="1">
      <alignment horizontal="right"/>
    </xf>
    <xf numFmtId="1" fontId="20" fillId="3" borderId="19" xfId="0" applyNumberFormat="1" applyFont="1" applyFill="1" applyBorder="1" applyAlignment="1" applyProtection="1">
      <alignment horizontal="right"/>
    </xf>
    <xf numFmtId="1" fontId="38" fillId="3" borderId="19" xfId="0" applyNumberFormat="1" applyFont="1" applyFill="1" applyBorder="1" applyAlignment="1" applyProtection="1">
      <alignment horizontal="right"/>
    </xf>
    <xf numFmtId="1" fontId="38" fillId="3" borderId="29" xfId="0" applyNumberFormat="1" applyFont="1" applyFill="1" applyBorder="1" applyAlignment="1" applyProtection="1">
      <alignment horizontal="right"/>
    </xf>
    <xf numFmtId="3" fontId="20" fillId="3" borderId="17" xfId="0" applyNumberFormat="1" applyFont="1" applyFill="1" applyBorder="1" applyAlignment="1" applyProtection="1"/>
    <xf numFmtId="3" fontId="20" fillId="3" borderId="25" xfId="0" applyNumberFormat="1" applyFont="1" applyFill="1" applyBorder="1" applyAlignment="1" applyProtection="1"/>
    <xf numFmtId="0" fontId="24" fillId="3" borderId="46" xfId="0" applyFont="1" applyFill="1" applyBorder="1" applyAlignment="1" applyProtection="1"/>
    <xf numFmtId="0" fontId="10" fillId="3" borderId="10" xfId="0" applyFont="1" applyFill="1" applyBorder="1" applyAlignment="1" applyProtection="1"/>
    <xf numFmtId="0" fontId="10" fillId="3" borderId="51" xfId="0" applyFont="1" applyFill="1" applyBorder="1" applyAlignment="1" applyProtection="1"/>
    <xf numFmtId="0" fontId="24" fillId="3" borderId="7" xfId="0" applyFont="1" applyFill="1" applyBorder="1" applyAlignment="1" applyProtection="1"/>
    <xf numFmtId="0" fontId="41" fillId="3" borderId="7" xfId="0" applyFont="1" applyFill="1" applyBorder="1" applyAlignment="1" applyProtection="1"/>
    <xf numFmtId="0" fontId="42" fillId="3" borderId="0" xfId="0" applyFont="1" applyFill="1" applyAlignment="1" applyProtection="1"/>
    <xf numFmtId="0" fontId="22" fillId="3" borderId="0" xfId="0" applyFont="1" applyFill="1" applyAlignment="1" applyProtection="1"/>
    <xf numFmtId="165" fontId="20" fillId="3" borderId="0" xfId="0" applyNumberFormat="1" applyFont="1" applyFill="1" applyAlignment="1" applyProtection="1">
      <alignment horizontal="right"/>
    </xf>
    <xf numFmtId="0" fontId="28" fillId="3" borderId="0" xfId="0" applyFont="1" applyFill="1" applyAlignment="1" applyProtection="1">
      <protection locked="0"/>
    </xf>
    <xf numFmtId="0" fontId="19" fillId="6" borderId="6" xfId="0" applyFont="1" applyFill="1" applyBorder="1" applyAlignment="1" applyProtection="1"/>
    <xf numFmtId="0" fontId="19" fillId="6" borderId="15" xfId="0" applyFont="1" applyFill="1" applyBorder="1" applyAlignment="1" applyProtection="1"/>
    <xf numFmtId="0" fontId="20" fillId="3" borderId="5" xfId="0" applyFont="1" applyFill="1" applyBorder="1" applyAlignment="1" applyProtection="1"/>
    <xf numFmtId="0" fontId="20" fillId="3" borderId="6" xfId="0" applyFont="1" applyFill="1" applyBorder="1" applyAlignment="1" applyProtection="1">
      <alignment horizontal="right"/>
    </xf>
    <xf numFmtId="166" fontId="22" fillId="3" borderId="0" xfId="0" applyNumberFormat="1" applyFont="1" applyFill="1" applyAlignment="1" applyProtection="1"/>
    <xf numFmtId="165" fontId="20" fillId="8" borderId="0" xfId="0" applyNumberFormat="1" applyFont="1" applyFill="1" applyAlignment="1" applyProtection="1"/>
    <xf numFmtId="165" fontId="20" fillId="3" borderId="0" xfId="1" applyNumberFormat="1" applyFont="1" applyFill="1" applyBorder="1" applyAlignment="1" applyProtection="1"/>
    <xf numFmtId="0" fontId="22" fillId="3" borderId="9" xfId="0" applyFont="1" applyFill="1" applyBorder="1" applyAlignment="1" applyProtection="1"/>
    <xf numFmtId="165" fontId="22" fillId="3" borderId="10" xfId="0" applyNumberFormat="1" applyFont="1" applyFill="1" applyBorder="1" applyAlignment="1" applyProtection="1"/>
    <xf numFmtId="0" fontId="41" fillId="3" borderId="5" xfId="0" applyFont="1" applyFill="1" applyBorder="1" applyAlignment="1" applyProtection="1"/>
    <xf numFmtId="0" fontId="42" fillId="3" borderId="6" xfId="0" applyFont="1" applyFill="1" applyBorder="1" applyAlignment="1" applyProtection="1"/>
    <xf numFmtId="0" fontId="43" fillId="3" borderId="6" xfId="0" applyFont="1" applyFill="1" applyBorder="1" applyAlignment="1" applyProtection="1"/>
    <xf numFmtId="172" fontId="20" fillId="3" borderId="0" xfId="0" applyNumberFormat="1" applyFont="1" applyFill="1" applyAlignment="1" applyProtection="1"/>
    <xf numFmtId="169" fontId="20" fillId="3" borderId="0" xfId="1" applyNumberFormat="1" applyFont="1" applyFill="1" applyBorder="1" applyAlignment="1" applyProtection="1"/>
    <xf numFmtId="0" fontId="20" fillId="3" borderId="9" xfId="0" applyFont="1" applyFill="1" applyBorder="1" applyAlignment="1" applyProtection="1"/>
    <xf numFmtId="0" fontId="20" fillId="3" borderId="10" xfId="0" applyFont="1" applyFill="1" applyBorder="1" applyAlignment="1" applyProtection="1"/>
    <xf numFmtId="0" fontId="17" fillId="3" borderId="5" xfId="0" applyFont="1" applyFill="1" applyBorder="1" applyAlignment="1" applyProtection="1"/>
    <xf numFmtId="0" fontId="23" fillId="3" borderId="6" xfId="0" applyFont="1" applyFill="1" applyBorder="1" applyAlignment="1" applyProtection="1">
      <alignment horizontal="center"/>
    </xf>
    <xf numFmtId="165" fontId="10" fillId="3" borderId="6" xfId="0" applyNumberFormat="1" applyFont="1" applyFill="1" applyBorder="1" applyAlignment="1" applyProtection="1">
      <alignment horizontal="right"/>
    </xf>
    <xf numFmtId="0" fontId="23" fillId="3" borderId="0" xfId="0" applyFont="1" applyFill="1" applyAlignment="1" applyProtection="1">
      <alignment horizontal="center"/>
    </xf>
    <xf numFmtId="165" fontId="17" fillId="12" borderId="0" xfId="0" applyNumberFormat="1" applyFont="1" applyFill="1" applyAlignment="1" applyProtection="1"/>
    <xf numFmtId="165" fontId="10" fillId="3" borderId="0" xfId="0" applyNumberFormat="1" applyFont="1" applyFill="1" applyAlignment="1" applyProtection="1"/>
    <xf numFmtId="0" fontId="20" fillId="3" borderId="6" xfId="0" applyFont="1" applyFill="1" applyBorder="1" applyAlignment="1" applyProtection="1"/>
    <xf numFmtId="0" fontId="22" fillId="3" borderId="44" xfId="0" applyFont="1" applyFill="1" applyBorder="1" applyAlignment="1" applyProtection="1"/>
    <xf numFmtId="166" fontId="20" fillId="3" borderId="19" xfId="0" applyNumberFormat="1" applyFont="1" applyFill="1" applyBorder="1" applyAlignment="1" applyProtection="1">
      <alignment horizontal="right"/>
    </xf>
    <xf numFmtId="166" fontId="20" fillId="12" borderId="0" xfId="0" applyNumberFormat="1" applyFont="1" applyFill="1" applyAlignment="1" applyProtection="1">
      <alignment horizontal="right"/>
    </xf>
    <xf numFmtId="166" fontId="20" fillId="12" borderId="36" xfId="0" applyNumberFormat="1" applyFont="1" applyFill="1" applyBorder="1" applyAlignment="1" applyProtection="1">
      <alignment horizontal="right"/>
    </xf>
    <xf numFmtId="3" fontId="20" fillId="3" borderId="0" xfId="7" applyNumberFormat="1" applyFont="1" applyFill="1" applyBorder="1" applyAlignment="1" applyProtection="1">
      <alignment horizontal="right"/>
    </xf>
    <xf numFmtId="3" fontId="20" fillId="3" borderId="25" xfId="7" applyNumberFormat="1" applyFont="1" applyFill="1" applyBorder="1" applyAlignment="1" applyProtection="1">
      <alignment horizontal="right"/>
    </xf>
    <xf numFmtId="0" fontId="20" fillId="3" borderId="19" xfId="0" applyFont="1" applyFill="1" applyBorder="1" applyAlignment="1" applyProtection="1"/>
    <xf numFmtId="3" fontId="20" fillId="3" borderId="19" xfId="7" applyNumberFormat="1" applyFont="1" applyFill="1" applyBorder="1" applyAlignment="1" applyProtection="1">
      <alignment horizontal="right"/>
    </xf>
    <xf numFmtId="3" fontId="20" fillId="3" borderId="29" xfId="7" applyNumberFormat="1" applyFont="1" applyFill="1" applyBorder="1" applyAlignment="1" applyProtection="1">
      <alignment horizontal="right"/>
    </xf>
    <xf numFmtId="0" fontId="22" fillId="12" borderId="49" xfId="0" applyFont="1" applyFill="1" applyBorder="1" applyAlignment="1" applyProtection="1">
      <protection locked="0"/>
    </xf>
    <xf numFmtId="0" fontId="20" fillId="12" borderId="31" xfId="0" applyFont="1" applyFill="1" applyBorder="1" applyAlignment="1" applyProtection="1">
      <protection locked="0"/>
    </xf>
    <xf numFmtId="0" fontId="20" fillId="12" borderId="36" xfId="0" applyFont="1" applyFill="1" applyBorder="1" applyAlignment="1" applyProtection="1">
      <protection locked="0"/>
    </xf>
    <xf numFmtId="9" fontId="20" fillId="3" borderId="0" xfId="0" applyNumberFormat="1" applyFont="1" applyFill="1" applyAlignment="1" applyProtection="1">
      <alignment horizontal="right"/>
    </xf>
    <xf numFmtId="9" fontId="20" fillId="3" borderId="25" xfId="0" applyNumberFormat="1" applyFont="1" applyFill="1" applyBorder="1" applyAlignment="1" applyProtection="1">
      <alignment horizontal="right"/>
    </xf>
    <xf numFmtId="10" fontId="20" fillId="12" borderId="31" xfId="0" applyNumberFormat="1" applyFont="1" applyFill="1" applyBorder="1" applyAlignment="1" applyProtection="1">
      <alignment horizontal="right"/>
    </xf>
    <xf numFmtId="10" fontId="20" fillId="12" borderId="36" xfId="0" applyNumberFormat="1" applyFont="1" applyFill="1" applyBorder="1" applyAlignment="1" applyProtection="1">
      <alignment horizontal="right"/>
    </xf>
    <xf numFmtId="0" fontId="10" fillId="3" borderId="13" xfId="0" applyFont="1" applyFill="1" applyBorder="1" applyAlignment="1" applyProtection="1"/>
    <xf numFmtId="3" fontId="20" fillId="3" borderId="19" xfId="0" applyNumberFormat="1" applyFont="1" applyFill="1" applyBorder="1" applyAlignment="1" applyProtection="1">
      <alignment horizontal="right"/>
    </xf>
    <xf numFmtId="3" fontId="20" fillId="3" borderId="29" xfId="0" applyNumberFormat="1" applyFont="1" applyFill="1" applyBorder="1" applyAlignment="1" applyProtection="1">
      <alignment horizontal="right"/>
    </xf>
    <xf numFmtId="0" fontId="22" fillId="12" borderId="50" xfId="0" applyFont="1" applyFill="1" applyBorder="1" applyAlignment="1" applyProtection="1"/>
    <xf numFmtId="0" fontId="20" fillId="12" borderId="19" xfId="0" applyFont="1" applyFill="1" applyBorder="1" applyAlignment="1" applyProtection="1"/>
    <xf numFmtId="3" fontId="20" fillId="12" borderId="19" xfId="7" applyNumberFormat="1" applyFont="1" applyFill="1" applyBorder="1" applyAlignment="1" applyProtection="1">
      <alignment horizontal="right"/>
    </xf>
    <xf numFmtId="3" fontId="20" fillId="12" borderId="29" xfId="7" applyNumberFormat="1" applyFont="1" applyFill="1" applyBorder="1" applyAlignment="1" applyProtection="1">
      <alignment horizontal="right"/>
    </xf>
    <xf numFmtId="2" fontId="20" fillId="3" borderId="29" xfId="0" applyNumberFormat="1" applyFont="1" applyFill="1" applyBorder="1" applyAlignment="1" applyProtection="1">
      <alignment horizontal="right"/>
    </xf>
    <xf numFmtId="0" fontId="22" fillId="12" borderId="24" xfId="0" applyFont="1" applyFill="1" applyBorder="1" applyAlignment="1" applyProtection="1"/>
    <xf numFmtId="2" fontId="20" fillId="12" borderId="0" xfId="0" applyNumberFormat="1" applyFont="1" applyFill="1" applyAlignment="1" applyProtection="1">
      <alignment horizontal="right"/>
    </xf>
    <xf numFmtId="2" fontId="20" fillId="12" borderId="25" xfId="0" applyNumberFormat="1" applyFont="1" applyFill="1" applyBorder="1" applyAlignment="1" applyProtection="1">
      <alignment horizontal="right"/>
    </xf>
    <xf numFmtId="1" fontId="20" fillId="3" borderId="25" xfId="0" applyNumberFormat="1" applyFont="1" applyFill="1" applyBorder="1" applyAlignment="1" applyProtection="1">
      <alignment horizontal="right"/>
    </xf>
    <xf numFmtId="0" fontId="20" fillId="3" borderId="46" xfId="0" applyFont="1" applyFill="1" applyBorder="1" applyAlignment="1" applyProtection="1"/>
    <xf numFmtId="1" fontId="20" fillId="3" borderId="10" xfId="0" applyNumberFormat="1" applyFont="1" applyFill="1" applyBorder="1" applyAlignment="1" applyProtection="1">
      <alignment horizontal="right"/>
    </xf>
    <xf numFmtId="1" fontId="20" fillId="3" borderId="51" xfId="0" applyNumberFormat="1" applyFont="1" applyFill="1" applyBorder="1" applyAlignment="1" applyProtection="1">
      <alignment horizontal="right"/>
    </xf>
    <xf numFmtId="0" fontId="18" fillId="6" borderId="0" xfId="0" applyFont="1" applyFill="1" applyAlignment="1" applyProtection="1">
      <alignment horizontal="center" vertical="center"/>
    </xf>
    <xf numFmtId="0" fontId="20" fillId="3" borderId="13" xfId="0" applyFont="1" applyFill="1" applyBorder="1" applyAlignment="1" applyProtection="1"/>
    <xf numFmtId="0" fontId="22" fillId="3" borderId="0" xfId="0" applyFont="1" applyFill="1" applyAlignment="1" applyProtection="1">
      <alignment horizontal="center" vertical="center"/>
    </xf>
    <xf numFmtId="0" fontId="20" fillId="12" borderId="0" xfId="0" applyFont="1" applyFill="1" applyAlignment="1" applyProtection="1"/>
    <xf numFmtId="0" fontId="20" fillId="12" borderId="32" xfId="0" applyFont="1" applyFill="1" applyBorder="1" applyAlignment="1" applyProtection="1"/>
    <xf numFmtId="9" fontId="20" fillId="3" borderId="13" xfId="0" applyNumberFormat="1" applyFont="1" applyFill="1" applyBorder="1" applyAlignment="1" applyProtection="1">
      <alignment horizontal="center"/>
    </xf>
    <xf numFmtId="9" fontId="20" fillId="3" borderId="0" xfId="0" applyNumberFormat="1" applyFont="1" applyFill="1" applyAlignment="1" applyProtection="1">
      <alignment horizontal="center"/>
    </xf>
    <xf numFmtId="2" fontId="20" fillId="3" borderId="0" xfId="0" applyNumberFormat="1" applyFont="1" applyFill="1" applyAlignment="1" applyProtection="1"/>
    <xf numFmtId="0" fontId="20" fillId="12" borderId="13" xfId="0" applyFont="1" applyFill="1" applyBorder="1" applyAlignment="1" applyProtection="1"/>
    <xf numFmtId="0" fontId="20" fillId="3" borderId="28" xfId="0" applyFont="1" applyFill="1" applyBorder="1" applyAlignment="1" applyProtection="1"/>
    <xf numFmtId="9" fontId="20" fillId="3" borderId="40" xfId="0" applyNumberFormat="1" applyFont="1" applyFill="1" applyBorder="1" applyAlignment="1" applyProtection="1">
      <alignment horizontal="center"/>
    </xf>
    <xf numFmtId="2" fontId="2" fillId="3" borderId="0" xfId="0" applyNumberFormat="1" applyFont="1" applyFill="1" applyAlignment="1" applyProtection="1"/>
    <xf numFmtId="0" fontId="2" fillId="3" borderId="0" xfId="0" applyFont="1" applyFill="1" applyAlignment="1" applyProtection="1">
      <alignment horizontal="center"/>
    </xf>
    <xf numFmtId="2" fontId="20" fillId="12" borderId="0" xfId="0" applyNumberFormat="1" applyFont="1" applyFill="1" applyAlignment="1" applyProtection="1">
      <alignment horizontal="center"/>
    </xf>
    <xf numFmtId="2" fontId="2" fillId="3" borderId="0" xfId="0" applyNumberFormat="1" applyFont="1" applyFill="1" applyAlignment="1" applyProtection="1">
      <alignment horizontal="center"/>
    </xf>
    <xf numFmtId="2" fontId="20" fillId="3" borderId="0" xfId="0" applyNumberFormat="1" applyFont="1" applyFill="1" applyAlignment="1" applyProtection="1">
      <alignment horizontal="center"/>
    </xf>
    <xf numFmtId="3" fontId="20" fillId="12" borderId="0" xfId="0" applyNumberFormat="1" applyFont="1" applyFill="1" applyAlignment="1" applyProtection="1">
      <alignment horizontal="center"/>
    </xf>
    <xf numFmtId="3" fontId="20" fillId="3" borderId="0" xfId="0" applyNumberFormat="1" applyFont="1" applyFill="1" applyAlignment="1" applyProtection="1">
      <alignment horizontal="center"/>
    </xf>
    <xf numFmtId="9" fontId="2" fillId="3" borderId="0" xfId="0" applyNumberFormat="1" applyFont="1" applyFill="1" applyAlignment="1" applyProtection="1">
      <alignment horizontal="center"/>
    </xf>
    <xf numFmtId="0" fontId="20" fillId="3" borderId="14" xfId="0" applyFont="1" applyFill="1" applyBorder="1" applyAlignment="1" applyProtection="1"/>
    <xf numFmtId="166" fontId="26" fillId="3" borderId="6" xfId="0" applyNumberFormat="1" applyFont="1" applyFill="1" applyBorder="1" applyAlignment="1" applyProtection="1">
      <alignment horizontal="center"/>
    </xf>
    <xf numFmtId="0" fontId="27" fillId="3" borderId="0" xfId="0" applyFont="1" applyFill="1" applyAlignment="1" applyProtection="1">
      <alignment horizontal="right"/>
    </xf>
    <xf numFmtId="0" fontId="21" fillId="3" borderId="0" xfId="0" applyFont="1" applyFill="1" applyAlignment="1" applyProtection="1">
      <protection locked="0"/>
    </xf>
    <xf numFmtId="166" fontId="48" fillId="13" borderId="0" xfId="0" applyNumberFormat="1" applyFont="1" applyFill="1" applyAlignment="1" applyProtection="1">
      <alignment horizontal="right"/>
      <protection locked="0"/>
    </xf>
    <xf numFmtId="0" fontId="18" fillId="17" borderId="4" xfId="0" applyFont="1" applyFill="1" applyBorder="1" applyAlignment="1" applyProtection="1"/>
    <xf numFmtId="0" fontId="19" fillId="17" borderId="11" xfId="0" applyFont="1" applyFill="1" applyBorder="1" applyAlignment="1" applyProtection="1"/>
    <xf numFmtId="0" fontId="19" fillId="17" borderId="11" xfId="0" applyFont="1" applyFill="1" applyBorder="1" applyAlignment="1" applyProtection="1">
      <protection locked="0"/>
    </xf>
    <xf numFmtId="0" fontId="10" fillId="17" borderId="12" xfId="0" applyFont="1" applyFill="1" applyBorder="1" applyAlignment="1" applyProtection="1">
      <protection locked="0"/>
    </xf>
    <xf numFmtId="0" fontId="19" fillId="17" borderId="12" xfId="0" applyFont="1" applyFill="1" applyBorder="1" applyAlignment="1" applyProtection="1">
      <protection locked="0"/>
    </xf>
    <xf numFmtId="0" fontId="10" fillId="3" borderId="55" xfId="0" applyFont="1" applyFill="1" applyBorder="1" applyAlignment="1" applyProtection="1">
      <alignment horizontal="left" indent="1"/>
    </xf>
    <xf numFmtId="0" fontId="10" fillId="3" borderId="10" xfId="0" applyFont="1" applyFill="1" applyBorder="1" applyAlignment="1" applyProtection="1">
      <alignment horizontal="left" indent="1"/>
    </xf>
    <xf numFmtId="0" fontId="14" fillId="15" borderId="0" xfId="0" applyFont="1" applyFill="1" applyBorder="1" applyAlignment="1" applyProtection="1"/>
    <xf numFmtId="0" fontId="59" fillId="3" borderId="0" xfId="0" applyFont="1" applyFill="1" applyAlignment="1" applyProtection="1">
      <protection locked="0"/>
    </xf>
    <xf numFmtId="0" fontId="12" fillId="14" borderId="0" xfId="8" applyFont="1" applyFill="1" applyBorder="1" applyAlignment="1" applyProtection="1">
      <alignment horizontal="left" vertical="top" wrapText="1"/>
    </xf>
    <xf numFmtId="166" fontId="22" fillId="3" borderId="0" xfId="0" applyNumberFormat="1" applyFont="1" applyFill="1" applyBorder="1" applyAlignment="1" applyProtection="1">
      <alignment horizontal="center"/>
    </xf>
    <xf numFmtId="0" fontId="50" fillId="13" borderId="7" xfId="0" applyFont="1" applyFill="1" applyBorder="1"/>
    <xf numFmtId="0" fontId="52" fillId="13" borderId="0" xfId="0" applyFont="1" applyFill="1" applyAlignment="1">
      <alignment horizontal="right"/>
    </xf>
    <xf numFmtId="0" fontId="50" fillId="13" borderId="0" xfId="0" applyFont="1" applyFill="1" applyProtection="1">
      <protection locked="0"/>
    </xf>
    <xf numFmtId="0" fontId="50" fillId="13" borderId="0" xfId="0" applyFont="1" applyFill="1" applyAlignment="1" applyProtection="1">
      <alignment horizontal="right"/>
      <protection locked="0"/>
    </xf>
    <xf numFmtId="0" fontId="47" fillId="13" borderId="0" xfId="0" applyFont="1" applyFill="1" applyProtection="1">
      <protection locked="0"/>
    </xf>
    <xf numFmtId="0" fontId="53" fillId="13" borderId="7" xfId="11" applyFont="1" applyFill="1" applyBorder="1"/>
    <xf numFmtId="0" fontId="50" fillId="13" borderId="7" xfId="11" applyFont="1" applyFill="1" applyBorder="1"/>
    <xf numFmtId="173" fontId="50" fillId="13" borderId="0" xfId="0" applyNumberFormat="1" applyFont="1" applyFill="1" applyAlignment="1">
      <alignment horizontal="right"/>
    </xf>
    <xf numFmtId="173" fontId="55" fillId="13" borderId="0" xfId="0" applyNumberFormat="1" applyFont="1" applyFill="1" applyAlignment="1">
      <alignment horizontal="right"/>
    </xf>
    <xf numFmtId="0" fontId="51" fillId="13" borderId="0" xfId="0" applyFont="1" applyFill="1" applyProtection="1">
      <protection locked="0"/>
    </xf>
    <xf numFmtId="0" fontId="53" fillId="13" borderId="17" xfId="11" applyFont="1" applyFill="1" applyBorder="1"/>
    <xf numFmtId="0" fontId="50" fillId="13" borderId="17" xfId="11" applyFont="1" applyFill="1" applyBorder="1"/>
    <xf numFmtId="0" fontId="50" fillId="13" borderId="17" xfId="0" applyFont="1" applyFill="1" applyBorder="1"/>
    <xf numFmtId="173" fontId="53" fillId="13" borderId="16" xfId="0" applyNumberFormat="1" applyFont="1" applyFill="1" applyBorder="1" applyAlignment="1">
      <alignment horizontal="right"/>
    </xf>
    <xf numFmtId="173" fontId="56" fillId="13" borderId="16" xfId="0" applyNumberFormat="1" applyFont="1" applyFill="1" applyBorder="1" applyAlignment="1">
      <alignment horizontal="right"/>
    </xf>
    <xf numFmtId="173" fontId="53" fillId="13" borderId="18" xfId="0" applyNumberFormat="1" applyFont="1" applyFill="1" applyBorder="1" applyAlignment="1">
      <alignment horizontal="right"/>
    </xf>
    <xf numFmtId="173" fontId="56" fillId="13" borderId="18" xfId="0" applyNumberFormat="1" applyFont="1" applyFill="1" applyBorder="1" applyAlignment="1">
      <alignment horizontal="right"/>
    </xf>
    <xf numFmtId="173" fontId="51" fillId="13" borderId="0" xfId="0" applyNumberFormat="1" applyFont="1" applyFill="1"/>
    <xf numFmtId="173" fontId="53" fillId="13" borderId="0" xfId="0" applyNumberFormat="1" applyFont="1" applyFill="1" applyAlignment="1">
      <alignment horizontal="right"/>
    </xf>
    <xf numFmtId="173" fontId="56" fillId="13" borderId="0" xfId="0" applyNumberFormat="1" applyFont="1" applyFill="1" applyAlignment="1">
      <alignment horizontal="right"/>
    </xf>
    <xf numFmtId="0" fontId="53" fillId="13" borderId="7" xfId="0" applyFont="1" applyFill="1" applyBorder="1"/>
    <xf numFmtId="173" fontId="50" fillId="13" borderId="0" xfId="0" applyNumberFormat="1" applyFont="1" applyFill="1" applyAlignment="1" applyProtection="1">
      <alignment horizontal="right"/>
      <protection locked="0"/>
    </xf>
    <xf numFmtId="173" fontId="55" fillId="13" borderId="0" xfId="0" applyNumberFormat="1" applyFont="1" applyFill="1" applyAlignment="1" applyProtection="1">
      <alignment horizontal="right"/>
      <protection locked="0"/>
    </xf>
    <xf numFmtId="173" fontId="47" fillId="18" borderId="0" xfId="0" applyNumberFormat="1" applyFont="1" applyFill="1"/>
    <xf numFmtId="173" fontId="55" fillId="13" borderId="19" xfId="0" applyNumberFormat="1" applyFont="1" applyFill="1" applyBorder="1" applyAlignment="1">
      <alignment horizontal="right"/>
    </xf>
    <xf numFmtId="173" fontId="53" fillId="13" borderId="31" xfId="0" applyNumberFormat="1" applyFont="1" applyFill="1" applyBorder="1" applyAlignment="1" applyProtection="1">
      <alignment horizontal="right"/>
      <protection locked="0"/>
    </xf>
    <xf numFmtId="0" fontId="53" fillId="13" borderId="0" xfId="0" applyFont="1" applyFill="1" applyProtection="1">
      <protection locked="0"/>
    </xf>
    <xf numFmtId="0" fontId="55" fillId="13" borderId="0" xfId="0" applyFont="1" applyFill="1" applyAlignment="1" applyProtection="1">
      <alignment horizontal="right"/>
      <protection locked="0"/>
    </xf>
    <xf numFmtId="173" fontId="53" fillId="13" borderId="0" xfId="0" applyNumberFormat="1" applyFont="1" applyFill="1"/>
    <xf numFmtId="0" fontId="7" fillId="5" borderId="0" xfId="0" applyFont="1" applyFill="1" applyBorder="1" applyAlignment="1" applyProtection="1">
      <alignment horizontal="center"/>
    </xf>
    <xf numFmtId="0" fontId="21" fillId="3" borderId="7" xfId="0" applyFont="1" applyFill="1" applyBorder="1" applyAlignment="1" applyProtection="1">
      <alignment horizontal="left" vertical="top" wrapText="1"/>
      <protection locked="0"/>
    </xf>
    <xf numFmtId="0" fontId="10" fillId="16" borderId="0" xfId="0" applyFont="1" applyFill="1" applyBorder="1" applyAlignment="1" applyProtection="1">
      <alignment horizontal="center"/>
    </xf>
    <xf numFmtId="3" fontId="20" fillId="3" borderId="50" xfId="0" applyNumberFormat="1" applyFont="1" applyFill="1" applyBorder="1" applyAlignment="1" applyProtection="1">
      <alignment horizontal="center"/>
    </xf>
    <xf numFmtId="3" fontId="20" fillId="3" borderId="48" xfId="0" applyNumberFormat="1" applyFont="1" applyFill="1" applyBorder="1" applyAlignment="1" applyProtection="1">
      <alignment horizontal="center"/>
    </xf>
    <xf numFmtId="3" fontId="20" fillId="3" borderId="54" xfId="0" applyNumberFormat="1" applyFont="1" applyFill="1" applyBorder="1" applyAlignment="1" applyProtection="1">
      <alignment horizontal="center"/>
    </xf>
    <xf numFmtId="3" fontId="20" fillId="3" borderId="24" xfId="0" applyNumberFormat="1" applyFont="1" applyFill="1" applyBorder="1" applyAlignment="1" applyProtection="1">
      <alignment horizontal="center"/>
    </xf>
    <xf numFmtId="3" fontId="20" fillId="3" borderId="26" xfId="0" applyNumberFormat="1" applyFont="1" applyFill="1" applyBorder="1" applyAlignment="1" applyProtection="1">
      <alignment horizontal="center"/>
    </xf>
    <xf numFmtId="3" fontId="20" fillId="3" borderId="53" xfId="0" applyNumberFormat="1" applyFont="1" applyFill="1" applyBorder="1" applyAlignment="1" applyProtection="1">
      <alignment horizontal="center"/>
    </xf>
    <xf numFmtId="3" fontId="20" fillId="12" borderId="24" xfId="0" applyNumberFormat="1" applyFont="1" applyFill="1" applyBorder="1" applyAlignment="1" applyProtection="1">
      <alignment horizontal="center"/>
    </xf>
    <xf numFmtId="3" fontId="20" fillId="12" borderId="26" xfId="0" applyNumberFormat="1" applyFont="1" applyFill="1" applyBorder="1" applyAlignment="1" applyProtection="1">
      <alignment horizontal="center"/>
    </xf>
    <xf numFmtId="3" fontId="20" fillId="12" borderId="53" xfId="0" applyNumberFormat="1" applyFont="1" applyFill="1" applyBorder="1" applyAlignment="1" applyProtection="1">
      <alignment horizontal="center"/>
    </xf>
    <xf numFmtId="0" fontId="22" fillId="3" borderId="52" xfId="0" applyFont="1" applyFill="1" applyBorder="1" applyAlignment="1" applyProtection="1">
      <alignment horizontal="center" vertical="center"/>
    </xf>
    <xf numFmtId="0" fontId="22" fillId="3" borderId="27" xfId="0" applyFont="1" applyFill="1" applyBorder="1" applyAlignment="1" applyProtection="1">
      <alignment horizontal="center" vertical="center"/>
    </xf>
    <xf numFmtId="0" fontId="22" fillId="3" borderId="8" xfId="0" applyFont="1" applyFill="1" applyBorder="1" applyAlignment="1" applyProtection="1">
      <alignment horizontal="center" vertical="center"/>
    </xf>
    <xf numFmtId="2" fontId="20" fillId="12" borderId="24" xfId="0" applyNumberFormat="1" applyFont="1" applyFill="1" applyBorder="1" applyAlignment="1" applyProtection="1">
      <alignment horizontal="center"/>
    </xf>
    <xf numFmtId="2" fontId="20" fillId="12" borderId="26" xfId="0" applyNumberFormat="1" applyFont="1" applyFill="1" applyBorder="1" applyAlignment="1" applyProtection="1">
      <alignment horizontal="center"/>
    </xf>
    <xf numFmtId="2" fontId="20" fillId="12" borderId="53" xfId="0" applyNumberFormat="1" applyFont="1" applyFill="1" applyBorder="1" applyAlignment="1" applyProtection="1">
      <alignment horizontal="center"/>
    </xf>
    <xf numFmtId="2" fontId="20" fillId="3" borderId="50" xfId="0" applyNumberFormat="1" applyFont="1" applyFill="1" applyBorder="1" applyAlignment="1" applyProtection="1">
      <alignment horizontal="center"/>
    </xf>
    <xf numFmtId="2" fontId="20" fillId="3" borderId="48" xfId="0" applyNumberFormat="1" applyFont="1" applyFill="1" applyBorder="1" applyAlignment="1" applyProtection="1">
      <alignment horizontal="center"/>
    </xf>
    <xf numFmtId="2" fontId="20" fillId="3" borderId="54" xfId="0" applyNumberFormat="1" applyFont="1" applyFill="1" applyBorder="1" applyAlignment="1" applyProtection="1">
      <alignment horizontal="center"/>
    </xf>
    <xf numFmtId="2" fontId="20" fillId="3" borderId="24" xfId="0" applyNumberFormat="1" applyFont="1" applyFill="1" applyBorder="1" applyAlignment="1" applyProtection="1">
      <alignment horizontal="center"/>
    </xf>
    <xf numFmtId="2" fontId="20" fillId="3" borderId="26" xfId="0" applyNumberFormat="1" applyFont="1" applyFill="1" applyBorder="1" applyAlignment="1" applyProtection="1">
      <alignment horizontal="center"/>
    </xf>
    <xf numFmtId="2" fontId="20" fillId="3" borderId="53" xfId="0" applyNumberFormat="1" applyFont="1" applyFill="1" applyBorder="1" applyAlignment="1" applyProtection="1">
      <alignment horizontal="center"/>
    </xf>
    <xf numFmtId="168" fontId="20" fillId="3" borderId="50" xfId="0" applyNumberFormat="1" applyFont="1" applyFill="1" applyBorder="1" applyAlignment="1" applyProtection="1">
      <alignment horizontal="center"/>
    </xf>
    <xf numFmtId="9" fontId="20" fillId="3" borderId="48" xfId="0" applyNumberFormat="1" applyFont="1" applyFill="1" applyBorder="1" applyAlignment="1" applyProtection="1">
      <alignment horizontal="center"/>
    </xf>
    <xf numFmtId="168" fontId="20" fillId="12" borderId="24" xfId="0" applyNumberFormat="1" applyFont="1" applyFill="1" applyBorder="1" applyAlignment="1" applyProtection="1">
      <alignment horizontal="center"/>
    </xf>
    <xf numFmtId="9" fontId="20" fillId="12" borderId="26" xfId="0" applyNumberFormat="1" applyFont="1" applyFill="1" applyBorder="1" applyAlignment="1" applyProtection="1">
      <alignment horizontal="center"/>
    </xf>
    <xf numFmtId="168" fontId="20" fillId="3" borderId="24" xfId="0" applyNumberFormat="1" applyFont="1" applyFill="1" applyBorder="1" applyAlignment="1" applyProtection="1">
      <alignment horizontal="center"/>
    </xf>
    <xf numFmtId="9" fontId="20" fillId="3" borderId="26" xfId="0" applyNumberFormat="1" applyFont="1" applyFill="1" applyBorder="1" applyAlignment="1" applyProtection="1">
      <alignment horizontal="center"/>
    </xf>
    <xf numFmtId="0" fontId="22" fillId="3" borderId="0" xfId="0" applyFont="1" applyFill="1" applyBorder="1" applyAlignment="1" applyProtection="1">
      <alignment horizontal="center" vertical="center"/>
    </xf>
    <xf numFmtId="0" fontId="22" fillId="3" borderId="7" xfId="0" applyFont="1" applyFill="1" applyBorder="1" applyAlignment="1" applyProtection="1">
      <alignment horizontal="left"/>
      <protection locked="0"/>
    </xf>
    <xf numFmtId="0" fontId="37" fillId="3" borderId="10" xfId="0" applyFont="1" applyFill="1" applyBorder="1" applyAlignment="1" applyProtection="1">
      <alignment horizontal="center" wrapText="1"/>
      <protection locked="0"/>
    </xf>
    <xf numFmtId="0" fontId="18" fillId="6" borderId="20" xfId="0" applyFont="1" applyFill="1" applyBorder="1" applyAlignment="1" applyProtection="1">
      <alignment horizontal="center" vertical="center"/>
    </xf>
  </cellXfs>
  <cellStyles count="12">
    <cellStyle name="Comma 2" xfId="1" xr:uid="{00000000-0005-0000-0000-000006000000}"/>
    <cellStyle name="Comma 2 2" xfId="2" xr:uid="{00000000-0005-0000-0000-000007000000}"/>
    <cellStyle name="Comma 3" xfId="3" xr:uid="{00000000-0005-0000-0000-000008000000}"/>
    <cellStyle name="Comma 4" xfId="10" xr:uid="{3C444BE1-E184-4D80-8928-3E877C35A208}"/>
    <cellStyle name="Excel Built-in Good" xfId="8" xr:uid="{00000000-0005-0000-0000-00000F000000}"/>
    <cellStyle name="Normal" xfId="0" builtinId="0"/>
    <cellStyle name="Normal 2" xfId="4" xr:uid="{00000000-0005-0000-0000-000009000000}"/>
    <cellStyle name="Normal 3" xfId="5" xr:uid="{00000000-0005-0000-0000-00000A000000}"/>
    <cellStyle name="Normal 4" xfId="9" xr:uid="{C4945B54-A00D-48DB-B7CF-4AD30361FFB8}"/>
    <cellStyle name="Normal_Cashflow2007" xfId="6" xr:uid="{00000000-0005-0000-0000-00000B000000}"/>
    <cellStyle name="Normal_Cashflow2007 2" xfId="11" xr:uid="{C5DA6C05-E91B-4A9C-AA71-ED0DAB59DCE5}"/>
    <cellStyle name="Percent 2" xfId="7" xr:uid="{00000000-0005-0000-0000-00000E000000}"/>
  </cellStyles>
  <dxfs count="8">
    <dxf>
      <font>
        <color rgb="FFFFFFFF"/>
      </font>
      <fill>
        <patternFill>
          <bgColor rgb="FFFFCC00"/>
        </patternFill>
      </fill>
    </dxf>
    <dxf>
      <font>
        <color rgb="FFFFFFFF"/>
      </font>
      <fill>
        <patternFill>
          <bgColor rgb="FFFFCC00"/>
        </patternFill>
      </fill>
    </dxf>
    <dxf>
      <font>
        <color rgb="FFFFFFFF"/>
      </font>
      <fill>
        <patternFill>
          <bgColor rgb="FFFF99CC"/>
        </patternFill>
      </fill>
    </dxf>
    <dxf>
      <font>
        <color rgb="FFFFFFFF"/>
      </font>
      <fill>
        <patternFill>
          <bgColor rgb="FFFFCC99"/>
        </patternFill>
      </fill>
    </dxf>
    <dxf>
      <font>
        <color rgb="FF006100"/>
      </font>
      <fill>
        <patternFill>
          <bgColor rgb="FFC6EFCE"/>
        </patternFill>
      </fill>
    </dxf>
    <dxf>
      <font>
        <color rgb="FF9C0006"/>
      </font>
      <fill>
        <patternFill>
          <bgColor rgb="FFFFC7CE"/>
        </patternFill>
      </fill>
    </dxf>
    <dxf>
      <font>
        <b/>
        <i val="0"/>
        <color rgb="FFFF0000"/>
      </font>
      <fill>
        <patternFill>
          <bgColor rgb="FFCCFFCC"/>
        </patternFill>
      </fill>
    </dxf>
    <dxf>
      <font>
        <color rgb="FFFFCC99"/>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DC3E6"/>
      <rgbColor rgb="FF993366"/>
      <rgbColor rgb="FFF0F0F0"/>
      <rgbColor rgb="FFE7FDFF"/>
      <rgbColor rgb="FF660066"/>
      <rgbColor rgb="FFFF8080"/>
      <rgbColor rgb="FF0066CC"/>
      <rgbColor rgb="FFB4C7E7"/>
      <rgbColor rgb="FF000080"/>
      <rgbColor rgb="FFFF00FF"/>
      <rgbColor rgb="FFFFC000"/>
      <rgbColor rgb="FF00FFFF"/>
      <rgbColor rgb="FF800080"/>
      <rgbColor rgb="FF800000"/>
      <rgbColor rgb="FF008080"/>
      <rgbColor rgb="FF0000FF"/>
      <rgbColor rgb="FF00CCFF"/>
      <rgbColor rgb="FFC6EFCE"/>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 Type="http://schemas.openxmlformats.org/officeDocument/2006/relationships/worksheet" Target="worksheets/sheet3.xml"/><Relationship Id="rId21" Type="http://schemas.openxmlformats.org/officeDocument/2006/relationships/externalLink" Target="externalLinks/externalLink17.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styles" Target="styles.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504720</xdr:colOff>
      <xdr:row>1</xdr:row>
      <xdr:rowOff>85680</xdr:rowOff>
    </xdr:from>
    <xdr:to>
      <xdr:col>10</xdr:col>
      <xdr:colOff>504720</xdr:colOff>
      <xdr:row>3</xdr:row>
      <xdr:rowOff>189360</xdr:rowOff>
    </xdr:to>
    <xdr:pic>
      <xdr:nvPicPr>
        <xdr:cNvPr id="2" name="Picture 271" descr="EI Logo_193x5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6845760" y="237960"/>
          <a:ext cx="0" cy="484920"/>
        </a:xfrm>
        <a:prstGeom prst="rect">
          <a:avLst/>
        </a:prstGeom>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4</xdr:col>
      <xdr:colOff>0</xdr:colOff>
      <xdr:row>3</xdr:row>
      <xdr:rowOff>249840</xdr:rowOff>
    </xdr:to>
    <xdr:pic>
      <xdr:nvPicPr>
        <xdr:cNvPr id="2" name="Picture 1" descr="EI Logo_193x5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6373440" y="428760"/>
          <a:ext cx="0" cy="487800"/>
        </a:xfrm>
        <a:prstGeom prst="rect">
          <a:avLst/>
        </a:prstGeom>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47520</xdr:colOff>
      <xdr:row>0</xdr:row>
      <xdr:rowOff>123840</xdr:rowOff>
    </xdr:from>
    <xdr:to>
      <xdr:col>9</xdr:col>
      <xdr:colOff>47520</xdr:colOff>
      <xdr:row>4</xdr:row>
      <xdr:rowOff>65520</xdr:rowOff>
    </xdr:to>
    <xdr:pic>
      <xdr:nvPicPr>
        <xdr:cNvPr id="2" name="Picture 12" descr="EI Logo_193x5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7812360" y="123840"/>
          <a:ext cx="0" cy="446400"/>
        </a:xfrm>
        <a:prstGeom prst="rect">
          <a:avLst/>
        </a:prstGeom>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lex_Financial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Y:\Projects\oee\OEE%20Calculations%20MASTER%20_KAREN%20based%20on%208hr%20shift_%20week%2025%2023rd%20Aug%2018.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Y:\KPIs\Procurement\Purchase%20Analysis%20Rep.%20by%20Items%20(Monthly)%20WEEK%2011%202019%20for%20KPI.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U:\Period%20Accounts\FY19\Monthly%20Mgt%20Accounts\05.%20Jul%202018\TBs%20and%20Reporting\July%2018%20Monthly%20Reporting%20v2%20_remap%20of%20Trade%20spend.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Shane\AppData\Local\Microsoft\Windows\INetCache\Content.Outlook\OFCUT3XR\Iamus%20Financial%20Model_1.01_11112019.xlsx"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ebitda%20reduction%20calculator"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meaiedub04file\ESG\Corp.Serv\CORPORATE%20FINANCE%20CLIENTS\Project%20Blue\Financial%20Model\EY%20model\Project%20Blue%20-%2030%20Jan%2006%20151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Y:\KPIs\STock\Batch%20Number%20Transactions%20Report_aged%20stock%20221018.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O:\Budget%20files\FY21%20budgets\Sales%20Forecasts\January%20Workings\WIP%20140220%20FOR%20ADJ%20SALES%20AND%20PROMOS%20Sales%20Forecast%20&#8364;9m%20NSV%20working%20Budget%20v1%2013012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U:\Management%20Info\Invoiced%20Sales\Sales%20analysis%20report%20by%20SKU%20and%20Customer_ytd%20300418.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Documents%20and%20Settings\dlucey\Local%20Settings\Temporary%20Internet%20Files\OLKF9\GEM%20FDS%20-%20Plastics%20with%20write%20offs%20V3%20(Autosav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roche\Desktop\RashRVests\Financial%20info\Appendix%205a%203101%20FDS%20dc%20updatedv5.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Users\bradypa\AppData\Local\Microsoft\Windows\INetCache\Content.Outlook\TUZS2BHS\Top%20Down%20CB's%20Mrk%20Budget%202018-19%20DRAFT%20Tracker%20-v1%20(003).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cbakefs1\WOM\MONTHLY%20KPI\july%202018\Account%20Balance%20-%20600010_%20Outbound%20Freight%20&amp;%20Carriage%20v4.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U:\Management%20Info\Profitability%20Models\Sehem%20Ali_Production%20Order%20Variance%20Query_TRIAL%20time%20IN%20FY%202019%20at%202006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KPIs\Procurement\Purchase%20Analysis%20Rep.%20by%20Items%20(Monthly)%20WEEK%2030%202019%20for%20KPI.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Management%20Info\Stock\Stock%20Status\2018\041218\Batch%20No%20for%20all%20Stock%200412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bakefs1\allshare\@GMT-2019.05.16-06.00.02\Budget%20files\FY20%20budgets\Rolling%20Forecasts\P3%20May%20Monthly%20LE\SOP%20week%2011_v2%20SOP%20used%20for%20Sales%20Summi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bakefs1\WOM\KPIs\WEEK%2030%202019%20KPI%20Weekly%20Pack.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Y:\Daily%20Sales%20Tracker\2019%20Daily%20Tracker%20_Sales%20and%20Production%20Wk%2007%202019.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cbakefs1\finance\Budget%20files\FY20%20budgets\Base%20Budget%20Versions\FY20%20Budget%20S&amp;OP%20Draft%20v6%2016011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W:\KPIs\WEEK%2006%202019%20KPI%20Weekly%20Pa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pany Input Sheet 1"/>
      <sheetName val="Analytical Review"/>
      <sheetName val="Company Input Sheet 2"/>
      <sheetName val="analysis"/>
      <sheetName val="EI Document Tables"/>
      <sheetName val="EI DA Input Sheet"/>
      <sheetName val="Sensitivity Analysis"/>
      <sheetName val="Repayment Calculator"/>
      <sheetName val="Exchange Rate Sensitivity"/>
      <sheetName val="Payback Analysis"/>
      <sheetName val="Benchmarking Analysis"/>
      <sheetName val="Previous v Actual"/>
      <sheetName val="Sustainable Growth Model"/>
      <sheetName val="Debt"/>
      <sheetName val="Graphs"/>
      <sheetName val="Graphs2"/>
      <sheetName val="EI Cost Benefit"/>
      <sheetName val="EI Econ Model Sheet"/>
    </sheetNames>
    <sheetDataSet>
      <sheetData sheetId="0" refreshError="1"/>
      <sheetData sheetId="1"/>
      <sheetData sheetId="2" refreshError="1"/>
      <sheetData sheetId="3" refreshError="1"/>
      <sheetData sheetId="4" refreshError="1"/>
      <sheetData sheetId="5" refreshError="1"/>
      <sheetData sheetId="6">
        <row r="31">
          <cell r="E31">
            <v>0</v>
          </cell>
          <cell r="F31">
            <v>0</v>
          </cell>
          <cell r="G31">
            <v>0</v>
          </cell>
          <cell r="H31">
            <v>0</v>
          </cell>
          <cell r="I31">
            <v>0</v>
          </cell>
        </row>
        <row r="35">
          <cell r="E35">
            <v>0</v>
          </cell>
          <cell r="F35">
            <v>0</v>
          </cell>
          <cell r="G35">
            <v>0</v>
          </cell>
        </row>
        <row r="41">
          <cell r="E41">
            <v>0</v>
          </cell>
          <cell r="F41">
            <v>0</v>
          </cell>
          <cell r="G41">
            <v>0</v>
          </cell>
          <cell r="H41">
            <v>0</v>
          </cell>
          <cell r="I41">
            <v>0</v>
          </cell>
        </row>
        <row r="46">
          <cell r="E46">
            <v>0</v>
          </cell>
          <cell r="F46">
            <v>0</v>
          </cell>
          <cell r="G46">
            <v>0</v>
          </cell>
          <cell r="H46">
            <v>0</v>
          </cell>
          <cell r="I46">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107">
          <cell r="A107" t="str">
            <v>None</v>
          </cell>
          <cell r="C107" t="str">
            <v>Please Select</v>
          </cell>
          <cell r="E107" t="str">
            <v>Please Select</v>
          </cell>
          <cell r="G107" t="str">
            <v>Please Select</v>
          </cell>
          <cell r="I107" t="str">
            <v>Please Specify</v>
          </cell>
          <cell r="P107" t="str">
            <v>Please Select</v>
          </cell>
        </row>
        <row r="108">
          <cell r="A108" t="str">
            <v>Audited</v>
          </cell>
          <cell r="C108" t="str">
            <v>Dublin</v>
          </cell>
          <cell r="E108" t="str">
            <v>HPSU</v>
          </cell>
          <cell r="G108" t="str">
            <v>Irish</v>
          </cell>
          <cell r="I108" t="str">
            <v>Group Consolidated Accounts</v>
          </cell>
          <cell r="P108">
            <v>1.25</v>
          </cell>
        </row>
        <row r="109">
          <cell r="A109" t="str">
            <v>Draft Audit</v>
          </cell>
          <cell r="C109" t="str">
            <v>Mid East</v>
          </cell>
          <cell r="E109" t="str">
            <v>Established</v>
          </cell>
          <cell r="G109" t="str">
            <v>Foreign</v>
          </cell>
          <cell r="I109" t="str">
            <v>Group Subsidiary</v>
          </cell>
          <cell r="P109">
            <v>1.1000000000000001</v>
          </cell>
        </row>
        <row r="110">
          <cell r="A110" t="str">
            <v>Management</v>
          </cell>
          <cell r="C110" t="str">
            <v>BMW</v>
          </cell>
          <cell r="I110" t="str">
            <v>Single Entity</v>
          </cell>
          <cell r="P110">
            <v>1.05</v>
          </cell>
        </row>
        <row r="111">
          <cell r="A111" t="str">
            <v>Projected</v>
          </cell>
          <cell r="C111" t="str">
            <v>SE/SW/MidW</v>
          </cell>
          <cell r="P111">
            <v>1</v>
          </cell>
        </row>
        <row r="112">
          <cell r="P112">
            <v>0.95</v>
          </cell>
        </row>
        <row r="113">
          <cell r="P113">
            <v>0.9</v>
          </cell>
        </row>
        <row r="114">
          <cell r="P114">
            <v>0.85</v>
          </cell>
        </row>
        <row r="115">
          <cell r="P115">
            <v>0.8</v>
          </cell>
        </row>
        <row r="116">
          <cell r="P116">
            <v>0.75</v>
          </cell>
        </row>
        <row r="117">
          <cell r="P117">
            <v>0.7</v>
          </cell>
        </row>
        <row r="118">
          <cell r="P118">
            <v>0.65</v>
          </cell>
        </row>
        <row r="119">
          <cell r="P119">
            <v>0.6</v>
          </cell>
        </row>
        <row r="120">
          <cell r="P120">
            <v>0.55000000000000004</v>
          </cell>
        </row>
        <row r="121">
          <cell r="P121">
            <v>0.5</v>
          </cell>
        </row>
        <row r="122">
          <cell r="P122">
            <v>0.45</v>
          </cell>
        </row>
        <row r="123">
          <cell r="P123">
            <v>0.4</v>
          </cell>
        </row>
        <row r="124">
          <cell r="P124" t="str">
            <v>n/a</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Data2010"/>
      <sheetName val="Monthly Summary"/>
      <sheetName val="Line1"/>
      <sheetName val="Aug YTD OEE by SKU"/>
      <sheetName val="July YTD OEE by SKU"/>
      <sheetName val="June YTD OEE by SKU"/>
      <sheetName val="MOM comparison"/>
      <sheetName val="Biscuit Line 1"/>
      <sheetName val="OEE_Daily"/>
      <sheetName val="OEE_Weekly"/>
      <sheetName val="OEE_Monthly 1"/>
      <sheetName val="OEE_YTD"/>
      <sheetName val="WeeklyData_New"/>
      <sheetName val="Glass Line Daily Graph"/>
      <sheetName val="Glass Line Weekly Graph"/>
      <sheetName val="Glass Line Wk on Wk graph"/>
      <sheetName val="Glass Line MTD Graph"/>
      <sheetName val="Glass Line YTD Graph"/>
      <sheetName val="OEE_Monthly"/>
      <sheetName val="Graphs_Overall"/>
      <sheetName val="OEE_YTD 1"/>
      <sheetName val="OEE Weekly Graphs All"/>
      <sheetName val="OEE Monthly Graphs All"/>
      <sheetName val="OEE Graphs_All YTD"/>
      <sheetName val="Glass Change over Matrix"/>
      <sheetName val="Glass Line Change Over Times"/>
      <sheetName val="Glass Change over Matrix P1"/>
      <sheetName val="Glass Change over Matrix P2"/>
      <sheetName val="Glass Change Over Matrix P3"/>
      <sheetName val="Glass Change Over Matrix P4"/>
      <sheetName val="S Sheet Contents"/>
      <sheetName val="Biscuit Line"/>
      <sheetName val="Sheet1"/>
      <sheetName val="Sheet2"/>
      <sheetName val="WK on WK YTD stats"/>
    </sheetNames>
    <sheetDataSet>
      <sheetData sheetId="0">
        <row r="12">
          <cell r="B12" t="str">
            <v>FAL0001</v>
          </cell>
          <cell r="C12">
            <v>0</v>
          </cell>
          <cell r="D12" t="str">
            <v>Choc Chip Cookie</v>
          </cell>
          <cell r="E12" t="str">
            <v>Belmont Chocolate Chip Cookie</v>
          </cell>
          <cell r="F12">
            <v>750</v>
          </cell>
          <cell r="G12">
            <v>680.85</v>
          </cell>
          <cell r="H12">
            <v>264.44444444444446</v>
          </cell>
          <cell r="I12">
            <v>6</v>
          </cell>
          <cell r="J12">
            <v>200</v>
          </cell>
          <cell r="K12">
            <v>0</v>
          </cell>
          <cell r="L12">
            <v>60</v>
          </cell>
          <cell r="M12">
            <v>30</v>
          </cell>
          <cell r="N12">
            <v>0.94</v>
          </cell>
          <cell r="O12">
            <v>0.85</v>
          </cell>
          <cell r="P12">
            <v>0.75700000000000001</v>
          </cell>
          <cell r="Q12">
            <v>0.60484299999999991</v>
          </cell>
          <cell r="R12">
            <v>159.9473711111111</v>
          </cell>
          <cell r="S12">
            <v>0</v>
          </cell>
          <cell r="T12">
            <v>0</v>
          </cell>
        </row>
        <row r="13">
          <cell r="B13" t="str">
            <v>FAL0002</v>
          </cell>
          <cell r="C13">
            <v>0</v>
          </cell>
          <cell r="D13" t="str">
            <v>Choc Chip Cookie</v>
          </cell>
          <cell r="E13" t="str">
            <v>Every Day Essentials Choc Chip</v>
          </cell>
          <cell r="F13">
            <v>750</v>
          </cell>
          <cell r="G13">
            <v>680.85</v>
          </cell>
          <cell r="H13">
            <v>264.44444444444446</v>
          </cell>
          <cell r="I13">
            <v>6</v>
          </cell>
          <cell r="J13">
            <v>400</v>
          </cell>
          <cell r="K13">
            <v>0</v>
          </cell>
          <cell r="L13">
            <v>60</v>
          </cell>
          <cell r="M13">
            <v>15</v>
          </cell>
          <cell r="N13">
            <v>0.94</v>
          </cell>
          <cell r="O13">
            <v>0.85</v>
          </cell>
          <cell r="P13">
            <v>0.75700000000000001</v>
          </cell>
          <cell r="Q13">
            <v>0.60484299999999991</v>
          </cell>
          <cell r="R13">
            <v>159.9473711111111</v>
          </cell>
          <cell r="S13">
            <v>0</v>
          </cell>
          <cell r="T13">
            <v>0</v>
          </cell>
        </row>
        <row r="14">
          <cell r="B14" t="str">
            <v>FBL0001</v>
          </cell>
          <cell r="C14">
            <v>0</v>
          </cell>
          <cell r="D14" t="str">
            <v>Choc Chip Cookie</v>
          </cell>
          <cell r="E14" t="str">
            <v>Boland's Chocolate Chip Cookies ( 14 % ) 145g</v>
          </cell>
          <cell r="F14">
            <v>750</v>
          </cell>
          <cell r="G14">
            <v>680.85</v>
          </cell>
          <cell r="H14">
            <v>549.23076923076928</v>
          </cell>
          <cell r="I14">
            <v>2.9</v>
          </cell>
          <cell r="J14">
            <v>145</v>
          </cell>
          <cell r="K14">
            <v>0</v>
          </cell>
          <cell r="L14">
            <v>60</v>
          </cell>
          <cell r="M14">
            <v>20</v>
          </cell>
          <cell r="N14">
            <v>0.94</v>
          </cell>
          <cell r="O14">
            <v>0.85</v>
          </cell>
          <cell r="P14">
            <v>0.75700000000000001</v>
          </cell>
          <cell r="Q14">
            <v>0.60484299999999991</v>
          </cell>
          <cell r="R14">
            <v>332.19838615384612</v>
          </cell>
          <cell r="S14">
            <v>0</v>
          </cell>
          <cell r="T14">
            <v>0</v>
          </cell>
        </row>
        <row r="15">
          <cell r="B15" t="str">
            <v>FCM0001</v>
          </cell>
          <cell r="C15">
            <v>0</v>
          </cell>
          <cell r="D15" t="str">
            <v>Rotary Moulded</v>
          </cell>
          <cell r="E15" t="str">
            <v>ECB Crunch'ems Coconut Crunch</v>
          </cell>
          <cell r="F15">
            <v>1000</v>
          </cell>
          <cell r="G15">
            <v>680.85</v>
          </cell>
          <cell r="H15">
            <v>645.33333333333337</v>
          </cell>
          <cell r="I15">
            <v>11</v>
          </cell>
          <cell r="J15">
            <v>1000</v>
          </cell>
          <cell r="K15">
            <v>0</v>
          </cell>
          <cell r="L15">
            <v>60</v>
          </cell>
          <cell r="M15">
            <v>1</v>
          </cell>
          <cell r="N15">
            <v>0.94</v>
          </cell>
          <cell r="O15">
            <v>0.85</v>
          </cell>
          <cell r="P15">
            <v>0.75700000000000001</v>
          </cell>
          <cell r="Q15">
            <v>0.60484299999999991</v>
          </cell>
          <cell r="R15">
            <v>390.32534933333329</v>
          </cell>
          <cell r="S15">
            <v>0</v>
          </cell>
          <cell r="T15">
            <v>0</v>
          </cell>
        </row>
        <row r="16">
          <cell r="B16" t="str">
            <v>FEB0001</v>
          </cell>
          <cell r="C16">
            <v>0</v>
          </cell>
          <cell r="D16" t="str">
            <v>Premium Cookie</v>
          </cell>
          <cell r="E16" t="str">
            <v xml:space="preserve">ECB Milk Chocolate Chunk </v>
          </cell>
          <cell r="F16">
            <v>1800</v>
          </cell>
          <cell r="G16">
            <v>680.85</v>
          </cell>
          <cell r="H16">
            <v>961.25</v>
          </cell>
          <cell r="I16">
            <v>1.92</v>
          </cell>
          <cell r="J16">
            <v>160</v>
          </cell>
          <cell r="K16">
            <v>0</v>
          </cell>
          <cell r="L16">
            <v>60</v>
          </cell>
          <cell r="M16">
            <v>12</v>
          </cell>
          <cell r="N16">
            <v>0.94</v>
          </cell>
          <cell r="O16">
            <v>0.85</v>
          </cell>
          <cell r="P16">
            <v>0.75700000000000001</v>
          </cell>
          <cell r="Q16">
            <v>0.60484299999999991</v>
          </cell>
          <cell r="R16">
            <v>581.40533374999995</v>
          </cell>
          <cell r="S16">
            <v>0</v>
          </cell>
          <cell r="T16">
            <v>0</v>
          </cell>
        </row>
        <row r="17">
          <cell r="B17" t="str">
            <v>FEB0002</v>
          </cell>
          <cell r="C17">
            <v>0</v>
          </cell>
          <cell r="D17" t="str">
            <v>Premium Cookie</v>
          </cell>
          <cell r="E17" t="str">
            <v xml:space="preserve">ECB Caramel &amp; Pecan </v>
          </cell>
          <cell r="F17">
            <v>1800</v>
          </cell>
          <cell r="G17">
            <v>680.85</v>
          </cell>
          <cell r="H17">
            <v>961.25</v>
          </cell>
          <cell r="I17">
            <v>1.92</v>
          </cell>
          <cell r="J17">
            <v>160</v>
          </cell>
          <cell r="K17">
            <v>0</v>
          </cell>
          <cell r="L17">
            <v>60</v>
          </cell>
          <cell r="M17">
            <v>12</v>
          </cell>
          <cell r="N17">
            <v>0.94</v>
          </cell>
          <cell r="O17">
            <v>0.85</v>
          </cell>
          <cell r="P17">
            <v>0.75700000000000001</v>
          </cell>
          <cell r="Q17">
            <v>0.60484299999999991</v>
          </cell>
          <cell r="R17">
            <v>581.40533374999995</v>
          </cell>
          <cell r="S17">
            <v>0</v>
          </cell>
          <cell r="T17">
            <v>0</v>
          </cell>
        </row>
        <row r="18">
          <cell r="B18" t="str">
            <v>FEB0003</v>
          </cell>
          <cell r="C18">
            <v>0</v>
          </cell>
          <cell r="D18" t="str">
            <v>Premium Cookie</v>
          </cell>
          <cell r="E18" t="str">
            <v>Milk Chocolate Chunk Cookie 20g</v>
          </cell>
          <cell r="F18">
            <v>1800</v>
          </cell>
          <cell r="G18">
            <v>680.85</v>
          </cell>
          <cell r="H18">
            <v>48</v>
          </cell>
          <cell r="I18">
            <v>2</v>
          </cell>
          <cell r="J18">
            <v>20</v>
          </cell>
          <cell r="K18">
            <v>0</v>
          </cell>
          <cell r="L18">
            <v>60</v>
          </cell>
          <cell r="M18">
            <v>100</v>
          </cell>
          <cell r="N18">
            <v>0.94</v>
          </cell>
          <cell r="O18">
            <v>0.85</v>
          </cell>
          <cell r="P18">
            <v>0.75700000000000001</v>
          </cell>
          <cell r="Q18">
            <v>0.60484299999999991</v>
          </cell>
          <cell r="R18">
            <v>29.032463999999997</v>
          </cell>
          <cell r="S18">
            <v>0</v>
          </cell>
          <cell r="T18">
            <v>0</v>
          </cell>
        </row>
        <row r="19">
          <cell r="B19" t="str">
            <v>FEB0004</v>
          </cell>
          <cell r="C19">
            <v>0</v>
          </cell>
          <cell r="D19" t="str">
            <v>Premium Cookie</v>
          </cell>
          <cell r="E19" t="str">
            <v>ECB Half Enrobed Choc Chunk Cookie</v>
          </cell>
          <cell r="F19">
            <v>1800</v>
          </cell>
          <cell r="G19">
            <v>680.85</v>
          </cell>
          <cell r="H19">
            <v>1098.5714285714287</v>
          </cell>
          <cell r="I19">
            <v>1.92</v>
          </cell>
          <cell r="J19">
            <v>160</v>
          </cell>
          <cell r="K19">
            <v>0</v>
          </cell>
          <cell r="L19">
            <v>60</v>
          </cell>
          <cell r="M19">
            <v>12</v>
          </cell>
          <cell r="N19">
            <v>0.94</v>
          </cell>
          <cell r="O19">
            <v>0.85</v>
          </cell>
          <cell r="P19">
            <v>0.75700000000000001</v>
          </cell>
          <cell r="Q19">
            <v>0.60484299999999991</v>
          </cell>
          <cell r="R19">
            <v>664.46323857142852</v>
          </cell>
          <cell r="S19">
            <v>0</v>
          </cell>
          <cell r="T19">
            <v>0</v>
          </cell>
        </row>
        <row r="20">
          <cell r="B20" t="str">
            <v>FEB0005</v>
          </cell>
          <cell r="C20">
            <v>0</v>
          </cell>
          <cell r="D20" t="str">
            <v>Premium Cookie</v>
          </cell>
          <cell r="E20" t="str">
            <v>ECB Stem Ginger &amp; Chocolate Chunk</v>
          </cell>
          <cell r="F20">
            <v>1800</v>
          </cell>
          <cell r="G20">
            <v>680.85</v>
          </cell>
          <cell r="H20">
            <v>961.25</v>
          </cell>
          <cell r="I20">
            <v>1.92</v>
          </cell>
          <cell r="J20">
            <v>160</v>
          </cell>
          <cell r="K20">
            <v>0</v>
          </cell>
          <cell r="L20">
            <v>60</v>
          </cell>
          <cell r="M20">
            <v>12</v>
          </cell>
          <cell r="N20">
            <v>0.94</v>
          </cell>
          <cell r="O20">
            <v>0.85</v>
          </cell>
          <cell r="P20">
            <v>0.75700000000000001</v>
          </cell>
          <cell r="Q20">
            <v>0.60484299999999991</v>
          </cell>
          <cell r="R20">
            <v>581.40533374999995</v>
          </cell>
          <cell r="S20">
            <v>0</v>
          </cell>
          <cell r="T20">
            <v>0</v>
          </cell>
        </row>
        <row r="21">
          <cell r="B21" t="str">
            <v>FEB0006</v>
          </cell>
          <cell r="C21">
            <v>0</v>
          </cell>
          <cell r="D21" t="str">
            <v>Rotary Moulded</v>
          </cell>
          <cell r="E21" t="str">
            <v>ECB Crunch'ems Ginger Crunch</v>
          </cell>
          <cell r="F21">
            <v>1000</v>
          </cell>
          <cell r="G21">
            <v>680.85</v>
          </cell>
          <cell r="H21">
            <v>645.33333333333337</v>
          </cell>
          <cell r="I21">
            <v>2.58</v>
          </cell>
          <cell r="J21">
            <v>215</v>
          </cell>
          <cell r="K21">
            <v>0</v>
          </cell>
          <cell r="L21">
            <v>60</v>
          </cell>
          <cell r="M21">
            <v>12</v>
          </cell>
          <cell r="N21">
            <v>0.94</v>
          </cell>
          <cell r="O21">
            <v>0.85</v>
          </cell>
          <cell r="P21">
            <v>0.75700000000000001</v>
          </cell>
          <cell r="Q21">
            <v>0.60484299999999991</v>
          </cell>
          <cell r="R21">
            <v>390.32534933333329</v>
          </cell>
          <cell r="S21">
            <v>0</v>
          </cell>
          <cell r="T21">
            <v>0</v>
          </cell>
        </row>
        <row r="22">
          <cell r="B22" t="str">
            <v>FEB0007</v>
          </cell>
          <cell r="C22">
            <v>0</v>
          </cell>
          <cell r="D22" t="str">
            <v>Rotary Moulded</v>
          </cell>
          <cell r="E22" t="str">
            <v>ECB Crunch'ems Coconut Crunch</v>
          </cell>
          <cell r="F22">
            <v>1000</v>
          </cell>
          <cell r="G22">
            <v>680.85</v>
          </cell>
          <cell r="H22">
            <v>645.33333333333337</v>
          </cell>
          <cell r="I22">
            <v>2.58</v>
          </cell>
          <cell r="J22">
            <v>215</v>
          </cell>
          <cell r="K22">
            <v>0</v>
          </cell>
          <cell r="L22">
            <v>60</v>
          </cell>
          <cell r="M22">
            <v>12</v>
          </cell>
          <cell r="N22">
            <v>0.94</v>
          </cell>
          <cell r="O22">
            <v>0.85</v>
          </cell>
          <cell r="P22">
            <v>0.75700000000000001</v>
          </cell>
          <cell r="Q22">
            <v>0.60484299999999991</v>
          </cell>
          <cell r="R22">
            <v>390.32534933333329</v>
          </cell>
          <cell r="S22">
            <v>0</v>
          </cell>
          <cell r="T22">
            <v>0</v>
          </cell>
        </row>
        <row r="23">
          <cell r="B23" t="str">
            <v>FEB0008</v>
          </cell>
          <cell r="C23">
            <v>0</v>
          </cell>
          <cell r="D23" t="str">
            <v>Rotary Moulded</v>
          </cell>
          <cell r="E23" t="str">
            <v>ECB Milk Chocolate Enrobed Butter Crunch</v>
          </cell>
          <cell r="F23">
            <v>1000</v>
          </cell>
          <cell r="G23">
            <v>680.85</v>
          </cell>
          <cell r="H23">
            <v>806.66666666666663</v>
          </cell>
          <cell r="I23">
            <v>2.7</v>
          </cell>
          <cell r="J23">
            <v>225</v>
          </cell>
          <cell r="K23">
            <v>0</v>
          </cell>
          <cell r="L23">
            <v>60</v>
          </cell>
          <cell r="M23">
            <v>12</v>
          </cell>
          <cell r="N23">
            <v>0.94</v>
          </cell>
          <cell r="O23">
            <v>0.85</v>
          </cell>
          <cell r="P23">
            <v>0.75700000000000001</v>
          </cell>
          <cell r="Q23">
            <v>0.60484299999999991</v>
          </cell>
          <cell r="R23">
            <v>487.90668666666659</v>
          </cell>
          <cell r="S23">
            <v>0</v>
          </cell>
          <cell r="T23">
            <v>0</v>
          </cell>
        </row>
        <row r="24">
          <cell r="B24" t="str">
            <v>FEB0009</v>
          </cell>
          <cell r="C24">
            <v>0</v>
          </cell>
          <cell r="D24" t="str">
            <v>Rotary Moulded</v>
          </cell>
          <cell r="E24" t="str">
            <v>ECB Milk Chocolate Enrobed Oat Biscuits</v>
          </cell>
          <cell r="F24">
            <v>1000</v>
          </cell>
          <cell r="G24">
            <v>680.85</v>
          </cell>
          <cell r="H24">
            <v>806.66666666666663</v>
          </cell>
          <cell r="I24">
            <v>2.76</v>
          </cell>
          <cell r="J24">
            <v>230</v>
          </cell>
          <cell r="K24">
            <v>0</v>
          </cell>
          <cell r="L24">
            <v>60</v>
          </cell>
          <cell r="M24">
            <v>12</v>
          </cell>
          <cell r="N24">
            <v>0.94</v>
          </cell>
          <cell r="O24">
            <v>0.85</v>
          </cell>
          <cell r="P24">
            <v>0.75700000000000001</v>
          </cell>
          <cell r="Q24">
            <v>0.60484299999999991</v>
          </cell>
          <cell r="R24">
            <v>487.90668666666659</v>
          </cell>
          <cell r="S24">
            <v>0</v>
          </cell>
          <cell r="T24">
            <v>0</v>
          </cell>
        </row>
        <row r="25">
          <cell r="B25" t="str">
            <v>FEB0010</v>
          </cell>
          <cell r="C25">
            <v>0</v>
          </cell>
          <cell r="D25" t="str">
            <v>Premium Cookie</v>
          </cell>
          <cell r="E25" t="str">
            <v>Milk Chocolate Chunk Cookie H C 45g ( 2 X 24 ) SRP</v>
          </cell>
          <cell r="F25">
            <v>1800</v>
          </cell>
          <cell r="G25">
            <v>680.85</v>
          </cell>
          <cell r="H25">
            <v>200</v>
          </cell>
          <cell r="I25">
            <v>1.08</v>
          </cell>
          <cell r="J25">
            <v>45</v>
          </cell>
          <cell r="K25">
            <v>0</v>
          </cell>
          <cell r="L25">
            <v>60</v>
          </cell>
          <cell r="M25">
            <v>24</v>
          </cell>
          <cell r="N25">
            <v>0.94</v>
          </cell>
          <cell r="O25">
            <v>0.85</v>
          </cell>
          <cell r="P25">
            <v>0.75700000000000001</v>
          </cell>
          <cell r="Q25">
            <v>0.60484299999999991</v>
          </cell>
          <cell r="R25">
            <v>120.96859999999998</v>
          </cell>
          <cell r="S25">
            <v>0</v>
          </cell>
          <cell r="T25">
            <v>0</v>
          </cell>
        </row>
        <row r="26">
          <cell r="B26" t="str">
            <v>FEB0011</v>
          </cell>
          <cell r="C26">
            <v>0</v>
          </cell>
          <cell r="D26" t="str">
            <v>Premium Cookie</v>
          </cell>
          <cell r="E26" t="str">
            <v>Milk Chocolate Chunk Cookie 40g ( 2 X 24 ) SRP</v>
          </cell>
          <cell r="F26">
            <v>1800</v>
          </cell>
          <cell r="G26">
            <v>680.85</v>
          </cell>
          <cell r="H26">
            <v>200</v>
          </cell>
          <cell r="I26">
            <v>0.96</v>
          </cell>
          <cell r="J26">
            <v>40</v>
          </cell>
          <cell r="K26">
            <v>0</v>
          </cell>
          <cell r="L26">
            <v>60</v>
          </cell>
          <cell r="M26">
            <v>24</v>
          </cell>
          <cell r="N26">
            <v>0.94</v>
          </cell>
          <cell r="O26">
            <v>0.85</v>
          </cell>
          <cell r="P26">
            <v>0.75700000000000001</v>
          </cell>
          <cell r="Q26">
            <v>0.60484299999999991</v>
          </cell>
          <cell r="R26">
            <v>120.96859999999998</v>
          </cell>
          <cell r="S26">
            <v>0</v>
          </cell>
          <cell r="T26">
            <v>0</v>
          </cell>
        </row>
        <row r="27">
          <cell r="B27" t="str">
            <v>FEB0012</v>
          </cell>
          <cell r="C27">
            <v>0</v>
          </cell>
          <cell r="D27" t="str">
            <v>Premium Cookie</v>
          </cell>
          <cell r="E27" t="str">
            <v>Granola Crunchy with Nuts &amp; Seeds</v>
          </cell>
          <cell r="F27">
            <v>1800</v>
          </cell>
          <cell r="G27">
            <v>680.85</v>
          </cell>
          <cell r="H27">
            <v>961.25</v>
          </cell>
          <cell r="I27">
            <v>1.92</v>
          </cell>
          <cell r="J27">
            <v>160</v>
          </cell>
          <cell r="K27">
            <v>0</v>
          </cell>
          <cell r="L27">
            <v>60</v>
          </cell>
          <cell r="M27">
            <v>12</v>
          </cell>
          <cell r="N27">
            <v>0.94</v>
          </cell>
          <cell r="O27">
            <v>0.85</v>
          </cell>
          <cell r="P27">
            <v>0.75700000000000001</v>
          </cell>
          <cell r="Q27">
            <v>0.60484299999999991</v>
          </cell>
          <cell r="R27">
            <v>581.40533374999995</v>
          </cell>
          <cell r="S27">
            <v>0</v>
          </cell>
          <cell r="T27">
            <v>0</v>
          </cell>
        </row>
        <row r="28">
          <cell r="B28" t="str">
            <v>FEB0013</v>
          </cell>
          <cell r="C28">
            <v>0</v>
          </cell>
          <cell r="D28" t="str">
            <v>Premium Cookie</v>
          </cell>
          <cell r="E28" t="str">
            <v>Granola Crunchy with Chocolate Chips</v>
          </cell>
          <cell r="F28">
            <v>1800</v>
          </cell>
          <cell r="G28">
            <v>680.85</v>
          </cell>
          <cell r="H28">
            <v>961.25</v>
          </cell>
          <cell r="I28">
            <v>1.92</v>
          </cell>
          <cell r="J28">
            <v>160</v>
          </cell>
          <cell r="K28">
            <v>0</v>
          </cell>
          <cell r="L28">
            <v>60</v>
          </cell>
          <cell r="M28">
            <v>12</v>
          </cell>
          <cell r="N28">
            <v>0.94</v>
          </cell>
          <cell r="O28">
            <v>0.85</v>
          </cell>
          <cell r="P28">
            <v>0.75700000000000001</v>
          </cell>
          <cell r="Q28">
            <v>0.60484299999999991</v>
          </cell>
          <cell r="R28">
            <v>581.40533374999995</v>
          </cell>
          <cell r="S28">
            <v>0</v>
          </cell>
          <cell r="T28">
            <v>0</v>
          </cell>
        </row>
        <row r="29">
          <cell r="B29" t="str">
            <v>FEB0014</v>
          </cell>
          <cell r="C29">
            <v>0</v>
          </cell>
          <cell r="D29" t="str">
            <v>Premium Cookie</v>
          </cell>
          <cell r="E29" t="str">
            <v>Granola Cookies with Nuts &amp; Seeds ( USA )</v>
          </cell>
          <cell r="F29">
            <v>1800</v>
          </cell>
          <cell r="G29">
            <v>680.85</v>
          </cell>
          <cell r="H29">
            <v>961.25</v>
          </cell>
          <cell r="I29">
            <v>1.92</v>
          </cell>
          <cell r="J29">
            <v>160</v>
          </cell>
          <cell r="K29">
            <v>0</v>
          </cell>
          <cell r="L29">
            <v>60</v>
          </cell>
          <cell r="M29">
            <v>12</v>
          </cell>
          <cell r="N29">
            <v>0.94</v>
          </cell>
          <cell r="O29">
            <v>0.85</v>
          </cell>
          <cell r="P29">
            <v>0.75700000000000001</v>
          </cell>
          <cell r="Q29">
            <v>0.60484299999999991</v>
          </cell>
          <cell r="R29">
            <v>581.40533374999995</v>
          </cell>
          <cell r="S29">
            <v>0</v>
          </cell>
          <cell r="T29">
            <v>0</v>
          </cell>
        </row>
        <row r="30">
          <cell r="B30" t="str">
            <v>FEB0016</v>
          </cell>
          <cell r="C30">
            <v>0</v>
          </cell>
          <cell r="D30" t="str">
            <v>Rotary Moulded</v>
          </cell>
          <cell r="E30" t="str">
            <v>Milk Chocolate Butter Crunch ( USA )</v>
          </cell>
          <cell r="F30">
            <v>1000</v>
          </cell>
          <cell r="G30">
            <v>680.85</v>
          </cell>
          <cell r="H30">
            <v>806.66666666666663</v>
          </cell>
          <cell r="I30">
            <v>2.7</v>
          </cell>
          <cell r="J30">
            <v>225</v>
          </cell>
          <cell r="K30">
            <v>0</v>
          </cell>
          <cell r="L30">
            <v>60</v>
          </cell>
          <cell r="M30">
            <v>12</v>
          </cell>
          <cell r="N30">
            <v>0.94</v>
          </cell>
          <cell r="O30">
            <v>0.85</v>
          </cell>
          <cell r="P30">
            <v>0.75700000000000001</v>
          </cell>
          <cell r="Q30">
            <v>0.60484299999999991</v>
          </cell>
          <cell r="R30">
            <v>487.90668666666659</v>
          </cell>
          <cell r="S30">
            <v>0</v>
          </cell>
          <cell r="T30">
            <v>0</v>
          </cell>
        </row>
        <row r="31">
          <cell r="B31" t="str">
            <v>FEB0017</v>
          </cell>
          <cell r="C31">
            <v>0</v>
          </cell>
          <cell r="D31" t="str">
            <v>Rotary Moulded</v>
          </cell>
          <cell r="E31" t="str">
            <v>Coconut Crunch ( USA )</v>
          </cell>
          <cell r="F31">
            <v>1000</v>
          </cell>
          <cell r="G31">
            <v>680.85</v>
          </cell>
          <cell r="H31">
            <v>645.33333333333337</v>
          </cell>
          <cell r="I31">
            <v>2.58</v>
          </cell>
          <cell r="J31">
            <v>215</v>
          </cell>
          <cell r="K31">
            <v>0</v>
          </cell>
          <cell r="L31">
            <v>60</v>
          </cell>
          <cell r="M31">
            <v>12</v>
          </cell>
          <cell r="N31">
            <v>0.94</v>
          </cell>
          <cell r="O31">
            <v>0.85</v>
          </cell>
          <cell r="P31">
            <v>0.75700000000000001</v>
          </cell>
          <cell r="Q31">
            <v>0.60484299999999991</v>
          </cell>
          <cell r="R31">
            <v>390.32534933333329</v>
          </cell>
          <cell r="S31">
            <v>0</v>
          </cell>
          <cell r="T31">
            <v>0</v>
          </cell>
        </row>
        <row r="32">
          <cell r="B32" t="str">
            <v>FEB0018</v>
          </cell>
          <cell r="C32">
            <v>0</v>
          </cell>
          <cell r="D32" t="str">
            <v>Rotary Moulded</v>
          </cell>
          <cell r="E32" t="str">
            <v>Ginger Crunch ( USA )</v>
          </cell>
          <cell r="F32">
            <v>1000</v>
          </cell>
          <cell r="G32">
            <v>680.85</v>
          </cell>
          <cell r="H32">
            <v>645.33333333333337</v>
          </cell>
          <cell r="I32">
            <v>2.58</v>
          </cell>
          <cell r="J32">
            <v>215</v>
          </cell>
          <cell r="K32">
            <v>0</v>
          </cell>
          <cell r="L32">
            <v>60</v>
          </cell>
          <cell r="M32">
            <v>12</v>
          </cell>
          <cell r="N32">
            <v>0.94</v>
          </cell>
          <cell r="O32">
            <v>0.85</v>
          </cell>
          <cell r="P32">
            <v>0.75700000000000001</v>
          </cell>
          <cell r="Q32">
            <v>0.60484299999999991</v>
          </cell>
          <cell r="R32">
            <v>390.32534933333329</v>
          </cell>
          <cell r="S32">
            <v>0</v>
          </cell>
          <cell r="T32">
            <v>0</v>
          </cell>
        </row>
        <row r="33">
          <cell r="B33" t="str">
            <v>FEB0019</v>
          </cell>
          <cell r="C33">
            <v>0</v>
          </cell>
          <cell r="D33" t="str">
            <v>Rotary Moulded</v>
          </cell>
          <cell r="E33" t="str">
            <v>Milk Choc Chunk UK Export</v>
          </cell>
          <cell r="F33">
            <v>1000</v>
          </cell>
          <cell r="G33">
            <v>680.85</v>
          </cell>
          <cell r="H33">
            <v>961.25</v>
          </cell>
          <cell r="I33">
            <v>1.92</v>
          </cell>
          <cell r="J33">
            <v>160</v>
          </cell>
          <cell r="K33">
            <v>0</v>
          </cell>
          <cell r="L33">
            <v>60</v>
          </cell>
          <cell r="M33">
            <v>12</v>
          </cell>
          <cell r="N33">
            <v>0.94</v>
          </cell>
          <cell r="O33">
            <v>0.85</v>
          </cell>
          <cell r="P33">
            <v>0.75700000000000001</v>
          </cell>
          <cell r="Q33">
            <v>0.60484299999999991</v>
          </cell>
          <cell r="R33">
            <v>581.40533374999995</v>
          </cell>
          <cell r="S33">
            <v>0</v>
          </cell>
          <cell r="T33">
            <v>0</v>
          </cell>
        </row>
        <row r="34">
          <cell r="B34" t="str">
            <v>FEB0020</v>
          </cell>
          <cell r="C34">
            <v>0</v>
          </cell>
          <cell r="D34" t="str">
            <v>Rotary Moulded</v>
          </cell>
          <cell r="E34" t="str">
            <v>Enrobed Milk Choc Chunk UK export</v>
          </cell>
          <cell r="F34">
            <v>1000</v>
          </cell>
          <cell r="G34">
            <v>680.85</v>
          </cell>
          <cell r="H34">
            <v>1098.5714285714287</v>
          </cell>
          <cell r="I34">
            <v>1.92</v>
          </cell>
          <cell r="J34">
            <v>160</v>
          </cell>
          <cell r="K34">
            <v>0</v>
          </cell>
          <cell r="L34">
            <v>60</v>
          </cell>
          <cell r="M34">
            <v>12</v>
          </cell>
          <cell r="N34">
            <v>0.94</v>
          </cell>
          <cell r="O34">
            <v>0.85</v>
          </cell>
          <cell r="P34">
            <v>0.75700000000000001</v>
          </cell>
          <cell r="Q34">
            <v>0.60484299999999991</v>
          </cell>
          <cell r="R34">
            <v>664.46323857142852</v>
          </cell>
          <cell r="S34">
            <v>0</v>
          </cell>
          <cell r="T34">
            <v>0</v>
          </cell>
        </row>
        <row r="35">
          <cell r="B35" t="str">
            <v>FEB0021</v>
          </cell>
          <cell r="C35">
            <v>0</v>
          </cell>
          <cell r="D35" t="str">
            <v>Rotary Moulded</v>
          </cell>
          <cell r="E35" t="str">
            <v>Stem Ginger UK export</v>
          </cell>
          <cell r="F35">
            <v>1000</v>
          </cell>
          <cell r="G35">
            <v>680.85</v>
          </cell>
          <cell r="H35">
            <v>961.25</v>
          </cell>
          <cell r="I35">
            <v>1.92</v>
          </cell>
          <cell r="J35">
            <v>160</v>
          </cell>
          <cell r="K35">
            <v>0</v>
          </cell>
          <cell r="L35">
            <v>60</v>
          </cell>
          <cell r="M35">
            <v>12</v>
          </cell>
          <cell r="N35">
            <v>0.94</v>
          </cell>
          <cell r="O35">
            <v>0.85</v>
          </cell>
          <cell r="P35">
            <v>0.75700000000000001</v>
          </cell>
          <cell r="Q35">
            <v>0.60484299999999991</v>
          </cell>
          <cell r="R35">
            <v>581.40533374999995</v>
          </cell>
          <cell r="S35">
            <v>0</v>
          </cell>
          <cell r="T35">
            <v>0</v>
          </cell>
        </row>
        <row r="36">
          <cell r="B36" t="str">
            <v>FEB0022</v>
          </cell>
          <cell r="C36">
            <v>0</v>
          </cell>
          <cell r="D36" t="str">
            <v>Rotary Moulded</v>
          </cell>
          <cell r="E36" t="str">
            <v>Granola Nuts &amp; Seeds UK export</v>
          </cell>
          <cell r="F36">
            <v>1000</v>
          </cell>
          <cell r="G36">
            <v>680.85</v>
          </cell>
          <cell r="H36">
            <v>961.25</v>
          </cell>
          <cell r="I36">
            <v>1.92</v>
          </cell>
          <cell r="J36">
            <v>160</v>
          </cell>
          <cell r="K36">
            <v>0</v>
          </cell>
          <cell r="L36">
            <v>60</v>
          </cell>
          <cell r="M36">
            <v>12</v>
          </cell>
          <cell r="N36">
            <v>0.94</v>
          </cell>
          <cell r="O36">
            <v>0.85</v>
          </cell>
          <cell r="P36">
            <v>0.75700000000000001</v>
          </cell>
          <cell r="Q36">
            <v>0.60484299999999991</v>
          </cell>
          <cell r="R36">
            <v>581.40533374999995</v>
          </cell>
          <cell r="S36">
            <v>0</v>
          </cell>
          <cell r="T36">
            <v>0</v>
          </cell>
        </row>
        <row r="37">
          <cell r="B37" t="str">
            <v>FEB0023</v>
          </cell>
          <cell r="C37">
            <v>0</v>
          </cell>
          <cell r="D37" t="str">
            <v>Rotary Moulded</v>
          </cell>
          <cell r="E37" t="str">
            <v>Triple Chocolate UK Export</v>
          </cell>
          <cell r="F37">
            <v>1000</v>
          </cell>
          <cell r="G37">
            <v>680.85</v>
          </cell>
          <cell r="H37">
            <v>961.25</v>
          </cell>
          <cell r="I37">
            <v>1.92</v>
          </cell>
          <cell r="J37">
            <v>160</v>
          </cell>
          <cell r="K37">
            <v>0</v>
          </cell>
          <cell r="L37">
            <v>60</v>
          </cell>
          <cell r="M37">
            <v>12</v>
          </cell>
          <cell r="N37">
            <v>0.94</v>
          </cell>
          <cell r="O37">
            <v>0.85</v>
          </cell>
          <cell r="P37">
            <v>0.75700000000000001</v>
          </cell>
          <cell r="Q37">
            <v>0.60484299999999991</v>
          </cell>
          <cell r="R37">
            <v>581.40533374999995</v>
          </cell>
          <cell r="S37">
            <v>0</v>
          </cell>
          <cell r="T37">
            <v>0</v>
          </cell>
        </row>
        <row r="38">
          <cell r="B38" t="str">
            <v>FGG0001</v>
          </cell>
          <cell r="C38">
            <v>0</v>
          </cell>
          <cell r="D38" t="str">
            <v>Choc Chip Cookie</v>
          </cell>
          <cell r="E38" t="str">
            <v>Irish Girl Guides Chocolate Chip Cookie 200G</v>
          </cell>
          <cell r="F38">
            <v>750</v>
          </cell>
          <cell r="G38">
            <v>680.85</v>
          </cell>
          <cell r="H38">
            <v>330.55555555555554</v>
          </cell>
          <cell r="I38">
            <v>4.8</v>
          </cell>
          <cell r="J38">
            <v>200</v>
          </cell>
          <cell r="K38">
            <v>0</v>
          </cell>
          <cell r="L38">
            <v>60</v>
          </cell>
          <cell r="M38">
            <v>24</v>
          </cell>
          <cell r="N38">
            <v>0.94</v>
          </cell>
          <cell r="O38">
            <v>0.85</v>
          </cell>
          <cell r="P38">
            <v>0.75700000000000001</v>
          </cell>
          <cell r="Q38">
            <v>0.60484299999999991</v>
          </cell>
          <cell r="R38">
            <v>199.93421388888885</v>
          </cell>
          <cell r="S38">
            <v>0</v>
          </cell>
          <cell r="T38">
            <v>0</v>
          </cell>
        </row>
        <row r="39">
          <cell r="B39" t="str">
            <v>FHL0001</v>
          </cell>
          <cell r="C39">
            <v>0</v>
          </cell>
          <cell r="D39" t="str">
            <v>Choc Chip Cookie</v>
          </cell>
          <cell r="E39" t="str">
            <v>Hills Chocolate Chip ( 14 % ) Cookie</v>
          </cell>
          <cell r="F39">
            <v>750</v>
          </cell>
          <cell r="G39">
            <v>680.85</v>
          </cell>
          <cell r="H39">
            <v>661.11111111111109</v>
          </cell>
          <cell r="I39">
            <v>4</v>
          </cell>
          <cell r="J39">
            <v>200</v>
          </cell>
          <cell r="K39">
            <v>0</v>
          </cell>
          <cell r="L39">
            <v>60</v>
          </cell>
          <cell r="M39">
            <v>12</v>
          </cell>
          <cell r="N39">
            <v>0.94</v>
          </cell>
          <cell r="O39">
            <v>0.85</v>
          </cell>
          <cell r="P39">
            <v>0.75700000000000001</v>
          </cell>
          <cell r="Q39">
            <v>0.60484299999999991</v>
          </cell>
          <cell r="R39">
            <v>399.8684277777777</v>
          </cell>
          <cell r="S39">
            <v>0</v>
          </cell>
          <cell r="T39">
            <v>0</v>
          </cell>
        </row>
        <row r="40">
          <cell r="B40" t="str">
            <v>FHL0002</v>
          </cell>
          <cell r="C40">
            <v>0</v>
          </cell>
          <cell r="D40" t="str">
            <v>Rotary Moulded</v>
          </cell>
          <cell r="E40" t="str">
            <v>Hill Biscuits 150g Gingernuts</v>
          </cell>
          <cell r="F40">
            <v>1000</v>
          </cell>
          <cell r="G40">
            <v>680.85</v>
          </cell>
          <cell r="H40">
            <v>266.33333333333331</v>
          </cell>
          <cell r="I40">
            <v>5.4</v>
          </cell>
          <cell r="J40">
            <v>150</v>
          </cell>
          <cell r="K40">
            <v>0</v>
          </cell>
          <cell r="L40">
            <v>60</v>
          </cell>
          <cell r="M40">
            <v>36</v>
          </cell>
          <cell r="N40">
            <v>0.94</v>
          </cell>
          <cell r="O40">
            <v>0.85</v>
          </cell>
          <cell r="P40">
            <v>0.75700000000000001</v>
          </cell>
          <cell r="Q40">
            <v>0.60484299999999991</v>
          </cell>
          <cell r="R40">
            <v>161.08985233333331</v>
          </cell>
          <cell r="S40">
            <v>0</v>
          </cell>
          <cell r="T40">
            <v>0</v>
          </cell>
        </row>
        <row r="41">
          <cell r="B41" t="str">
            <v>FJA0001</v>
          </cell>
          <cell r="D41" t="str">
            <v>Rotary Moulded</v>
          </cell>
          <cell r="E41" t="str">
            <v>Jacobs Goldgrain 300g</v>
          </cell>
          <cell r="F41">
            <v>1000</v>
          </cell>
          <cell r="G41">
            <v>680.85</v>
          </cell>
          <cell r="H41">
            <v>102.14814814814815</v>
          </cell>
          <cell r="I41">
            <v>7.2</v>
          </cell>
          <cell r="J41">
            <v>300</v>
          </cell>
          <cell r="L41">
            <v>60</v>
          </cell>
          <cell r="M41">
            <v>24</v>
          </cell>
          <cell r="N41">
            <v>0.94</v>
          </cell>
          <cell r="O41">
            <v>0.85</v>
          </cell>
          <cell r="P41">
            <v>0.75700000000000001</v>
          </cell>
          <cell r="Q41">
            <v>0.60484299999999991</v>
          </cell>
          <cell r="R41">
            <v>61.783592370370364</v>
          </cell>
        </row>
        <row r="42">
          <cell r="B42" t="str">
            <v>FJA0002</v>
          </cell>
          <cell r="D42" t="str">
            <v>Rotary Moulded</v>
          </cell>
          <cell r="E42" t="str">
            <v>Jacobs Gingernuts 200g</v>
          </cell>
          <cell r="F42">
            <v>1000</v>
          </cell>
          <cell r="G42">
            <v>680.85</v>
          </cell>
          <cell r="H42">
            <v>148.42105263157893</v>
          </cell>
          <cell r="I42">
            <v>4.8</v>
          </cell>
          <cell r="J42">
            <v>200</v>
          </cell>
          <cell r="L42">
            <v>60</v>
          </cell>
          <cell r="M42">
            <v>24</v>
          </cell>
          <cell r="N42">
            <v>0.94</v>
          </cell>
          <cell r="O42">
            <v>0.85</v>
          </cell>
          <cell r="P42">
            <v>0.75700000000000001</v>
          </cell>
          <cell r="Q42">
            <v>0.60484299999999991</v>
          </cell>
          <cell r="R42">
            <v>89.771434736842082</v>
          </cell>
        </row>
        <row r="43">
          <cell r="B43" t="str">
            <v>FJA0004</v>
          </cell>
          <cell r="C43">
            <v>0</v>
          </cell>
          <cell r="D43" t="str">
            <v>Rotary Moulded</v>
          </cell>
          <cell r="E43" t="str">
            <v>Jacobs Polo 200g</v>
          </cell>
          <cell r="F43">
            <v>1000</v>
          </cell>
          <cell r="G43">
            <v>680.85</v>
          </cell>
          <cell r="H43">
            <v>13.857677902621722</v>
          </cell>
          <cell r="I43">
            <v>4.8</v>
          </cell>
          <cell r="J43">
            <v>200</v>
          </cell>
          <cell r="K43">
            <v>0</v>
          </cell>
          <cell r="L43">
            <v>60</v>
          </cell>
          <cell r="M43">
            <v>24</v>
          </cell>
          <cell r="N43">
            <v>0.94</v>
          </cell>
          <cell r="O43">
            <v>0.85</v>
          </cell>
          <cell r="P43">
            <v>0.75700000000000001</v>
          </cell>
          <cell r="Q43">
            <v>0.60484299999999991</v>
          </cell>
          <cell r="R43">
            <v>8.3817194756554283</v>
          </cell>
          <cell r="S43">
            <v>0</v>
          </cell>
          <cell r="T43">
            <v>0</v>
          </cell>
        </row>
        <row r="44">
          <cell r="B44" t="str">
            <v>FOM0002</v>
          </cell>
          <cell r="C44">
            <v>0</v>
          </cell>
          <cell r="D44" t="str">
            <v>Choc Chip Cookie</v>
          </cell>
          <cell r="E44" t="str">
            <v xml:space="preserve">Oh My Chocolate Chip Cookie 24 x 200g   </v>
          </cell>
          <cell r="F44">
            <v>750</v>
          </cell>
          <cell r="G44">
            <v>680.85</v>
          </cell>
          <cell r="H44">
            <v>330.55555555555554</v>
          </cell>
          <cell r="I44">
            <v>4.8</v>
          </cell>
          <cell r="J44">
            <v>200</v>
          </cell>
          <cell r="K44">
            <v>0</v>
          </cell>
          <cell r="L44">
            <v>60</v>
          </cell>
          <cell r="M44">
            <v>24</v>
          </cell>
          <cell r="N44">
            <v>0.94</v>
          </cell>
          <cell r="O44">
            <v>0.85</v>
          </cell>
          <cell r="P44">
            <v>0.75700000000000001</v>
          </cell>
          <cell r="Q44">
            <v>0.60484299999999991</v>
          </cell>
          <cell r="R44">
            <v>199.93421388888885</v>
          </cell>
          <cell r="S44">
            <v>0</v>
          </cell>
          <cell r="T44">
            <v>0</v>
          </cell>
        </row>
        <row r="45">
          <cell r="B45" t="str">
            <v>FOM0003</v>
          </cell>
          <cell r="C45">
            <v>0</v>
          </cell>
          <cell r="D45" t="str">
            <v>Choc Chip Cookie</v>
          </cell>
          <cell r="E45" t="str">
            <v>Oh My Tubs 6 x 700G</v>
          </cell>
          <cell r="F45">
            <v>750</v>
          </cell>
          <cell r="G45">
            <v>680.85</v>
          </cell>
          <cell r="H45">
            <v>0</v>
          </cell>
          <cell r="I45">
            <v>4.2</v>
          </cell>
          <cell r="J45">
            <v>700</v>
          </cell>
          <cell r="K45">
            <v>0</v>
          </cell>
          <cell r="L45">
            <v>60</v>
          </cell>
          <cell r="M45">
            <v>6</v>
          </cell>
          <cell r="N45">
            <v>0.94</v>
          </cell>
          <cell r="O45">
            <v>0.85</v>
          </cell>
          <cell r="P45">
            <v>0.75700000000000001</v>
          </cell>
          <cell r="Q45">
            <v>0.60484299999999991</v>
          </cell>
          <cell r="R45">
            <v>0</v>
          </cell>
          <cell r="S45">
            <v>0</v>
          </cell>
          <cell r="T45">
            <v>0</v>
          </cell>
        </row>
        <row r="46">
          <cell r="B46" t="str">
            <v>FOM0004</v>
          </cell>
          <cell r="C46">
            <v>0</v>
          </cell>
          <cell r="D46" t="str">
            <v>Choc Chip Cookie</v>
          </cell>
          <cell r="E46" t="str">
            <v>Oh My 14% Choc Chip with 16% HC 24 x 185g</v>
          </cell>
          <cell r="F46">
            <v>750</v>
          </cell>
          <cell r="G46">
            <v>680.85</v>
          </cell>
          <cell r="H46">
            <v>457.69230769230768</v>
          </cell>
          <cell r="I46">
            <v>4.4400000000000004</v>
          </cell>
          <cell r="J46">
            <v>185</v>
          </cell>
          <cell r="K46">
            <v>0</v>
          </cell>
          <cell r="L46">
            <v>60</v>
          </cell>
          <cell r="M46">
            <v>24</v>
          </cell>
          <cell r="N46">
            <v>0.94</v>
          </cell>
          <cell r="O46">
            <v>0.85</v>
          </cell>
          <cell r="P46">
            <v>0.75700000000000001</v>
          </cell>
          <cell r="Q46">
            <v>0.60484299999999991</v>
          </cell>
          <cell r="R46">
            <v>276.8319884615384</v>
          </cell>
          <cell r="S46">
            <v>0</v>
          </cell>
          <cell r="T46">
            <v>0</v>
          </cell>
        </row>
        <row r="47">
          <cell r="B47" t="str">
            <v>FOM0005</v>
          </cell>
          <cell r="C47">
            <v>0</v>
          </cell>
          <cell r="D47" t="str">
            <v>Choc Chip Cookie</v>
          </cell>
          <cell r="E47" t="str">
            <v>Oh My Double Choc Chip Cookie ( 14 % ) Export 145g</v>
          </cell>
          <cell r="F47">
            <v>750</v>
          </cell>
          <cell r="G47">
            <v>680.85</v>
          </cell>
          <cell r="H47">
            <v>549.23076923076928</v>
          </cell>
          <cell r="I47">
            <v>2.9</v>
          </cell>
          <cell r="J47">
            <v>145</v>
          </cell>
          <cell r="K47">
            <v>0</v>
          </cell>
          <cell r="L47">
            <v>60</v>
          </cell>
          <cell r="M47">
            <v>20</v>
          </cell>
          <cell r="N47">
            <v>0.94</v>
          </cell>
          <cell r="O47">
            <v>0.85</v>
          </cell>
          <cell r="P47">
            <v>0.75700000000000001</v>
          </cell>
          <cell r="Q47">
            <v>0.60484299999999991</v>
          </cell>
          <cell r="R47">
            <v>332.19838615384612</v>
          </cell>
          <cell r="S47">
            <v>0</v>
          </cell>
          <cell r="T47">
            <v>0</v>
          </cell>
        </row>
        <row r="48">
          <cell r="B48" t="str">
            <v>FOM0006</v>
          </cell>
          <cell r="C48">
            <v>0</v>
          </cell>
          <cell r="D48" t="str">
            <v>Choc Chip Cookie</v>
          </cell>
          <cell r="E48" t="str">
            <v>Oh My Choc Chip Cookies ( 14 % ) Export 145g</v>
          </cell>
          <cell r="F48">
            <v>750</v>
          </cell>
          <cell r="G48">
            <v>680.85</v>
          </cell>
          <cell r="H48">
            <v>549.23076923076928</v>
          </cell>
          <cell r="I48">
            <v>2.9</v>
          </cell>
          <cell r="J48">
            <v>145</v>
          </cell>
          <cell r="K48">
            <v>0</v>
          </cell>
          <cell r="L48">
            <v>60</v>
          </cell>
          <cell r="M48">
            <v>20</v>
          </cell>
          <cell r="N48">
            <v>0.94</v>
          </cell>
          <cell r="O48">
            <v>0.85</v>
          </cell>
          <cell r="P48">
            <v>0.75700000000000001</v>
          </cell>
          <cell r="Q48">
            <v>0.60484299999999991</v>
          </cell>
          <cell r="R48">
            <v>332.19838615384612</v>
          </cell>
          <cell r="S48">
            <v>0</v>
          </cell>
          <cell r="T48">
            <v>0</v>
          </cell>
        </row>
        <row r="49">
          <cell r="B49" t="str">
            <v>FRC0001</v>
          </cell>
          <cell r="D49" t="str">
            <v>Rotary Moulded</v>
          </cell>
          <cell r="E49" t="str">
            <v>Rose Teacake Bases</v>
          </cell>
          <cell r="F49">
            <v>1000</v>
          </cell>
          <cell r="G49">
            <v>680.85</v>
          </cell>
          <cell r="H49" t="e">
            <v>#DIV/0!</v>
          </cell>
          <cell r="I49">
            <v>2.9</v>
          </cell>
          <cell r="J49">
            <v>145</v>
          </cell>
          <cell r="K49">
            <v>0</v>
          </cell>
          <cell r="L49">
            <v>60</v>
          </cell>
          <cell r="M49">
            <v>20</v>
          </cell>
          <cell r="N49">
            <v>0.94</v>
          </cell>
          <cell r="O49">
            <v>0.85</v>
          </cell>
          <cell r="P49">
            <v>0.75700000000000001</v>
          </cell>
          <cell r="Q49">
            <v>0.60484299999999991</v>
          </cell>
          <cell r="R49">
            <v>332.19838615384612</v>
          </cell>
          <cell r="S49">
            <v>0</v>
          </cell>
          <cell r="T49">
            <v>0</v>
          </cell>
        </row>
        <row r="50">
          <cell r="B50" t="str">
            <v>FRG0001</v>
          </cell>
          <cell r="D50" t="str">
            <v>Choc Chip Cookie</v>
          </cell>
          <cell r="E50" t="str">
            <v>Regal Bakery Choc Chip Cookie 145g (14%)</v>
          </cell>
          <cell r="F50">
            <v>750</v>
          </cell>
          <cell r="G50">
            <v>680.85</v>
          </cell>
          <cell r="H50">
            <v>549.23076923076928</v>
          </cell>
          <cell r="I50">
            <v>2.9</v>
          </cell>
          <cell r="J50">
            <v>145</v>
          </cell>
          <cell r="K50">
            <v>0</v>
          </cell>
          <cell r="L50">
            <v>60</v>
          </cell>
          <cell r="M50">
            <v>20</v>
          </cell>
          <cell r="N50">
            <v>0.94</v>
          </cell>
          <cell r="O50">
            <v>0.85</v>
          </cell>
          <cell r="P50">
            <v>0.75700000000000001</v>
          </cell>
          <cell r="Q50">
            <v>0.60484299999999991</v>
          </cell>
          <cell r="R50">
            <v>332.19838615384612</v>
          </cell>
          <cell r="S50">
            <v>0</v>
          </cell>
          <cell r="T50">
            <v>0</v>
          </cell>
        </row>
        <row r="51">
          <cell r="B51" t="str">
            <v>FRG0002</v>
          </cell>
          <cell r="D51" t="str">
            <v>Choc Chip Cookie</v>
          </cell>
          <cell r="E51" t="str">
            <v>Regal Bakery Double Chip 145g (14%)</v>
          </cell>
          <cell r="F51">
            <v>750</v>
          </cell>
          <cell r="G51">
            <v>680.85</v>
          </cell>
          <cell r="H51">
            <v>549.23076923076928</v>
          </cell>
          <cell r="I51">
            <v>2.9</v>
          </cell>
          <cell r="J51">
            <v>145</v>
          </cell>
          <cell r="L51">
            <v>60</v>
          </cell>
          <cell r="M51">
            <v>20</v>
          </cell>
          <cell r="N51">
            <v>0.94</v>
          </cell>
          <cell r="O51">
            <v>0.85</v>
          </cell>
          <cell r="P51">
            <v>0.75700000000000001</v>
          </cell>
          <cell r="Q51">
            <v>0.60484299999999991</v>
          </cell>
          <cell r="R51">
            <v>332.19838615384612</v>
          </cell>
        </row>
      </sheetData>
      <sheetData sheetId="1"/>
      <sheetData sheetId="2">
        <row r="3">
          <cell r="BL3">
            <v>0.86</v>
          </cell>
          <cell r="BP3">
            <v>0.75700000000000001</v>
          </cell>
        </row>
        <row r="4">
          <cell r="BI4">
            <v>325</v>
          </cell>
          <cell r="BJ4">
            <v>350</v>
          </cell>
          <cell r="BM4">
            <v>1800</v>
          </cell>
          <cell r="BN4">
            <v>1000</v>
          </cell>
          <cell r="BO4">
            <v>750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rol list"/>
      <sheetName val="FY'19"/>
    </sheetNames>
    <sheetDataSet>
      <sheetData sheetId="0"/>
      <sheetData sheetId="1">
        <row r="1">
          <cell r="A1" t="str">
            <v>Item No.</v>
          </cell>
          <cell r="B1" t="str">
            <v>Item Description</v>
          </cell>
          <cell r="C1" t="str">
            <v>Item Group</v>
          </cell>
        </row>
        <row r="2">
          <cell r="A2" t="str">
            <v>Carriage In</v>
          </cell>
          <cell r="B2" t="str">
            <v>Freight In / Delivery Charges Inbound</v>
          </cell>
          <cell r="C2" t="str">
            <v>Freight</v>
          </cell>
        </row>
        <row r="3">
          <cell r="A3" t="str">
            <v>CO00003</v>
          </cell>
          <cell r="B3" t="str">
            <v>Thermal Label White - 11808</v>
          </cell>
          <cell r="C3" t="str">
            <v>Consumables</v>
          </cell>
        </row>
        <row r="4">
          <cell r="A4" t="str">
            <v>CO00004</v>
          </cell>
          <cell r="B4" t="str">
            <v>Std 3520 Ribbon 55 x 1000</v>
          </cell>
          <cell r="C4" t="str">
            <v>Consumables</v>
          </cell>
        </row>
        <row r="5">
          <cell r="A5" t="str">
            <v>CO00005</v>
          </cell>
          <cell r="B5" t="str">
            <v>Strapping for Baling Machine</v>
          </cell>
          <cell r="C5" t="str">
            <v>Consumables</v>
          </cell>
        </row>
        <row r="6">
          <cell r="A6" t="str">
            <v>ED00003</v>
          </cell>
          <cell r="B6" t="str">
            <v>Sugar Granulated 25KG</v>
          </cell>
          <cell r="C6" t="str">
            <v>Ingredients</v>
          </cell>
        </row>
        <row r="7">
          <cell r="A7" t="str">
            <v>ED00004</v>
          </cell>
          <cell r="B7" t="str">
            <v>Palm Oil B001 (SG) 12.5 Kg</v>
          </cell>
          <cell r="C7" t="str">
            <v>Ingredients</v>
          </cell>
        </row>
        <row r="8">
          <cell r="A8" t="str">
            <v>ED00006</v>
          </cell>
          <cell r="B8" t="str">
            <v>Liquid Butter F - 19296  25 Kg</v>
          </cell>
          <cell r="C8" t="str">
            <v>Ingredients</v>
          </cell>
        </row>
        <row r="9">
          <cell r="A9" t="str">
            <v>ED00007</v>
          </cell>
          <cell r="B9" t="str">
            <v>Whey Powder  25 KG ( Y )</v>
          </cell>
          <cell r="C9" t="str">
            <v>Ingredients</v>
          </cell>
        </row>
        <row r="10">
          <cell r="A10" t="str">
            <v>ED00017</v>
          </cell>
          <cell r="B10" t="str">
            <v>Apollo Flour Bulk</v>
          </cell>
          <cell r="C10" t="str">
            <v>Ingredients</v>
          </cell>
        </row>
        <row r="11">
          <cell r="A11" t="str">
            <v>ED00020</v>
          </cell>
          <cell r="B11" t="str">
            <v>Porridge Oat Flakes ( 25 Kgs )  ( Y )</v>
          </cell>
          <cell r="C11" t="str">
            <v>Ingredients</v>
          </cell>
        </row>
        <row r="12">
          <cell r="A12" t="str">
            <v>ED00022</v>
          </cell>
          <cell r="B12" t="str">
            <v>Treacle 25 Kg</v>
          </cell>
          <cell r="C12" t="str">
            <v>Ingredients</v>
          </cell>
        </row>
        <row r="13">
          <cell r="A13" t="str">
            <v>ED00023</v>
          </cell>
          <cell r="B13" t="str">
            <v>Hazelnuts Whole Skin 25 Kg ( 420 ) ( O )</v>
          </cell>
          <cell r="C13" t="str">
            <v>Ingredients</v>
          </cell>
        </row>
        <row r="14">
          <cell r="A14" t="str">
            <v>ED00026</v>
          </cell>
          <cell r="B14" t="str">
            <v>Caramel Pieces Rounded SG 7Kg</v>
          </cell>
          <cell r="C14" t="str">
            <v>Ingredients</v>
          </cell>
        </row>
        <row r="15">
          <cell r="A15" t="str">
            <v>ED00027</v>
          </cell>
          <cell r="B15" t="str">
            <v>Desiccated Coconut  25 Kg ( 437 )  ( W )</v>
          </cell>
          <cell r="C15" t="str">
            <v>Ingredients</v>
          </cell>
        </row>
        <row r="16">
          <cell r="A16" t="str">
            <v>ED00032</v>
          </cell>
          <cell r="B16" t="str">
            <v>Sweet Glucose Syrup 1017000 IBC</v>
          </cell>
          <cell r="C16" t="str">
            <v>Ingredients</v>
          </cell>
        </row>
        <row r="17">
          <cell r="A17" t="str">
            <v>ED00034</v>
          </cell>
          <cell r="B17" t="str">
            <v>Cornish Sea Salt 1.5 Kg</v>
          </cell>
          <cell r="C17" t="str">
            <v>Ingredients</v>
          </cell>
        </row>
        <row r="18">
          <cell r="A18" t="str">
            <v>ED00035</v>
          </cell>
          <cell r="B18" t="str">
            <v>Cocoa Powder 25 Kg ( W )</v>
          </cell>
          <cell r="C18" t="str">
            <v>Ingredients</v>
          </cell>
        </row>
        <row r="19">
          <cell r="A19" t="str">
            <v>ED00038</v>
          </cell>
          <cell r="B19" t="str">
            <v>Whole Cranberries 11.34 Kg  ( 463 )</v>
          </cell>
          <cell r="C19" t="str">
            <v>Ingredients</v>
          </cell>
        </row>
        <row r="20">
          <cell r="A20" t="str">
            <v>ED00039</v>
          </cell>
          <cell r="B20" t="str">
            <v>Ginger Pieces 5x8 mm 20 Kg ( 513 )</v>
          </cell>
          <cell r="C20" t="str">
            <v>Ingredients</v>
          </cell>
        </row>
        <row r="21">
          <cell r="A21" t="str">
            <v>ED00040</v>
          </cell>
          <cell r="B21" t="str">
            <v>Chocolate Chips 42% ( 12000 ) 16694 Cemoi</v>
          </cell>
          <cell r="C21" t="str">
            <v>Ingredients</v>
          </cell>
        </row>
        <row r="22">
          <cell r="A22" t="str">
            <v>ED00042</v>
          </cell>
          <cell r="B22" t="str">
            <v>Pecan Halfs 4840 ( 13.6 Kg )  ( O )</v>
          </cell>
          <cell r="C22" t="str">
            <v>Ingredients</v>
          </cell>
        </row>
        <row r="23">
          <cell r="A23" t="str">
            <v>ED00043</v>
          </cell>
          <cell r="B23" t="str">
            <v>Golden Syrup 1250KG T &amp; L</v>
          </cell>
          <cell r="C23" t="str">
            <v>Ingredients</v>
          </cell>
        </row>
        <row r="24">
          <cell r="A24" t="str">
            <v>ED00045</v>
          </cell>
          <cell r="B24" t="str">
            <v>Raisins Thompsons 10 Kg  ( 4644 )</v>
          </cell>
          <cell r="C24" t="str">
            <v>Ingredients</v>
          </cell>
        </row>
        <row r="25">
          <cell r="A25" t="str">
            <v>ED00046</v>
          </cell>
          <cell r="B25" t="str">
            <v>Butter 25kgs  ( Y )</v>
          </cell>
          <cell r="C25" t="str">
            <v>Ingredients</v>
          </cell>
        </row>
        <row r="26">
          <cell r="A26" t="str">
            <v>ED00048</v>
          </cell>
          <cell r="B26" t="str">
            <v>Sodium Acid ( SAPP 28 ) Haifa</v>
          </cell>
          <cell r="C26" t="str">
            <v>Ingredients</v>
          </cell>
        </row>
        <row r="27">
          <cell r="A27" t="str">
            <v>ED00049</v>
          </cell>
          <cell r="B27" t="str">
            <v>Mocha Chocolate Splinters HL2226AASFC0025B2</v>
          </cell>
          <cell r="C27" t="str">
            <v>Ingredients</v>
          </cell>
        </row>
        <row r="28">
          <cell r="A28" t="str">
            <v>ED00050</v>
          </cell>
          <cell r="B28" t="str">
            <v>Dark Chocolate Chunk 10x10x4 5524-26 ( Cargill )</v>
          </cell>
          <cell r="C28" t="str">
            <v>Ingredients</v>
          </cell>
        </row>
        <row r="29">
          <cell r="A29" t="str">
            <v>ED00051</v>
          </cell>
          <cell r="B29" t="str">
            <v>Milk Chocolate 10x10x4. M27 (Cargill ) ( Y )</v>
          </cell>
          <cell r="C29" t="str">
            <v>Ingredients</v>
          </cell>
        </row>
        <row r="30">
          <cell r="A30" t="str">
            <v>ED00052</v>
          </cell>
          <cell r="B30" t="str">
            <v>White Chocolate Chunks 10x10x4 W29 ( Cargill )</v>
          </cell>
          <cell r="C30" t="str">
            <v>Ingredients</v>
          </cell>
        </row>
        <row r="31">
          <cell r="A31" t="str">
            <v>ED00053</v>
          </cell>
          <cell r="B31" t="str">
            <v>Sunrise Soya Lecithin Liquid  205KG  ( Y )</v>
          </cell>
          <cell r="C31" t="str">
            <v>Ingredients</v>
          </cell>
        </row>
        <row r="32">
          <cell r="A32" t="str">
            <v>ED00054</v>
          </cell>
          <cell r="B32" t="str">
            <v>Dark Chocolate Ch 8x8x3.5mm HC5027ALCHS0025A01</v>
          </cell>
          <cell r="C32" t="str">
            <v>Ingredients</v>
          </cell>
        </row>
        <row r="33">
          <cell r="A33" t="str">
            <v>ED00055</v>
          </cell>
          <cell r="B33" t="str">
            <v>Milk Chocolate 32% Buttons 25 Kg ( 26307 )</v>
          </cell>
          <cell r="C33" t="str">
            <v>Ingredients</v>
          </cell>
        </row>
        <row r="34">
          <cell r="A34" t="str">
            <v>ED00056</v>
          </cell>
          <cell r="B34" t="str">
            <v>Sugar Granulated ( Bulk )</v>
          </cell>
          <cell r="C34" t="str">
            <v>Ingredients</v>
          </cell>
        </row>
        <row r="35">
          <cell r="A35" t="str">
            <v>ED00057</v>
          </cell>
          <cell r="B35" t="str">
            <v>AMF Butter Oil 25 KG</v>
          </cell>
          <cell r="C35" t="str">
            <v>Ingredients</v>
          </cell>
        </row>
        <row r="36">
          <cell r="A36" t="str">
            <v>ED00058</v>
          </cell>
          <cell r="B36" t="str">
            <v>Porridge Oats ( Tote )</v>
          </cell>
          <cell r="C36" t="str">
            <v>Ingredients</v>
          </cell>
        </row>
        <row r="37">
          <cell r="A37" t="str">
            <v>ED00059</v>
          </cell>
          <cell r="B37" t="str">
            <v>Apollo Flour  25kgs</v>
          </cell>
          <cell r="C37" t="str">
            <v>Ingredients</v>
          </cell>
        </row>
        <row r="38">
          <cell r="A38" t="str">
            <v>ED00060</v>
          </cell>
          <cell r="B38" t="str">
            <v>Chinese Ground Ginger HT ( 5215 )</v>
          </cell>
          <cell r="C38" t="str">
            <v>Ingredients</v>
          </cell>
        </row>
        <row r="39">
          <cell r="A39" t="str">
            <v>ED00061</v>
          </cell>
          <cell r="B39" t="str">
            <v>Apollo Flour Bagged 25KGS ( Y )</v>
          </cell>
          <cell r="C39" t="str">
            <v>Ingredients</v>
          </cell>
        </row>
        <row r="40">
          <cell r="A40" t="str">
            <v>ED00062</v>
          </cell>
          <cell r="B40" t="str">
            <v>Chocolate Drops  HC4525AHOO</v>
          </cell>
          <cell r="C40" t="str">
            <v>Ingredients</v>
          </cell>
        </row>
        <row r="41">
          <cell r="A41" t="str">
            <v>ED00063</v>
          </cell>
          <cell r="B41" t="str">
            <v>Ammonium Bicarbonate ( 25 KGs ) BASF</v>
          </cell>
          <cell r="C41" t="str">
            <v>Ingredients</v>
          </cell>
        </row>
        <row r="42">
          <cell r="A42" t="str">
            <v>ED00064</v>
          </cell>
          <cell r="B42" t="str">
            <v>Meritena Wheat Starch 25 KG ( Y )</v>
          </cell>
          <cell r="C42" t="str">
            <v>Ingredients</v>
          </cell>
        </row>
        <row r="43">
          <cell r="A43" t="str">
            <v>ED00065</v>
          </cell>
          <cell r="B43" t="str">
            <v>Chocolate Drop ( 7500/KG ) 25 KG HC4525AIDNS0025A56</v>
          </cell>
          <cell r="C43" t="str">
            <v>Ingredients</v>
          </cell>
        </row>
        <row r="44">
          <cell r="A44" t="str">
            <v>ED00066</v>
          </cell>
          <cell r="B44" t="str">
            <v>Chocolate Chunk 9*9*3.5mm HC4525AICHC0020E08 20KG</v>
          </cell>
          <cell r="C44" t="str">
            <v>Ingredients</v>
          </cell>
        </row>
        <row r="45">
          <cell r="A45" t="str">
            <v>ED00067</v>
          </cell>
          <cell r="B45" t="str">
            <v>Chocolate Drops ( 12000/KG ) 25 KG HC4525AIDNS0025B00 ( Y )</v>
          </cell>
          <cell r="C45" t="str">
            <v>Ingredients</v>
          </cell>
        </row>
        <row r="46">
          <cell r="A46" t="str">
            <v>ED00068</v>
          </cell>
          <cell r="B46" t="str">
            <v>Tartaric Acid 25 KG</v>
          </cell>
          <cell r="C46" t="str">
            <v>Ingredients</v>
          </cell>
        </row>
        <row r="47">
          <cell r="A47" t="str">
            <v>ED00069</v>
          </cell>
          <cell r="B47" t="str">
            <v>Biscuit Wholemeal 25 KGs ( Odlums)</v>
          </cell>
          <cell r="C47" t="str">
            <v>Ingredients</v>
          </cell>
        </row>
        <row r="48">
          <cell r="A48" t="str">
            <v>ED00070</v>
          </cell>
          <cell r="B48" t="str">
            <v>Wholemeal Flour 25KGS ( Whitworth Bros )</v>
          </cell>
          <cell r="C48" t="str">
            <v>Ingredients</v>
          </cell>
        </row>
        <row r="49">
          <cell r="A49" t="str">
            <v>ED00071</v>
          </cell>
          <cell r="B49" t="str">
            <v>CS07 Ragus Refiners Syrup 1250 KG</v>
          </cell>
          <cell r="C49" t="str">
            <v>Ingredients</v>
          </cell>
        </row>
        <row r="50">
          <cell r="A50" t="str">
            <v>ED00072</v>
          </cell>
          <cell r="B50" t="str">
            <v>Chocolate 44% Cocoa solid chips 10 KG</v>
          </cell>
          <cell r="C50" t="str">
            <v>Ingredients</v>
          </cell>
        </row>
        <row r="51">
          <cell r="A51" t="str">
            <v>ED00073</v>
          </cell>
          <cell r="B51" t="str">
            <v>Sodium acid ( SAPP 28 ) Brenntag</v>
          </cell>
          <cell r="C51" t="str">
            <v>Ingredients</v>
          </cell>
        </row>
        <row r="52">
          <cell r="A52" t="str">
            <v>ED00074</v>
          </cell>
          <cell r="B52" t="str">
            <v>LEMON OIL SOUTH AFRICAN  5 Kg</v>
          </cell>
          <cell r="C52" t="str">
            <v>Ingredients</v>
          </cell>
        </row>
        <row r="53">
          <cell r="A53" t="str">
            <v>ED00075</v>
          </cell>
          <cell r="B53" t="str">
            <v>Bulk Flour ( Allied Mills )</v>
          </cell>
          <cell r="C53" t="str">
            <v>Ingredients</v>
          </cell>
        </row>
        <row r="54">
          <cell r="A54" t="str">
            <v>ED00077</v>
          </cell>
          <cell r="B54" t="str">
            <v>Chocolate non vibrated drops 11000/Kg CP11CS Cargill</v>
          </cell>
          <cell r="C54" t="str">
            <v>Ingredients</v>
          </cell>
        </row>
        <row r="55">
          <cell r="A55" t="str">
            <v>ED00078</v>
          </cell>
          <cell r="B55" t="str">
            <v>Dark Chocolate PO 141362 - 540 11000/Kg Griffin</v>
          </cell>
          <cell r="C55" t="str">
            <v>Ingredients</v>
          </cell>
        </row>
        <row r="56">
          <cell r="A56" t="str">
            <v>ED00079</v>
          </cell>
          <cell r="B56" t="str">
            <v>Jumbo Porridge Oat Flakes</v>
          </cell>
          <cell r="C56" t="str">
            <v>Ingredients</v>
          </cell>
        </row>
        <row r="57">
          <cell r="A57" t="str">
            <v>ED00081</v>
          </cell>
          <cell r="B57" t="str">
            <v>Liquid Vanilla Flavour 140.00328</v>
          </cell>
          <cell r="C57" t="str">
            <v>Ingredients</v>
          </cell>
        </row>
        <row r="58">
          <cell r="A58" t="str">
            <v>ED00082</v>
          </cell>
          <cell r="B58" t="str">
            <v>Liquid Coconut Flavour XE-408-595-6 MB.</v>
          </cell>
          <cell r="C58" t="str">
            <v>Ingredients</v>
          </cell>
        </row>
        <row r="59">
          <cell r="A59" t="str">
            <v>ED00084</v>
          </cell>
          <cell r="B59" t="str">
            <v>Sodium Bicarbonate Powder 25 KG ( Brenntag )</v>
          </cell>
          <cell r="C59" t="str">
            <v>Ingredients</v>
          </cell>
        </row>
        <row r="60">
          <cell r="A60" t="str">
            <v>ED00085</v>
          </cell>
          <cell r="B60" t="str">
            <v>Chocolate Drops 12000/KG 42% 15915 ( UTZ MB ) 25 KG  ( Y )</v>
          </cell>
          <cell r="C60" t="str">
            <v>Ingredients</v>
          </cell>
        </row>
        <row r="61">
          <cell r="A61" t="str">
            <v>ED00086</v>
          </cell>
          <cell r="B61" t="str">
            <v>Ground Cinnamon 25 kg</v>
          </cell>
          <cell r="C61" t="str">
            <v>Ingredients</v>
          </cell>
        </row>
        <row r="62">
          <cell r="A62" t="str">
            <v>ED00087</v>
          </cell>
          <cell r="B62" t="str">
            <v>Flaked Almonds 12.5 KG ( O )</v>
          </cell>
          <cell r="C62" t="str">
            <v>Ingredients</v>
          </cell>
        </row>
        <row r="63">
          <cell r="A63" t="str">
            <v>ED00088</v>
          </cell>
          <cell r="B63" t="str">
            <v>Roasted Whole  Hazelnuts 25KG ( O ) F1513</v>
          </cell>
          <cell r="C63" t="str">
            <v>Ingredients</v>
          </cell>
        </row>
        <row r="64">
          <cell r="A64" t="str">
            <v>ED00089</v>
          </cell>
          <cell r="B64" t="str">
            <v>Pumpkin Seeds 25KG ( W )  F1412</v>
          </cell>
          <cell r="C64" t="str">
            <v>Ingredients</v>
          </cell>
        </row>
        <row r="65">
          <cell r="A65" t="str">
            <v>ED00090</v>
          </cell>
          <cell r="B65" t="str">
            <v>Sunflower Seeds 25 KG ( W )  F1413</v>
          </cell>
          <cell r="C65" t="str">
            <v>Ingredients</v>
          </cell>
        </row>
        <row r="66">
          <cell r="A66" t="str">
            <v>ED00091</v>
          </cell>
          <cell r="B66" t="str">
            <v>Raisins 12.5 KG   ( W )  F0305</v>
          </cell>
          <cell r="C66" t="str">
            <v>Ingredients</v>
          </cell>
        </row>
        <row r="67">
          <cell r="A67" t="str">
            <v>ED00093</v>
          </cell>
          <cell r="B67" t="str">
            <v>Flour 25KGS ( Allied Mills )</v>
          </cell>
          <cell r="C67" t="str">
            <v>Ingredients</v>
          </cell>
        </row>
        <row r="68">
          <cell r="A68" t="str">
            <v>ED00094</v>
          </cell>
          <cell r="B68" t="str">
            <v>Chocolate  Drops 7500/kg SV UTZ ( 15903 )</v>
          </cell>
          <cell r="C68" t="str">
            <v>Ingredients</v>
          </cell>
        </row>
        <row r="69">
          <cell r="A69" t="str">
            <v>ED00095</v>
          </cell>
          <cell r="B69" t="str">
            <v>Bulk Chocolate</v>
          </cell>
          <cell r="C69" t="str">
            <v>Ingredients</v>
          </cell>
        </row>
        <row r="70">
          <cell r="A70" t="str">
            <v>ED00097</v>
          </cell>
          <cell r="B70" t="str">
            <v>Small Greek Currants ( 80.05 )</v>
          </cell>
          <cell r="C70" t="str">
            <v>Ingredients</v>
          </cell>
        </row>
        <row r="71">
          <cell r="A71" t="str">
            <v>ED00098</v>
          </cell>
          <cell r="B71" t="str">
            <v>British Sugar 25Kg Medium Sugar ( 55522 )</v>
          </cell>
          <cell r="C71" t="str">
            <v>Ingredients</v>
          </cell>
        </row>
        <row r="72">
          <cell r="A72" t="str">
            <v>ED00121</v>
          </cell>
          <cell r="B72" t="str">
            <v>Soy Protein Crisp 00639IP - X PGP</v>
          </cell>
          <cell r="C72" t="str">
            <v>Ingredients</v>
          </cell>
        </row>
        <row r="73">
          <cell r="A73" t="str">
            <v>ED00129</v>
          </cell>
          <cell r="B73" t="str">
            <v>Fine Dessicated Coconut Franklin Baker First Grade</v>
          </cell>
          <cell r="C73" t="str">
            <v>Ingredients</v>
          </cell>
        </row>
        <row r="74">
          <cell r="A74" t="str">
            <v>ED00130</v>
          </cell>
          <cell r="B74" t="str">
            <v>Ground Ginger GrG125kg ( Sleafords )</v>
          </cell>
          <cell r="C74" t="str">
            <v>Ingredients</v>
          </cell>
        </row>
        <row r="75">
          <cell r="A75" t="str">
            <v>ED00131</v>
          </cell>
          <cell r="B75" t="str">
            <v>Bran Bakers Neills ( 10KG ) Allied Mills</v>
          </cell>
          <cell r="C75" t="str">
            <v>Ingredients</v>
          </cell>
        </row>
        <row r="76">
          <cell r="A76" t="str">
            <v>PA00001</v>
          </cell>
          <cell r="B76" t="str">
            <v>Oh My Cookies Case Outer ( 200G )</v>
          </cell>
          <cell r="C76" t="str">
            <v>Packaging</v>
          </cell>
        </row>
        <row r="77">
          <cell r="A77" t="str">
            <v>PA00002</v>
          </cell>
          <cell r="B77" t="str">
            <v>Stock Box ( 246 x 246 x 254 )</v>
          </cell>
          <cell r="C77" t="str">
            <v>Packaging</v>
          </cell>
        </row>
        <row r="78">
          <cell r="A78" t="str">
            <v>PA00005</v>
          </cell>
          <cell r="B78" t="str">
            <v>Box Liners Blue</v>
          </cell>
          <cell r="C78" t="str">
            <v>Packaging</v>
          </cell>
        </row>
        <row r="79">
          <cell r="A79" t="str">
            <v>PA00009</v>
          </cell>
          <cell r="B79" t="str">
            <v>Machine Tape 50M x 900 Mtrs</v>
          </cell>
          <cell r="C79" t="str">
            <v>Packaging</v>
          </cell>
        </row>
        <row r="80">
          <cell r="A80" t="str">
            <v>PA00010</v>
          </cell>
          <cell r="B80" t="str">
            <v>Thermal Label White ( 12751 )</v>
          </cell>
          <cell r="C80" t="str">
            <v>Packaging</v>
          </cell>
        </row>
        <row r="81">
          <cell r="A81" t="str">
            <v>PA00013</v>
          </cell>
          <cell r="B81" t="str">
            <v>Hand Pallet Wrap 400 X17</v>
          </cell>
          <cell r="C81" t="str">
            <v>Packaging</v>
          </cell>
        </row>
        <row r="82">
          <cell r="A82" t="str">
            <v>PA00014</v>
          </cell>
          <cell r="B82" t="str">
            <v>Machine Pallet Film 500/23 PPS 18K</v>
          </cell>
          <cell r="C82" t="str">
            <v>Packaging</v>
          </cell>
        </row>
        <row r="83">
          <cell r="A83" t="str">
            <v>PA00017</v>
          </cell>
          <cell r="B83" t="str">
            <v>Blue Topcovers 750/1000 x1500x50mm</v>
          </cell>
          <cell r="C83" t="str">
            <v>Packaging</v>
          </cell>
        </row>
        <row r="84">
          <cell r="A84" t="str">
            <v>PA00018</v>
          </cell>
          <cell r="B84" t="str">
            <v>ECB 7 Cookie Tray 131 x 79 x 40mm ( 1525 )</v>
          </cell>
          <cell r="C84" t="str">
            <v>Packaging</v>
          </cell>
        </row>
        <row r="85">
          <cell r="A85" t="str">
            <v>PA00019</v>
          </cell>
          <cell r="B85" t="str">
            <v>ECB 8 Cookie Tray 139 x 79 x 40mm ( 1526 )</v>
          </cell>
          <cell r="C85" t="str">
            <v>Packaging</v>
          </cell>
        </row>
        <row r="86">
          <cell r="A86" t="str">
            <v>PA00020</v>
          </cell>
          <cell r="B86" t="str">
            <v>Oh My Choc Chip Cookies 200g Film</v>
          </cell>
          <cell r="C86" t="str">
            <v>Packaging</v>
          </cell>
        </row>
        <row r="87">
          <cell r="A87" t="str">
            <v>PA00021</v>
          </cell>
          <cell r="B87" t="str">
            <v>Thermal Label Orange 127mm X 200 mm ( 13113 )</v>
          </cell>
          <cell r="C87" t="str">
            <v>Packaging</v>
          </cell>
        </row>
        <row r="88">
          <cell r="A88" t="str">
            <v>PA00022</v>
          </cell>
          <cell r="B88" t="str">
            <v>Therrmal Label White 152mm X 200mm ( 12751)</v>
          </cell>
          <cell r="C88" t="str">
            <v>Packaging</v>
          </cell>
        </row>
        <row r="89">
          <cell r="A89" t="str">
            <v>PA00023</v>
          </cell>
          <cell r="B89" t="str">
            <v>Oh My 200G Choc Chip Cookies outer X 24</v>
          </cell>
          <cell r="C89" t="str">
            <v>Packaging</v>
          </cell>
        </row>
        <row r="90">
          <cell r="A90" t="str">
            <v>PA00024</v>
          </cell>
          <cell r="B90" t="str">
            <v>Single Serve Chocolate Chunk Cookie  Film</v>
          </cell>
          <cell r="C90" t="str">
            <v>Packaging</v>
          </cell>
        </row>
        <row r="91">
          <cell r="A91" t="str">
            <v>PA00025</v>
          </cell>
          <cell r="B91" t="str">
            <v>Chocolate Chunk Cookie 160G Film</v>
          </cell>
          <cell r="C91" t="str">
            <v>Packaging</v>
          </cell>
        </row>
        <row r="92">
          <cell r="A92" t="str">
            <v>PA00026</v>
          </cell>
          <cell r="B92" t="str">
            <v>Caramel &amp; Pecan Cookie  160G Film</v>
          </cell>
          <cell r="C92" t="str">
            <v>Packaging</v>
          </cell>
        </row>
        <row r="93">
          <cell r="A93" t="str">
            <v>PA00027</v>
          </cell>
          <cell r="B93" t="str">
            <v>ECB Caramel &amp; Pecan Outers X 12</v>
          </cell>
          <cell r="C93" t="str">
            <v>Packaging</v>
          </cell>
        </row>
        <row r="94">
          <cell r="A94" t="str">
            <v>PA00028</v>
          </cell>
          <cell r="B94" t="str">
            <v>ECB Milk Chocolate Chunk Outers X 12</v>
          </cell>
          <cell r="C94" t="str">
            <v>Packaging</v>
          </cell>
        </row>
        <row r="95">
          <cell r="A95" t="str">
            <v>PA00029</v>
          </cell>
          <cell r="B95" t="str">
            <v>Stem Ginger 160G Film</v>
          </cell>
          <cell r="C95" t="str">
            <v>Packaging</v>
          </cell>
        </row>
        <row r="96">
          <cell r="A96" t="str">
            <v>PA00030</v>
          </cell>
          <cell r="B96" t="str">
            <v>Choc Enrobed Choc Chunk Film</v>
          </cell>
          <cell r="C96" t="str">
            <v>Packaging</v>
          </cell>
        </row>
        <row r="97">
          <cell r="A97" t="str">
            <v>PA00031</v>
          </cell>
          <cell r="B97" t="str">
            <v>JET 26 Red Bucket with plastic handle</v>
          </cell>
          <cell r="C97" t="str">
            <v>Packaging</v>
          </cell>
        </row>
        <row r="98">
          <cell r="A98" t="str">
            <v>PA00032</v>
          </cell>
          <cell r="B98" t="str">
            <v>DET 172 Red Lid</v>
          </cell>
          <cell r="C98" t="str">
            <v>Packaging</v>
          </cell>
        </row>
        <row r="99">
          <cell r="A99" t="str">
            <v>PA00033</v>
          </cell>
          <cell r="B99" t="str">
            <v>ECB Stem Ginger &amp; Chocolate Chunk Crunchy X 12 Outers</v>
          </cell>
          <cell r="C99" t="str">
            <v>Packaging</v>
          </cell>
        </row>
        <row r="100">
          <cell r="A100" t="str">
            <v>PA00034</v>
          </cell>
          <cell r="B100" t="str">
            <v>ECB Chocolate Enrobed Milk Choc Chunk Cookie X 12 Outers</v>
          </cell>
          <cell r="C100" t="str">
            <v>Packaging</v>
          </cell>
        </row>
        <row r="101">
          <cell r="A101" t="str">
            <v>PA00035</v>
          </cell>
          <cell r="B101" t="str">
            <v>Oh My Half Emrobbed Choc Chip cookie film</v>
          </cell>
          <cell r="C101" t="str">
            <v>Packaging</v>
          </cell>
        </row>
        <row r="102">
          <cell r="A102" t="str">
            <v>PA00036</v>
          </cell>
          <cell r="B102" t="str">
            <v>Oh My Half Emrobbed Choc chip Outer X 24</v>
          </cell>
          <cell r="C102" t="str">
            <v>Packaging</v>
          </cell>
        </row>
        <row r="103">
          <cell r="A103" t="str">
            <v>PA00037</v>
          </cell>
          <cell r="B103" t="str">
            <v>Oh My 6 x 700g Outer</v>
          </cell>
          <cell r="C103" t="str">
            <v>Packaging</v>
          </cell>
        </row>
        <row r="104">
          <cell r="A104" t="str">
            <v>PA00038</v>
          </cell>
          <cell r="B104" t="str">
            <v>200MM , 25 micron unprinted white OPP film</v>
          </cell>
          <cell r="C104" t="str">
            <v>Packaging</v>
          </cell>
        </row>
        <row r="105">
          <cell r="A105" t="str">
            <v>PA00039</v>
          </cell>
          <cell r="B105" t="str">
            <v>Crunch'ems Ginger Crunch 160G Film</v>
          </cell>
          <cell r="C105" t="str">
            <v>Packaging</v>
          </cell>
        </row>
        <row r="106">
          <cell r="A106" t="str">
            <v>PA00040</v>
          </cell>
          <cell r="B106" t="str">
            <v>Crunch'ems Coconut Crunch 160G Film</v>
          </cell>
          <cell r="C106" t="str">
            <v>Packaging</v>
          </cell>
        </row>
        <row r="107">
          <cell r="A107" t="str">
            <v>PA00041</v>
          </cell>
          <cell r="B107" t="str">
            <v>Milk Chocolate Enrobed Oat Biscuit 160G Film</v>
          </cell>
          <cell r="C107" t="str">
            <v>Packaging</v>
          </cell>
        </row>
        <row r="108">
          <cell r="A108" t="str">
            <v>PA00042</v>
          </cell>
          <cell r="B108" t="str">
            <v>Milk Chocolate Enrobed Butter Crunch 160G Film</v>
          </cell>
          <cell r="C108" t="str">
            <v>Packaging</v>
          </cell>
        </row>
        <row r="109">
          <cell r="A109" t="str">
            <v>PA00043</v>
          </cell>
          <cell r="B109" t="str">
            <v>ECB Crunch'ems Ginger Crunch x 12 Outers</v>
          </cell>
          <cell r="C109" t="str">
            <v>Packaging</v>
          </cell>
        </row>
        <row r="110">
          <cell r="A110" t="str">
            <v>PA00044</v>
          </cell>
          <cell r="B110" t="str">
            <v>ECB Crunch'ems Coconut Crunch x 12 Outers</v>
          </cell>
          <cell r="C110" t="str">
            <v>Packaging</v>
          </cell>
        </row>
        <row r="111">
          <cell r="A111" t="str">
            <v>PA00045</v>
          </cell>
          <cell r="B111" t="str">
            <v>ECB Milk Choc Enrobed Oat Biscuits X 12 Outers</v>
          </cell>
          <cell r="C111" t="str">
            <v>Packaging</v>
          </cell>
        </row>
        <row r="112">
          <cell r="A112" t="str">
            <v>PA00046</v>
          </cell>
          <cell r="B112" t="str">
            <v>ECB Milk Choc Enrobed Butter Crunch X 12 Outers</v>
          </cell>
          <cell r="C112" t="str">
            <v>Packaging</v>
          </cell>
        </row>
        <row r="113">
          <cell r="A113" t="str">
            <v>PA00047</v>
          </cell>
          <cell r="B113" t="str">
            <v>Girl Guide Outers</v>
          </cell>
          <cell r="C113" t="str">
            <v>Packaging</v>
          </cell>
        </row>
        <row r="114">
          <cell r="A114" t="str">
            <v>PA00051</v>
          </cell>
          <cell r="B114" t="str">
            <v>ECB Milk Choc Chunk HC Twin Catering Pack Film</v>
          </cell>
          <cell r="C114" t="str">
            <v>Packaging</v>
          </cell>
        </row>
        <row r="115">
          <cell r="A115" t="str">
            <v>PA00052</v>
          </cell>
          <cell r="B115" t="str">
            <v>30um White OPP x 200mm Film ( Inner )</v>
          </cell>
          <cell r="C115" t="str">
            <v>Packaging</v>
          </cell>
        </row>
        <row r="116">
          <cell r="A116" t="str">
            <v>PA00053</v>
          </cell>
          <cell r="B116" t="str">
            <v>Aldi Everyday Essentials CCC 8% Film</v>
          </cell>
          <cell r="C116" t="str">
            <v>Packaging</v>
          </cell>
        </row>
        <row r="117">
          <cell r="A117" t="str">
            <v>PA00054</v>
          </cell>
          <cell r="B117" t="str">
            <v>Belmont Choc chip cookies 25% Film</v>
          </cell>
          <cell r="C117" t="str">
            <v>Packaging</v>
          </cell>
        </row>
        <row r="118">
          <cell r="A118" t="str">
            <v>PA00055</v>
          </cell>
          <cell r="B118" t="str">
            <v>Oh My Choc Chip Cookies 200g Hebrew Film</v>
          </cell>
          <cell r="C118" t="str">
            <v>Packaging</v>
          </cell>
        </row>
        <row r="119">
          <cell r="A119" t="str">
            <v>PA00056</v>
          </cell>
          <cell r="B119" t="str">
            <v>Belmont Choc Chip Cookies by 30 LIDS</v>
          </cell>
          <cell r="C119" t="str">
            <v>Packaging</v>
          </cell>
        </row>
        <row r="120">
          <cell r="A120" t="str">
            <v>PA00057</v>
          </cell>
          <cell r="B120" t="str">
            <v>Belmont Choc Chip Cookies by 200G 30 Outers</v>
          </cell>
          <cell r="C120" t="str">
            <v>Packaging</v>
          </cell>
        </row>
        <row r="121">
          <cell r="A121" t="str">
            <v>PA00058</v>
          </cell>
          <cell r="B121" t="str">
            <v>ECB Milk Choc Chunk HC Catering Pack Box</v>
          </cell>
          <cell r="C121" t="str">
            <v>Packaging</v>
          </cell>
        </row>
        <row r="122">
          <cell r="A122" t="str">
            <v>PA00059</v>
          </cell>
          <cell r="B122" t="str">
            <v>Aldi Everyday Essentials CCC Outer</v>
          </cell>
          <cell r="C122" t="str">
            <v>Packaging</v>
          </cell>
        </row>
        <row r="123">
          <cell r="A123" t="str">
            <v>PA00060</v>
          </cell>
          <cell r="B123" t="str">
            <v>Aldi Everyday Essentials CCC 8% LID</v>
          </cell>
          <cell r="C123" t="str">
            <v>Packaging</v>
          </cell>
        </row>
        <row r="124">
          <cell r="A124" t="str">
            <v>PA00061</v>
          </cell>
          <cell r="B124" t="str">
            <v>ECB Single Choc Chunk Catering Pack Film</v>
          </cell>
          <cell r="C124" t="str">
            <v>Packaging</v>
          </cell>
        </row>
        <row r="125">
          <cell r="A125" t="str">
            <v>PA00062</v>
          </cell>
          <cell r="B125" t="str">
            <v>ECB Twin Choc Chunk Catering Pack Film</v>
          </cell>
          <cell r="C125" t="str">
            <v>Packaging</v>
          </cell>
        </row>
        <row r="126">
          <cell r="A126" t="str">
            <v>PA00063</v>
          </cell>
          <cell r="B126" t="str">
            <v>ECB Milk Choc Chunk Twin Catering Pack Box</v>
          </cell>
          <cell r="C126" t="str">
            <v>Packaging</v>
          </cell>
        </row>
        <row r="127">
          <cell r="A127" t="str">
            <v>PA00064</v>
          </cell>
          <cell r="B127" t="str">
            <v>Square Heavy Box 265 x 250 x 260</v>
          </cell>
          <cell r="C127" t="str">
            <v>Packaging</v>
          </cell>
        </row>
        <row r="128">
          <cell r="A128" t="str">
            <v>PA00065</v>
          </cell>
          <cell r="B128" t="str">
            <v>Irish Girl Guides Choc Chip Cookie Film</v>
          </cell>
          <cell r="C128" t="str">
            <v>Packaging</v>
          </cell>
        </row>
        <row r="129">
          <cell r="A129" t="str">
            <v>PA00066</v>
          </cell>
          <cell r="B129" t="str">
            <v>Granola Cookie Nuts &amp; Seeds US Film</v>
          </cell>
          <cell r="C129" t="str">
            <v>Packaging</v>
          </cell>
        </row>
        <row r="130">
          <cell r="A130" t="str">
            <v>PA00067</v>
          </cell>
          <cell r="B130" t="str">
            <v>ECB Milk Chocolate Enrobed Butter Crunch ( US ) Film</v>
          </cell>
          <cell r="C130" t="str">
            <v>Packaging</v>
          </cell>
        </row>
        <row r="131">
          <cell r="A131" t="str">
            <v>PA00068</v>
          </cell>
          <cell r="B131" t="str">
            <v>ECB Coconut Crunch ( US ) Film</v>
          </cell>
          <cell r="C131" t="str">
            <v>Packaging</v>
          </cell>
        </row>
        <row r="132">
          <cell r="A132" t="str">
            <v>PA00069</v>
          </cell>
          <cell r="B132" t="str">
            <v>ECB Ginger Crunch ( US ) Film</v>
          </cell>
          <cell r="C132" t="str">
            <v>Packaging</v>
          </cell>
        </row>
        <row r="133">
          <cell r="A133" t="str">
            <v>PA00070</v>
          </cell>
          <cell r="B133" t="str">
            <v>ECB Granola Crunchy with Nuts &amp; Seeds Film ( UK &amp; Ire )</v>
          </cell>
          <cell r="C133" t="str">
            <v>Packaging</v>
          </cell>
        </row>
        <row r="134">
          <cell r="A134" t="str">
            <v>PA00071</v>
          </cell>
          <cell r="B134" t="str">
            <v>ECB Granola Crunchy with Choc Chips Film ( UK &amp; Ire )</v>
          </cell>
          <cell r="C134" t="str">
            <v>Packaging</v>
          </cell>
        </row>
        <row r="135">
          <cell r="A135" t="str">
            <v>PA00072</v>
          </cell>
          <cell r="B135" t="str">
            <v>Oh My Double Choc Chip ( 14% ) cookie Film ( Export )</v>
          </cell>
          <cell r="C135" t="str">
            <v>Packaging</v>
          </cell>
        </row>
        <row r="136">
          <cell r="A136" t="str">
            <v>PA00073</v>
          </cell>
          <cell r="B136" t="str">
            <v>Oh My Choc Chip Cookies ( 14% )  Film Export</v>
          </cell>
          <cell r="C136" t="str">
            <v>Packaging</v>
          </cell>
        </row>
        <row r="137">
          <cell r="A137" t="str">
            <v>PA00074</v>
          </cell>
          <cell r="B137" t="str">
            <v>ECB Milk Choc Chunk HC Twin Catering Pack Film ( A )</v>
          </cell>
          <cell r="C137" t="str">
            <v>Packaging</v>
          </cell>
        </row>
        <row r="138">
          <cell r="A138" t="str">
            <v>PA00075</v>
          </cell>
          <cell r="B138" t="str">
            <v>ECB Twin Choc Chunk Catering Pack Film ( A )</v>
          </cell>
          <cell r="C138" t="str">
            <v>Packaging</v>
          </cell>
        </row>
        <row r="139">
          <cell r="A139" t="str">
            <v>PA00076</v>
          </cell>
          <cell r="B139" t="str">
            <v>ECB Crunchems Coconut Crunch ( Outers ) USA</v>
          </cell>
          <cell r="C139" t="str">
            <v>Packaging</v>
          </cell>
        </row>
        <row r="140">
          <cell r="A140" t="str">
            <v>PA00077</v>
          </cell>
          <cell r="B140" t="str">
            <v>ECB Crunchems Ginger Crunch ( Outers ) USA</v>
          </cell>
          <cell r="C140" t="str">
            <v>Packaging</v>
          </cell>
        </row>
        <row r="141">
          <cell r="A141" t="str">
            <v>PA00078</v>
          </cell>
          <cell r="B141" t="str">
            <v>ECB Butter Crunch Choc Enrobed ( outers ) USA</v>
          </cell>
          <cell r="C141" t="str">
            <v>Packaging</v>
          </cell>
        </row>
        <row r="142">
          <cell r="A142" t="str">
            <v>PA00079</v>
          </cell>
          <cell r="B142" t="str">
            <v>ECB Granola Cookie Nuts &amp; Seeds ( Outers ) USA</v>
          </cell>
          <cell r="C142" t="str">
            <v>Packaging</v>
          </cell>
        </row>
        <row r="143">
          <cell r="A143" t="str">
            <v>PA00080</v>
          </cell>
          <cell r="B143" t="str">
            <v>ECB Granola Crunchy Nuts &amp; Seeds 12 x 160g Outers</v>
          </cell>
          <cell r="C143" t="str">
            <v>Packaging</v>
          </cell>
        </row>
        <row r="144">
          <cell r="A144" t="str">
            <v>PA00081</v>
          </cell>
          <cell r="B144" t="str">
            <v>ECB Granola Crunchy Choc Chip 12 x 160G ( Outers )</v>
          </cell>
          <cell r="C144" t="str">
            <v>Packaging</v>
          </cell>
        </row>
        <row r="145">
          <cell r="A145" t="str">
            <v>PA00082</v>
          </cell>
          <cell r="B145" t="str">
            <v>Hill Biscuits Choc Chip Cookies 14% 200G Film</v>
          </cell>
          <cell r="C145" t="str">
            <v>Packaging</v>
          </cell>
        </row>
        <row r="146">
          <cell r="A146" t="str">
            <v>PA00083</v>
          </cell>
          <cell r="B146" t="str">
            <v>Oh My Choc Chip Cookies outers 20 x 145g ( 87 01 )</v>
          </cell>
          <cell r="C146" t="str">
            <v>Packaging</v>
          </cell>
        </row>
        <row r="147">
          <cell r="A147" t="str">
            <v>PA00084</v>
          </cell>
          <cell r="B147" t="str">
            <v>Oh My Double Choc Chip 20 x 145g ( 89 01 )</v>
          </cell>
          <cell r="C147" t="str">
            <v>Packaging</v>
          </cell>
        </row>
        <row r="148">
          <cell r="A148" t="str">
            <v>PA00085</v>
          </cell>
          <cell r="B148" t="str">
            <v>12 x 200g Outer Hills  ( 90 01 )</v>
          </cell>
          <cell r="C148" t="str">
            <v>Packaging</v>
          </cell>
        </row>
        <row r="149">
          <cell r="A149" t="str">
            <v>ED00076</v>
          </cell>
          <cell r="B149" t="str">
            <v>Palm Oil Bulk</v>
          </cell>
          <cell r="C149" t="str">
            <v>Ingredients</v>
          </cell>
        </row>
        <row r="150">
          <cell r="A150" t="str">
            <v>ED00132</v>
          </cell>
          <cell r="B150" t="str">
            <v>Golden Syrup ( FINLAYS )</v>
          </cell>
          <cell r="C150" t="str">
            <v>Ingredients</v>
          </cell>
        </row>
        <row r="151">
          <cell r="A151" t="str">
            <v>ED00115</v>
          </cell>
          <cell r="B151" t="str">
            <v>Light Malt Rxtract 1032A EDME</v>
          </cell>
          <cell r="C151" t="str">
            <v>Ingredients</v>
          </cell>
        </row>
        <row r="152">
          <cell r="A152" t="str">
            <v>PA00088</v>
          </cell>
          <cell r="B152" t="str">
            <v>Bolands Chocolate Chip Cookies Outer 145G</v>
          </cell>
          <cell r="C152" t="str">
            <v>Packaging</v>
          </cell>
        </row>
        <row r="153">
          <cell r="A153" t="str">
            <v>ED00122</v>
          </cell>
          <cell r="B153" t="str">
            <v>Glycerine Verbio</v>
          </cell>
          <cell r="C153" t="str">
            <v>Ingredients</v>
          </cell>
        </row>
        <row r="154">
          <cell r="A154" t="str">
            <v>ED00161</v>
          </cell>
          <cell r="B154" t="str">
            <v>Whey Protein Isolate Volactive Ultra Whey 90</v>
          </cell>
          <cell r="C154" t="str">
            <v>Ingredients</v>
          </cell>
        </row>
        <row r="155">
          <cell r="A155" t="str">
            <v>ED00162</v>
          </cell>
          <cell r="B155" t="str">
            <v>Small Whey Crisps Volactive Procrisp</v>
          </cell>
          <cell r="C155" t="str">
            <v>Ingredients</v>
          </cell>
        </row>
      </sheetData>
      <sheetData sheetId="2">
        <row r="2">
          <cell r="A2" t="str">
            <v>ED00046</v>
          </cell>
          <cell r="B2" t="str">
            <v>Butter 25kgs Y</v>
          </cell>
          <cell r="C2" t="str">
            <v>Ingredients</v>
          </cell>
          <cell r="D2" t="str">
            <v>Kg</v>
          </cell>
          <cell r="E2">
            <v>5.68</v>
          </cell>
          <cell r="F2">
            <v>4.4000000000000004</v>
          </cell>
        </row>
        <row r="3">
          <cell r="A3" t="str">
            <v>ED00067</v>
          </cell>
          <cell r="B3" t="str">
            <v>Chocolate Drops ( 12000/KG ) HC4525AIDNS0025B00</v>
          </cell>
          <cell r="C3" t="str">
            <v>Ingredients</v>
          </cell>
          <cell r="D3" t="str">
            <v>Kg</v>
          </cell>
          <cell r="E3">
            <v>3.2519999999999998</v>
          </cell>
          <cell r="F3">
            <v>3</v>
          </cell>
        </row>
        <row r="4">
          <cell r="A4" t="str">
            <v>ED00055</v>
          </cell>
          <cell r="B4" t="str">
            <v>Milk Chocolate 32% Buttons 25 Kg ( 26307 )</v>
          </cell>
          <cell r="C4" t="str">
            <v>Ingredients</v>
          </cell>
          <cell r="D4" t="str">
            <v>Kg</v>
          </cell>
          <cell r="E4">
            <v>2.9510000000000001</v>
          </cell>
          <cell r="F4">
            <v>2.8093520000000001</v>
          </cell>
        </row>
        <row r="5">
          <cell r="A5" t="str">
            <v>ED00004</v>
          </cell>
          <cell r="B5" t="str">
            <v>Palm Oil B001 12.5 Kg</v>
          </cell>
          <cell r="C5" t="str">
            <v>Ingredients</v>
          </cell>
          <cell r="D5" t="str">
            <v>Kg</v>
          </cell>
          <cell r="E5">
            <v>0.95</v>
          </cell>
          <cell r="F5">
            <v>0.83799999999999997</v>
          </cell>
        </row>
        <row r="6">
          <cell r="A6" t="str">
            <v>ED00075</v>
          </cell>
          <cell r="B6" t="str">
            <v>Bulk Flour ( Whithworths )</v>
          </cell>
          <cell r="C6" t="str">
            <v>Ingredients</v>
          </cell>
          <cell r="D6" t="str">
            <v>Kg</v>
          </cell>
          <cell r="E6">
            <v>0.2742</v>
          </cell>
          <cell r="F6">
            <v>0.28000000000000003</v>
          </cell>
        </row>
        <row r="7">
          <cell r="A7" t="str">
            <v>ED00051</v>
          </cell>
          <cell r="B7" t="str">
            <v>Milk Chocolate 10x10x4. M27 (Cargill )</v>
          </cell>
          <cell r="C7" t="str">
            <v>Ingredients</v>
          </cell>
          <cell r="D7" t="str">
            <v>Kg</v>
          </cell>
          <cell r="E7">
            <v>3.5840000000000001</v>
          </cell>
          <cell r="F7">
            <v>3.5840000000000001</v>
          </cell>
        </row>
        <row r="8">
          <cell r="A8" t="str">
            <v>ED00056</v>
          </cell>
          <cell r="B8" t="str">
            <v>Sugar Granulated ( Bulk )</v>
          </cell>
          <cell r="C8" t="str">
            <v>Ingredients</v>
          </cell>
          <cell r="D8" t="str">
            <v>Kg</v>
          </cell>
          <cell r="E8">
            <v>0.48309999999999997</v>
          </cell>
          <cell r="F8">
            <v>0.46</v>
          </cell>
        </row>
        <row r="9">
          <cell r="A9" t="str">
            <v>ED00026</v>
          </cell>
          <cell r="B9" t="str">
            <v>Caramel Pieces 7Kg</v>
          </cell>
          <cell r="C9" t="str">
            <v>Ingredients</v>
          </cell>
          <cell r="D9" t="str">
            <v>Kg</v>
          </cell>
          <cell r="E9">
            <v>5.9</v>
          </cell>
          <cell r="F9">
            <v>5.5460000000000003</v>
          </cell>
        </row>
        <row r="10">
          <cell r="A10" t="str">
            <v>ED00020</v>
          </cell>
          <cell r="B10" t="str">
            <v>Porridge Oat Flakes ( 25 Kgs ) Y</v>
          </cell>
          <cell r="C10" t="str">
            <v>Ingredients</v>
          </cell>
          <cell r="D10" t="str">
            <v>Kg</v>
          </cell>
          <cell r="E10">
            <v>0.85</v>
          </cell>
          <cell r="F10">
            <v>0.45</v>
          </cell>
        </row>
        <row r="11">
          <cell r="A11" t="str">
            <v>ED00042</v>
          </cell>
          <cell r="B11" t="str">
            <v>Pecan Halfs 4840 ( 13.6 Kg )</v>
          </cell>
          <cell r="C11" t="str">
            <v>Ingredients</v>
          </cell>
          <cell r="D11" t="str">
            <v>Kg</v>
          </cell>
          <cell r="E11">
            <v>18.75</v>
          </cell>
          <cell r="F11">
            <v>17.625</v>
          </cell>
        </row>
        <row r="12">
          <cell r="A12" t="str">
            <v>ED00088</v>
          </cell>
          <cell r="B12" t="str">
            <v>Roasted Whole  Hazelnuts 25KG ( O ) F1513</v>
          </cell>
          <cell r="C12" t="str">
            <v>Ingredients</v>
          </cell>
          <cell r="D12" t="str">
            <v>Kg</v>
          </cell>
          <cell r="E12">
            <v>8.6659000000000006</v>
          </cell>
          <cell r="F12">
            <v>8.1459460000000004</v>
          </cell>
        </row>
        <row r="13">
          <cell r="A13" t="str">
            <v>ED00119</v>
          </cell>
          <cell r="B13" t="str">
            <v>Inulin Liquid Frutalose LF85 Sensus</v>
          </cell>
          <cell r="C13" t="str">
            <v>Ingredients</v>
          </cell>
          <cell r="D13" t="str">
            <v>Kg</v>
          </cell>
          <cell r="E13">
            <v>6.4</v>
          </cell>
          <cell r="F13">
            <v>5.8880000000000008</v>
          </cell>
        </row>
        <row r="14">
          <cell r="A14" t="str">
            <v>NewED13</v>
          </cell>
          <cell r="B14" t="str">
            <v>Calcium Caseinate 385</v>
          </cell>
          <cell r="C14" t="str">
            <v>Ingredients</v>
          </cell>
          <cell r="D14" t="str">
            <v>Kg</v>
          </cell>
          <cell r="E14">
            <v>9.5</v>
          </cell>
          <cell r="F14">
            <v>8.5500000000000007</v>
          </cell>
        </row>
        <row r="15">
          <cell r="A15" t="str">
            <v>ED00127</v>
          </cell>
          <cell r="B15" t="str">
            <v>Coconut Oil ( Silbury )</v>
          </cell>
          <cell r="C15" t="str">
            <v>Ingredients</v>
          </cell>
          <cell r="D15" t="str">
            <v>Kg</v>
          </cell>
          <cell r="E15">
            <v>16.52</v>
          </cell>
          <cell r="F15">
            <v>15.693999999999999</v>
          </cell>
        </row>
        <row r="16">
          <cell r="A16" t="str">
            <v>ED00112</v>
          </cell>
          <cell r="B16" t="str">
            <v>Fine Desiccated Coconut Franklin Baker First Grade</v>
          </cell>
          <cell r="C16" t="str">
            <v>Ingredients</v>
          </cell>
          <cell r="D16" t="str">
            <v>Kg</v>
          </cell>
          <cell r="E16">
            <v>3</v>
          </cell>
          <cell r="F16">
            <v>2.8499999999999996</v>
          </cell>
        </row>
        <row r="17">
          <cell r="A17" t="str">
            <v>ED00007</v>
          </cell>
          <cell r="B17" t="str">
            <v>Whey Powder Y</v>
          </cell>
          <cell r="C17" t="str">
            <v>Ingredients</v>
          </cell>
          <cell r="D17" t="str">
            <v>Kg</v>
          </cell>
          <cell r="E17">
            <v>1.27</v>
          </cell>
          <cell r="F17">
            <v>1.1938</v>
          </cell>
        </row>
        <row r="18">
          <cell r="A18" t="str">
            <v>NewED19</v>
          </cell>
          <cell r="B18" t="str">
            <v>Chocolate chips with sweetner (maltitol)  (7,500/kg)</v>
          </cell>
          <cell r="C18" t="str">
            <v>Ingredients</v>
          </cell>
          <cell r="D18" t="str">
            <v>Kg</v>
          </cell>
          <cell r="E18">
            <v>5</v>
          </cell>
          <cell r="F18">
            <v>2.67</v>
          </cell>
        </row>
        <row r="19">
          <cell r="A19" t="str">
            <v>ED00043</v>
          </cell>
          <cell r="B19" t="str">
            <v>Golden Syrup 1250KG T &amp; L</v>
          </cell>
          <cell r="C19" t="str">
            <v>Ingredients</v>
          </cell>
          <cell r="D19" t="str">
            <v>Kg</v>
          </cell>
          <cell r="E19">
            <v>0.93400000000000005</v>
          </cell>
          <cell r="F19">
            <v>0.84060000000000001</v>
          </cell>
        </row>
        <row r="20">
          <cell r="A20" t="str">
            <v>NewED16</v>
          </cell>
          <cell r="B20" t="str">
            <v>HG Sweetness Blend 1</v>
          </cell>
          <cell r="C20" t="str">
            <v>Ingredients</v>
          </cell>
          <cell r="D20" t="str">
            <v>Kg</v>
          </cell>
          <cell r="E20">
            <v>4.8</v>
          </cell>
          <cell r="F20">
            <v>4.32</v>
          </cell>
        </row>
        <row r="21">
          <cell r="A21" t="str">
            <v>ED00121</v>
          </cell>
          <cell r="B21" t="str">
            <v>Soy Protein Crisp 00639IP - X PGP</v>
          </cell>
          <cell r="C21" t="str">
            <v>Ingredients</v>
          </cell>
          <cell r="D21" t="str">
            <v>Kg</v>
          </cell>
          <cell r="E21">
            <v>4.8</v>
          </cell>
          <cell r="F21">
            <v>4.8</v>
          </cell>
        </row>
        <row r="22">
          <cell r="A22" t="str">
            <v>ED00089</v>
          </cell>
          <cell r="B22" t="str">
            <v>Pumpkin Seeds 25KG ( W )  F1412</v>
          </cell>
          <cell r="C22" t="str">
            <v>Ingredients</v>
          </cell>
          <cell r="D22" t="str">
            <v>Kg</v>
          </cell>
          <cell r="E22">
            <v>3.0514000000000001</v>
          </cell>
          <cell r="F22">
            <v>2.8072880000000002</v>
          </cell>
        </row>
        <row r="23">
          <cell r="A23" t="str">
            <v>NewED11</v>
          </cell>
          <cell r="B23" t="str">
            <v>64% R. F. Spread</v>
          </cell>
          <cell r="C23" t="str">
            <v>Ingredients</v>
          </cell>
          <cell r="D23" t="str">
            <v>Kg</v>
          </cell>
          <cell r="E23">
            <v>7.6</v>
          </cell>
          <cell r="F23">
            <v>6.71</v>
          </cell>
        </row>
        <row r="24">
          <cell r="A24" t="str">
            <v>ED00027</v>
          </cell>
          <cell r="B24" t="str">
            <v>Desiccated Coconut  25 Kg ( 437 )</v>
          </cell>
          <cell r="C24" t="str">
            <v>Ingredients</v>
          </cell>
          <cell r="D24" t="str">
            <v>Kg</v>
          </cell>
          <cell r="E24">
            <v>2.76</v>
          </cell>
          <cell r="F24">
            <v>2.484</v>
          </cell>
        </row>
        <row r="25">
          <cell r="A25" t="str">
            <v>NewED8</v>
          </cell>
          <cell r="B25" t="str">
            <v>Icing Sugar</v>
          </cell>
          <cell r="C25" t="str">
            <v>Ingredients</v>
          </cell>
          <cell r="D25" t="str">
            <v>Kg</v>
          </cell>
          <cell r="E25">
            <v>3.5</v>
          </cell>
          <cell r="F25">
            <v>2.4499999999999997</v>
          </cell>
        </row>
        <row r="26">
          <cell r="A26" t="str">
            <v>NewED18</v>
          </cell>
          <cell r="B26" t="str">
            <v>Ground Almonds (Shop bought in Tesco)</v>
          </cell>
          <cell r="C26" t="str">
            <v>Ingredients</v>
          </cell>
          <cell r="D26" t="str">
            <v>Kg</v>
          </cell>
          <cell r="E26">
            <v>14</v>
          </cell>
          <cell r="F26">
            <v>14</v>
          </cell>
        </row>
        <row r="27">
          <cell r="A27" t="str">
            <v>NewED2</v>
          </cell>
          <cell r="B27" t="str">
            <v>Reduced Sugar Milk Chocolate</v>
          </cell>
          <cell r="C27" t="str">
            <v>Ingredients</v>
          </cell>
          <cell r="D27" t="str">
            <v>Kg</v>
          </cell>
          <cell r="E27">
            <v>5</v>
          </cell>
          <cell r="F27">
            <v>4.75</v>
          </cell>
        </row>
        <row r="28">
          <cell r="A28" t="str">
            <v>ED00035</v>
          </cell>
          <cell r="B28" t="str">
            <v>Cocoa Powder 25 Kg</v>
          </cell>
          <cell r="C28" t="str">
            <v>Ingredients</v>
          </cell>
          <cell r="D28" t="str">
            <v>Kg</v>
          </cell>
          <cell r="E28">
            <v>5.4903000000000004</v>
          </cell>
          <cell r="F28">
            <v>4.66</v>
          </cell>
        </row>
        <row r="29">
          <cell r="A29" t="str">
            <v>NewED15</v>
          </cell>
          <cell r="B29" t="str">
            <v>Volactive ProCrisp - Whey</v>
          </cell>
          <cell r="C29" t="str">
            <v>Ingredients</v>
          </cell>
          <cell r="D29" t="str">
            <v>Kg</v>
          </cell>
          <cell r="E29">
            <v>4.8</v>
          </cell>
          <cell r="F29">
            <v>4.8</v>
          </cell>
        </row>
        <row r="30">
          <cell r="A30" t="str">
            <v>ED00039</v>
          </cell>
          <cell r="B30" t="str">
            <v>Ginger Pieces 5x8 mm 20 Kg ( 513 )</v>
          </cell>
          <cell r="C30" t="str">
            <v>Ingredients</v>
          </cell>
          <cell r="D30" t="str">
            <v>Kg</v>
          </cell>
          <cell r="E30">
            <v>4.4749999999999996</v>
          </cell>
          <cell r="F30">
            <v>4.2512499999999998</v>
          </cell>
        </row>
        <row r="31">
          <cell r="A31" t="str">
            <v>ED00053</v>
          </cell>
          <cell r="B31" t="str">
            <v>Sunrise Soya Lecithin Liquid Y</v>
          </cell>
          <cell r="C31" t="str">
            <v>Ingredients</v>
          </cell>
          <cell r="D31" t="str">
            <v>Kg</v>
          </cell>
          <cell r="E31">
            <v>2.7000999999999999</v>
          </cell>
          <cell r="F31">
            <v>2.5650949999999999</v>
          </cell>
        </row>
        <row r="32">
          <cell r="A32" t="str">
            <v>NewED14</v>
          </cell>
          <cell r="B32" t="str">
            <v>Volactive Ultra Whey 90</v>
          </cell>
          <cell r="C32" t="str">
            <v>Ingredients</v>
          </cell>
          <cell r="D32" t="str">
            <v>Kg</v>
          </cell>
          <cell r="E32">
            <v>4.5</v>
          </cell>
          <cell r="F32">
            <v>4.3650000000000002</v>
          </cell>
        </row>
        <row r="33">
          <cell r="A33" t="str">
            <v>ED00081</v>
          </cell>
          <cell r="B33" t="str">
            <v>Liquid Vanilla Flavour</v>
          </cell>
          <cell r="C33" t="str">
            <v>Ingredients</v>
          </cell>
          <cell r="D33" t="str">
            <v>Kg</v>
          </cell>
          <cell r="E33">
            <v>48.3996</v>
          </cell>
          <cell r="F33">
            <v>45.979619999999997</v>
          </cell>
        </row>
        <row r="34">
          <cell r="A34" t="str">
            <v>ED00122</v>
          </cell>
          <cell r="B34" t="str">
            <v>Glycerine Verbio</v>
          </cell>
          <cell r="C34" t="str">
            <v>Ingredients</v>
          </cell>
          <cell r="D34" t="str">
            <v>Kg</v>
          </cell>
          <cell r="E34">
            <v>1.4</v>
          </cell>
          <cell r="F34">
            <v>1.4</v>
          </cell>
        </row>
        <row r="35">
          <cell r="A35" t="str">
            <v>ED00066</v>
          </cell>
          <cell r="B35" t="str">
            <v>Chocolate Chunk 9*9*3.5mm HC4525AICHC0020E08</v>
          </cell>
          <cell r="C35" t="str">
            <v>Ingredients</v>
          </cell>
          <cell r="D35" t="str">
            <v>Kg</v>
          </cell>
          <cell r="E35">
            <v>2.8959999999999999</v>
          </cell>
          <cell r="F35">
            <v>2.8959999999999999</v>
          </cell>
        </row>
        <row r="36">
          <cell r="A36" t="str">
            <v>NewED1</v>
          </cell>
          <cell r="B36" t="str">
            <v>Silarom, type Dulce de Leche natural flavouring</v>
          </cell>
          <cell r="C36" t="str">
            <v>Ingredients</v>
          </cell>
          <cell r="D36" t="str">
            <v>Kg</v>
          </cell>
          <cell r="E36">
            <v>28</v>
          </cell>
          <cell r="F36">
            <v>25.76</v>
          </cell>
        </row>
        <row r="37">
          <cell r="A37" t="str">
            <v>NewED10</v>
          </cell>
          <cell r="B37" t="str">
            <v>DDW Burnt Sugar 690</v>
          </cell>
          <cell r="C37" t="str">
            <v>Ingredients</v>
          </cell>
          <cell r="D37" t="str">
            <v>Kg</v>
          </cell>
          <cell r="E37">
            <v>40</v>
          </cell>
          <cell r="F37">
            <v>38</v>
          </cell>
        </row>
        <row r="38">
          <cell r="A38" t="str">
            <v>ED00090</v>
          </cell>
          <cell r="B38" t="str">
            <v>Sunflower Seeds 25 KG ( W )  F1413</v>
          </cell>
          <cell r="C38" t="str">
            <v>Ingredients</v>
          </cell>
          <cell r="D38" t="str">
            <v>Kg</v>
          </cell>
          <cell r="E38">
            <v>1.0887</v>
          </cell>
          <cell r="F38">
            <v>1.0887</v>
          </cell>
        </row>
        <row r="39">
          <cell r="A39" t="str">
            <v>ED00063</v>
          </cell>
          <cell r="B39" t="str">
            <v>Ammonium Bicarbonate ( 25 KGs ) BASF</v>
          </cell>
          <cell r="C39" t="str">
            <v>Ingredients</v>
          </cell>
          <cell r="D39" t="str">
            <v>Kg</v>
          </cell>
          <cell r="E39">
            <v>0.93</v>
          </cell>
          <cell r="F39">
            <v>0.88349999999999995</v>
          </cell>
        </row>
        <row r="40">
          <cell r="A40" t="str">
            <v>ED00073</v>
          </cell>
          <cell r="B40" t="str">
            <v>Sodium acid ( SAPP 28 ) Brenntag</v>
          </cell>
          <cell r="C40" t="str">
            <v>Ingredients</v>
          </cell>
          <cell r="D40" t="str">
            <v>Kg</v>
          </cell>
          <cell r="E40">
            <v>1.55</v>
          </cell>
          <cell r="F40">
            <v>1.4724999999999999</v>
          </cell>
        </row>
        <row r="41">
          <cell r="A41" t="str">
            <v>NEWED23</v>
          </cell>
          <cell r="B41" t="str">
            <v>White Chocolate Chunks</v>
          </cell>
          <cell r="C41" t="str">
            <v>Ingredients</v>
          </cell>
          <cell r="D41" t="str">
            <v>Kg</v>
          </cell>
          <cell r="E41">
            <v>3.75</v>
          </cell>
          <cell r="F41">
            <v>3.5625</v>
          </cell>
        </row>
        <row r="42">
          <cell r="A42" t="str">
            <v>ED00032</v>
          </cell>
          <cell r="B42" t="str">
            <v>Sweet Glucose Syrup 1017000 IBC</v>
          </cell>
          <cell r="C42" t="str">
            <v>Ingredients</v>
          </cell>
          <cell r="D42" t="str">
            <v>Kg</v>
          </cell>
          <cell r="E42">
            <v>0.83299999999999996</v>
          </cell>
          <cell r="F42">
            <v>0.79134999999999989</v>
          </cell>
        </row>
        <row r="43">
          <cell r="A43" t="str">
            <v>ED00069</v>
          </cell>
          <cell r="B43" t="str">
            <v>Biscuit Wholemeal 25 KGs ( Odlums)</v>
          </cell>
          <cell r="C43" t="str">
            <v>Ingredients</v>
          </cell>
          <cell r="D43" t="str">
            <v>Kg</v>
          </cell>
          <cell r="E43">
            <v>0.48</v>
          </cell>
          <cell r="F43">
            <v>0.45599999999999996</v>
          </cell>
        </row>
        <row r="44">
          <cell r="A44" t="str">
            <v>ED00060</v>
          </cell>
          <cell r="B44" t="str">
            <v>Chinese ground Ginger HT ( 5215 )</v>
          </cell>
          <cell r="C44" t="str">
            <v>Ingredients</v>
          </cell>
          <cell r="D44" t="str">
            <v>Kg</v>
          </cell>
          <cell r="E44">
            <v>5</v>
          </cell>
          <cell r="F44">
            <v>4.75</v>
          </cell>
        </row>
        <row r="45">
          <cell r="A45" t="str">
            <v>ED00120</v>
          </cell>
          <cell r="B45" t="str">
            <v>Maltitol Syrup Lycasin 80/55 ( Roquette )</v>
          </cell>
          <cell r="C45" t="str">
            <v>Ingredients</v>
          </cell>
          <cell r="D45" t="str">
            <v>Kg</v>
          </cell>
          <cell r="E45">
            <v>2</v>
          </cell>
          <cell r="F45">
            <v>1.9</v>
          </cell>
        </row>
        <row r="46">
          <cell r="A46" t="str">
            <v>NewED17</v>
          </cell>
          <cell r="B46" t="str">
            <v>Powder Golden Syrup Flavour</v>
          </cell>
          <cell r="C46" t="str">
            <v>Ingredients</v>
          </cell>
          <cell r="D46" t="str">
            <v>Kg</v>
          </cell>
          <cell r="E46">
            <v>35</v>
          </cell>
          <cell r="F46">
            <v>33.25</v>
          </cell>
        </row>
        <row r="47">
          <cell r="A47" t="str">
            <v>NEWED21</v>
          </cell>
          <cell r="B47" t="str">
            <v>Frozen Lemon Zest</v>
          </cell>
          <cell r="C47" t="str">
            <v>Ingredients</v>
          </cell>
          <cell r="D47" t="str">
            <v>Kg</v>
          </cell>
          <cell r="E47">
            <v>7.5</v>
          </cell>
          <cell r="F47">
            <v>7.125</v>
          </cell>
        </row>
        <row r="48">
          <cell r="A48" t="str">
            <v>ED00040</v>
          </cell>
          <cell r="B48" t="str">
            <v>Chocolate Chips 42% 16694</v>
          </cell>
          <cell r="C48" t="str">
            <v>Ingredients</v>
          </cell>
          <cell r="D48" t="str">
            <v>Kg</v>
          </cell>
          <cell r="E48">
            <v>2.44</v>
          </cell>
          <cell r="F48">
            <v>2.3180000000000001</v>
          </cell>
        </row>
        <row r="49">
          <cell r="A49" t="str">
            <v>ED00076</v>
          </cell>
          <cell r="B49" t="str">
            <v>Palm Oil Bulk</v>
          </cell>
          <cell r="C49" t="str">
            <v>Ingredients</v>
          </cell>
          <cell r="D49" t="str">
            <v>Kg</v>
          </cell>
          <cell r="E49">
            <v>0.84</v>
          </cell>
          <cell r="F49">
            <v>0.79799999999999993</v>
          </cell>
        </row>
        <row r="50">
          <cell r="A50" t="str">
            <v>ED00084</v>
          </cell>
          <cell r="B50" t="str">
            <v>Sodium Bicarbonate Powder 25 KG ( Brenntag )</v>
          </cell>
          <cell r="C50" t="str">
            <v>Ingredients</v>
          </cell>
          <cell r="D50" t="str">
            <v>Kg</v>
          </cell>
          <cell r="E50">
            <v>0.41099999999999998</v>
          </cell>
          <cell r="F50">
            <v>0.39044999999999996</v>
          </cell>
        </row>
        <row r="51">
          <cell r="A51" t="str">
            <v>NEWED20</v>
          </cell>
          <cell r="B51" t="str">
            <v>Lemon Juice Concentrate (1:9)</v>
          </cell>
          <cell r="C51" t="str">
            <v>Ingredients</v>
          </cell>
          <cell r="D51" t="str">
            <v>Kg</v>
          </cell>
          <cell r="E51">
            <v>7.5</v>
          </cell>
          <cell r="F51">
            <v>7.125</v>
          </cell>
        </row>
        <row r="52">
          <cell r="A52" t="str">
            <v>NewED4</v>
          </cell>
          <cell r="B52" t="str">
            <v>Ground Ginger HT GRG125KG Nigeria/India</v>
          </cell>
          <cell r="C52" t="str">
            <v>Ingredients</v>
          </cell>
          <cell r="D52" t="str">
            <v>Kg</v>
          </cell>
          <cell r="E52">
            <v>3.5</v>
          </cell>
          <cell r="F52">
            <v>3.3249999999999997</v>
          </cell>
        </row>
        <row r="53">
          <cell r="A53" t="str">
            <v>ED00124</v>
          </cell>
          <cell r="B53" t="str">
            <v>Sweetness Perception 2SX - 93069 ( Synergy )</v>
          </cell>
          <cell r="C53" t="str">
            <v>Ingredients</v>
          </cell>
          <cell r="D53" t="str">
            <v>Kg</v>
          </cell>
          <cell r="E53">
            <v>35</v>
          </cell>
          <cell r="F53">
            <v>33.25</v>
          </cell>
        </row>
        <row r="54">
          <cell r="A54" t="str">
            <v>NewED6</v>
          </cell>
          <cell r="B54" t="str">
            <v>Light Malt Extract</v>
          </cell>
          <cell r="C54" t="str">
            <v>Ingredients</v>
          </cell>
          <cell r="D54" t="str">
            <v>Kg</v>
          </cell>
          <cell r="E54">
            <v>5</v>
          </cell>
          <cell r="F54">
            <v>4.75</v>
          </cell>
        </row>
        <row r="55">
          <cell r="A55" t="str">
            <v>ED00006</v>
          </cell>
          <cell r="B55" t="str">
            <v>Liquid Butter F - 19296  25 Kg</v>
          </cell>
          <cell r="C55" t="str">
            <v>Ingredients</v>
          </cell>
          <cell r="D55" t="str">
            <v>Kg</v>
          </cell>
          <cell r="E55">
            <v>17.978999999999999</v>
          </cell>
          <cell r="F55">
            <v>17.08005</v>
          </cell>
        </row>
        <row r="56">
          <cell r="A56" t="str">
            <v>NewED7</v>
          </cell>
          <cell r="B56" t="str">
            <v>Baker's Bran</v>
          </cell>
          <cell r="C56" t="str">
            <v>Ingredients</v>
          </cell>
          <cell r="D56" t="str">
            <v>Kg</v>
          </cell>
          <cell r="E56">
            <v>0.39</v>
          </cell>
          <cell r="F56">
            <v>0.3705</v>
          </cell>
        </row>
        <row r="57">
          <cell r="A57" t="str">
            <v>ED00074</v>
          </cell>
          <cell r="B57" t="str">
            <v>LEMON OIL SOUTH AFRICAN</v>
          </cell>
          <cell r="C57" t="str">
            <v>Ingredients</v>
          </cell>
          <cell r="D57" t="str">
            <v>Kg</v>
          </cell>
          <cell r="E57">
            <v>58.892899999999997</v>
          </cell>
          <cell r="F57">
            <v>55.948254999999996</v>
          </cell>
        </row>
        <row r="58">
          <cell r="A58" t="str">
            <v>ED00086</v>
          </cell>
          <cell r="B58" t="str">
            <v>Ground Cinnamon 25 kg</v>
          </cell>
          <cell r="C58" t="str">
            <v>Ingredients</v>
          </cell>
          <cell r="D58" t="str">
            <v>Kg</v>
          </cell>
          <cell r="E58">
            <v>3.91</v>
          </cell>
          <cell r="F58">
            <v>3.7145000000000001</v>
          </cell>
        </row>
        <row r="59">
          <cell r="A59" t="str">
            <v>ED00079</v>
          </cell>
          <cell r="B59" t="str">
            <v>Jumbo Porridge Oat Flakes</v>
          </cell>
          <cell r="C59" t="str">
            <v>Ingredients</v>
          </cell>
          <cell r="D59" t="str">
            <v>Kg</v>
          </cell>
          <cell r="E59">
            <v>0.85</v>
          </cell>
          <cell r="F59">
            <v>0.8075</v>
          </cell>
        </row>
        <row r="60">
          <cell r="A60" t="str">
            <v>ED00003</v>
          </cell>
          <cell r="B60" t="str">
            <v>Sugar Granulated 25KG</v>
          </cell>
          <cell r="C60" t="str">
            <v>Ingredients</v>
          </cell>
          <cell r="D60" t="str">
            <v>Kg</v>
          </cell>
          <cell r="E60">
            <v>0.51</v>
          </cell>
          <cell r="F60">
            <v>0.48449999999999999</v>
          </cell>
        </row>
        <row r="61">
          <cell r="A61" t="str">
            <v>NewED5</v>
          </cell>
          <cell r="B61" t="str">
            <v>Toasted Coconut Flavouring IFF 17433446</v>
          </cell>
          <cell r="C61" t="str">
            <v>Ingredients</v>
          </cell>
          <cell r="D61" t="str">
            <v>Kg</v>
          </cell>
          <cell r="E61">
            <v>35</v>
          </cell>
          <cell r="F61">
            <v>33.25</v>
          </cell>
        </row>
        <row r="62">
          <cell r="A62" t="str">
            <v>ED00082</v>
          </cell>
          <cell r="B62" t="str">
            <v>Liquid Coconut Flavour</v>
          </cell>
          <cell r="C62" t="str">
            <v>Ingredients</v>
          </cell>
          <cell r="D62" t="str">
            <v>Kg</v>
          </cell>
          <cell r="E62">
            <v>102.24160000000001</v>
          </cell>
          <cell r="F62">
            <v>97.129519999999999</v>
          </cell>
        </row>
        <row r="63">
          <cell r="A63" t="str">
            <v>ED00022</v>
          </cell>
          <cell r="B63" t="str">
            <v>Treacle 25 Kg</v>
          </cell>
          <cell r="C63" t="str">
            <v>Ingredients</v>
          </cell>
          <cell r="D63" t="str">
            <v>Kg</v>
          </cell>
          <cell r="E63">
            <v>1.0760000000000001</v>
          </cell>
          <cell r="F63">
            <v>1.0222</v>
          </cell>
        </row>
        <row r="64">
          <cell r="A64" t="str">
            <v>NewED12</v>
          </cell>
          <cell r="B64" t="str">
            <v>Irish Mineral Sea Salt Kiln dried</v>
          </cell>
          <cell r="C64" t="str">
            <v>Ingredients</v>
          </cell>
          <cell r="D64" t="str">
            <v>Kg</v>
          </cell>
          <cell r="E64">
            <v>3.5</v>
          </cell>
          <cell r="F64">
            <v>3.3249999999999997</v>
          </cell>
        </row>
        <row r="65">
          <cell r="A65" t="str">
            <v>ED00015</v>
          </cell>
          <cell r="B65" t="str">
            <v>Medium Sugar</v>
          </cell>
          <cell r="C65" t="str">
            <v>Ingredients</v>
          </cell>
          <cell r="D65" t="str">
            <v>Kg</v>
          </cell>
          <cell r="E65">
            <v>2.68</v>
          </cell>
          <cell r="F65">
            <v>2.5459999999999998</v>
          </cell>
        </row>
        <row r="66">
          <cell r="A66" t="str">
            <v>ED00010</v>
          </cell>
          <cell r="B66" t="str">
            <v>PDV Salt  25 Kg</v>
          </cell>
          <cell r="C66" t="str">
            <v>Ingredients</v>
          </cell>
          <cell r="D66" t="str">
            <v>Kg</v>
          </cell>
          <cell r="E66">
            <v>0.16500000000000001</v>
          </cell>
          <cell r="F66">
            <v>0.15675</v>
          </cell>
        </row>
        <row r="67">
          <cell r="A67" t="str">
            <v>NewED3</v>
          </cell>
          <cell r="B67" t="str">
            <v>Vanilla Flavour 10811919</v>
          </cell>
          <cell r="C67" t="str">
            <v>Ingredients</v>
          </cell>
          <cell r="D67" t="str">
            <v>Kg</v>
          </cell>
          <cell r="E67">
            <v>35</v>
          </cell>
          <cell r="F67">
            <v>33.25</v>
          </cell>
        </row>
        <row r="68">
          <cell r="A68" t="str">
            <v>ED00128</v>
          </cell>
          <cell r="B68" t="str">
            <v>East Coast Vitamin Premix 01 NIG</v>
          </cell>
          <cell r="C68" t="str">
            <v>Ingredients</v>
          </cell>
          <cell r="D68" t="str">
            <v>Kg</v>
          </cell>
          <cell r="E68">
            <v>12.5</v>
          </cell>
          <cell r="F68">
            <v>11.875</v>
          </cell>
        </row>
        <row r="69">
          <cell r="A69" t="str">
            <v>NEWED22</v>
          </cell>
          <cell r="B69" t="str">
            <v>Bicarbonate Soda</v>
          </cell>
          <cell r="C69" t="str">
            <v>Ingredients</v>
          </cell>
          <cell r="D69" t="str">
            <v>Kg</v>
          </cell>
          <cell r="E69">
            <v>4.5</v>
          </cell>
          <cell r="F69">
            <v>4.2749999999999995</v>
          </cell>
        </row>
        <row r="70">
          <cell r="A70" t="str">
            <v>ED00009</v>
          </cell>
          <cell r="B70" t="str">
            <v>Sodium Bicarbonate 25 Kg</v>
          </cell>
          <cell r="C70" t="str">
            <v>Ingredients</v>
          </cell>
          <cell r="D70" t="str">
            <v>Kg</v>
          </cell>
          <cell r="E70">
            <v>0.37519999999999998</v>
          </cell>
          <cell r="F70">
            <v>0.35643999999999998</v>
          </cell>
        </row>
        <row r="71">
          <cell r="A71" t="str">
            <v>ED00011</v>
          </cell>
          <cell r="B71" t="str">
            <v>Water</v>
          </cell>
          <cell r="C71" t="str">
            <v>Ingredients</v>
          </cell>
          <cell r="D71" t="str">
            <v>Kg</v>
          </cell>
          <cell r="E71">
            <v>0</v>
          </cell>
          <cell r="F71">
            <v>0</v>
          </cell>
        </row>
        <row r="72">
          <cell r="A72" t="str">
            <v>ED00031</v>
          </cell>
          <cell r="B72" t="str">
            <v>Glucose Syrup 5780 IBC</v>
          </cell>
          <cell r="C72" t="str">
            <v>Ingredients</v>
          </cell>
          <cell r="D72" t="str">
            <v>Kg</v>
          </cell>
          <cell r="E72">
            <v>0.83299999999999996</v>
          </cell>
          <cell r="F72">
            <v>0.79134999999999989</v>
          </cell>
        </row>
        <row r="73">
          <cell r="A73" t="str">
            <v>ED00085</v>
          </cell>
          <cell r="B73" t="str">
            <v>Chocolate Drops 12000/KG 42% 15915 ( UTZ MB ) 25 KG  ( Y )</v>
          </cell>
          <cell r="C73">
            <v>0</v>
          </cell>
          <cell r="D73">
            <v>0</v>
          </cell>
          <cell r="E73">
            <v>0</v>
          </cell>
          <cell r="F73">
            <v>0</v>
          </cell>
        </row>
        <row r="74">
          <cell r="A74" t="str">
            <v>ED00129</v>
          </cell>
          <cell r="B74" t="str">
            <v>Fine Dessicated Coconut Franklin Baker First Grade</v>
          </cell>
          <cell r="C74">
            <v>0</v>
          </cell>
          <cell r="D74">
            <v>0</v>
          </cell>
          <cell r="E74">
            <v>0</v>
          </cell>
          <cell r="F74">
            <v>0</v>
          </cell>
        </row>
        <row r="75">
          <cell r="A75">
            <v>0</v>
          </cell>
          <cell r="B75">
            <v>0</v>
          </cell>
          <cell r="C75">
            <v>0</v>
          </cell>
          <cell r="D75">
            <v>0</v>
          </cell>
          <cell r="E75">
            <v>0</v>
          </cell>
          <cell r="F75">
            <v>0</v>
          </cell>
        </row>
        <row r="76">
          <cell r="A76">
            <v>0</v>
          </cell>
          <cell r="B76">
            <v>0</v>
          </cell>
          <cell r="C76">
            <v>0</v>
          </cell>
          <cell r="D76">
            <v>0</v>
          </cell>
          <cell r="E76">
            <v>0</v>
          </cell>
          <cell r="F76">
            <v>0</v>
          </cell>
        </row>
        <row r="77">
          <cell r="A77">
            <v>0</v>
          </cell>
          <cell r="B77">
            <v>0</v>
          </cell>
          <cell r="C77">
            <v>0</v>
          </cell>
          <cell r="D77">
            <v>0</v>
          </cell>
          <cell r="E77">
            <v>0</v>
          </cell>
          <cell r="F77">
            <v>0</v>
          </cell>
        </row>
        <row r="78">
          <cell r="A78">
            <v>0</v>
          </cell>
          <cell r="B78">
            <v>0</v>
          </cell>
          <cell r="C78">
            <v>0</v>
          </cell>
          <cell r="D78">
            <v>0</v>
          </cell>
          <cell r="E78">
            <v>0</v>
          </cell>
          <cell r="F78">
            <v>0</v>
          </cell>
        </row>
        <row r="79">
          <cell r="A79" t="str">
            <v>PA00059</v>
          </cell>
          <cell r="B79" t="str">
            <v>Aldi E/e  8% CC Cookies Outer</v>
          </cell>
          <cell r="C79" t="str">
            <v>Packaging</v>
          </cell>
          <cell r="D79" t="str">
            <v>Each</v>
          </cell>
          <cell r="E79">
            <v>0.34799999999999998</v>
          </cell>
          <cell r="F79">
            <v>0.31319999999999998</v>
          </cell>
        </row>
        <row r="80">
          <cell r="A80" t="str">
            <v>PA00053</v>
          </cell>
          <cell r="B80" t="str">
            <v>Aldi E/e 8% CC Cookies Film</v>
          </cell>
          <cell r="C80" t="str">
            <v>Packaging</v>
          </cell>
          <cell r="D80" t="str">
            <v>Each</v>
          </cell>
          <cell r="E80">
            <v>1.5599999999999999E-2</v>
          </cell>
          <cell r="F80">
            <v>1.404E-2</v>
          </cell>
        </row>
        <row r="81">
          <cell r="A81" t="str">
            <v>PA00052</v>
          </cell>
          <cell r="B81" t="str">
            <v>30um White Opp x 200mm film (Inner)</v>
          </cell>
          <cell r="C81" t="str">
            <v>Packaging</v>
          </cell>
          <cell r="D81" t="str">
            <v>Each</v>
          </cell>
          <cell r="E81">
            <v>5.8999999999999999E-3</v>
          </cell>
          <cell r="F81">
            <v>5.3099999999999996E-3</v>
          </cell>
        </row>
        <row r="82">
          <cell r="A82" t="str">
            <v>PA00079</v>
          </cell>
          <cell r="B82" t="str">
            <v>ECB Granola Cookie Nuts &amp; Seeds ( Outers ) USA</v>
          </cell>
          <cell r="C82" t="str">
            <v>Packaging</v>
          </cell>
          <cell r="D82" t="str">
            <v>Each</v>
          </cell>
          <cell r="E82">
            <v>0.23100000000000001</v>
          </cell>
          <cell r="F82">
            <v>0.2079</v>
          </cell>
        </row>
        <row r="83">
          <cell r="A83" t="str">
            <v>PA00066</v>
          </cell>
          <cell r="B83" t="str">
            <v>Granola Cookie Nuts &amp; Seeds US Film</v>
          </cell>
          <cell r="C83" t="str">
            <v>Packaging</v>
          </cell>
          <cell r="D83" t="str">
            <v>Each</v>
          </cell>
          <cell r="E83">
            <v>1.8800000000000001E-2</v>
          </cell>
          <cell r="F83">
            <v>1.6920000000000001E-2</v>
          </cell>
        </row>
        <row r="84">
          <cell r="A84" t="str">
            <v>PA00019</v>
          </cell>
          <cell r="B84" t="str">
            <v>ECB 8 Cookie Tray 139 x 79 x 40mm ( 1526 )</v>
          </cell>
          <cell r="C84" t="str">
            <v>Packaging</v>
          </cell>
          <cell r="D84" t="str">
            <v>Each</v>
          </cell>
          <cell r="E84">
            <v>1.5100000000000001E-2</v>
          </cell>
          <cell r="F84">
            <v>1.3590000000000001E-2</v>
          </cell>
        </row>
        <row r="85">
          <cell r="A85" t="str">
            <v>PA00060</v>
          </cell>
          <cell r="B85" t="str">
            <v>Aldi E/e 8%  CC Cookies Lid</v>
          </cell>
          <cell r="C85" t="str">
            <v>Packaging</v>
          </cell>
          <cell r="D85" t="str">
            <v>Each</v>
          </cell>
          <cell r="E85">
            <v>0.11600000000000001</v>
          </cell>
          <cell r="F85">
            <v>0.10440000000000001</v>
          </cell>
        </row>
        <row r="86">
          <cell r="A86" t="str">
            <v>PA00028</v>
          </cell>
          <cell r="B86" t="str">
            <v>ECB Milk Chocolate Chunk Outers X 12</v>
          </cell>
          <cell r="C86" t="str">
            <v>Packaging</v>
          </cell>
          <cell r="D86" t="str">
            <v>Each</v>
          </cell>
          <cell r="E86">
            <v>0.2248</v>
          </cell>
          <cell r="F86">
            <v>0.20232</v>
          </cell>
        </row>
        <row r="87">
          <cell r="A87" t="str">
            <v>NewPA25</v>
          </cell>
          <cell r="B87" t="str">
            <v>CM - Project Go Light 1_Film</v>
          </cell>
          <cell r="C87" t="str">
            <v>Packaging</v>
          </cell>
          <cell r="D87" t="str">
            <v>Each</v>
          </cell>
          <cell r="E87">
            <v>1.4200000000000001E-2</v>
          </cell>
          <cell r="F87">
            <v>1.2780000000000001E-2</v>
          </cell>
        </row>
        <row r="88">
          <cell r="A88" t="str">
            <v>NewPA26</v>
          </cell>
          <cell r="B88" t="str">
            <v>CM - Project Go Light 1_Case</v>
          </cell>
          <cell r="C88" t="str">
            <v>Packaging</v>
          </cell>
          <cell r="D88" t="str">
            <v>Each</v>
          </cell>
          <cell r="E88">
            <v>0.2248</v>
          </cell>
          <cell r="F88">
            <v>0.20232</v>
          </cell>
        </row>
        <row r="89">
          <cell r="A89" t="str">
            <v>PA00025</v>
          </cell>
          <cell r="B89" t="str">
            <v>Chocolate Chunk Cookie 160G Film</v>
          </cell>
          <cell r="C89" t="str">
            <v>Packaging</v>
          </cell>
          <cell r="D89" t="str">
            <v>Each</v>
          </cell>
          <cell r="E89">
            <v>1.3599999999999999E-2</v>
          </cell>
          <cell r="F89">
            <v>1.2239999999999999E-2</v>
          </cell>
        </row>
        <row r="90">
          <cell r="A90" t="str">
            <v>PA00073</v>
          </cell>
          <cell r="B90" t="str">
            <v>Oh My Choc Chip Cookies ( 14% )  Film Export</v>
          </cell>
          <cell r="C90" t="str">
            <v>Packaging</v>
          </cell>
          <cell r="D90" t="str">
            <v>Each</v>
          </cell>
          <cell r="E90">
            <v>1.6E-2</v>
          </cell>
          <cell r="F90">
            <v>1.4400000000000001E-2</v>
          </cell>
        </row>
        <row r="91">
          <cell r="A91" t="str">
            <v>PA00082</v>
          </cell>
          <cell r="B91" t="str">
            <v>Hill Biscuits Choc Chip Cookies 14% 200G Film</v>
          </cell>
          <cell r="C91" t="str">
            <v>Packaging</v>
          </cell>
          <cell r="D91" t="str">
            <v>Each</v>
          </cell>
          <cell r="E91">
            <v>2.1299999999999999E-2</v>
          </cell>
          <cell r="F91">
            <v>1.917E-2</v>
          </cell>
        </row>
        <row r="92">
          <cell r="A92" t="str">
            <v>PA00027</v>
          </cell>
          <cell r="B92" t="str">
            <v>ECB Caramel &amp; Pecan Outers X 12</v>
          </cell>
          <cell r="C92" t="str">
            <v>Packaging</v>
          </cell>
          <cell r="D92" t="str">
            <v>Each</v>
          </cell>
          <cell r="E92">
            <v>0.2248</v>
          </cell>
          <cell r="F92">
            <v>0.20232</v>
          </cell>
        </row>
        <row r="93">
          <cell r="A93" t="str">
            <v>PA00085</v>
          </cell>
          <cell r="B93" t="str">
            <v>12 x 200g Outer Hills  ( 90 01 )</v>
          </cell>
          <cell r="C93" t="str">
            <v>Packaging</v>
          </cell>
          <cell r="D93" t="str">
            <v>Each</v>
          </cell>
          <cell r="E93">
            <v>0.2248</v>
          </cell>
          <cell r="F93">
            <v>0.20232</v>
          </cell>
        </row>
        <row r="94">
          <cell r="A94" t="str">
            <v>PA00026</v>
          </cell>
          <cell r="B94" t="str">
            <v>Caramel &amp; Pecan Cookie  160G Film</v>
          </cell>
          <cell r="C94" t="str">
            <v>Packaging</v>
          </cell>
          <cell r="D94" t="str">
            <v>Each</v>
          </cell>
          <cell r="E94">
            <v>1.6199999999999999E-2</v>
          </cell>
          <cell r="F94">
            <v>1.4579999999999999E-2</v>
          </cell>
        </row>
        <row r="95">
          <cell r="A95" t="str">
            <v>NEWPA44</v>
          </cell>
          <cell r="B95" t="str">
            <v>PL - Co-op Irresistible White Chocolate Cookies_Film</v>
          </cell>
          <cell r="C95" t="str">
            <v>Packaging</v>
          </cell>
          <cell r="D95" t="str">
            <v>Each</v>
          </cell>
          <cell r="E95">
            <v>0.14199999999999999</v>
          </cell>
          <cell r="F95">
            <v>0.1278</v>
          </cell>
        </row>
        <row r="96">
          <cell r="A96" t="str">
            <v>PA00018</v>
          </cell>
          <cell r="B96" t="str">
            <v>ECB 7 Cookie Tray 131 x 79 x 40mm ( 1525 )</v>
          </cell>
          <cell r="C96" t="str">
            <v>Packaging</v>
          </cell>
          <cell r="D96" t="str">
            <v>Each</v>
          </cell>
          <cell r="E96">
            <v>1.4500000000000001E-2</v>
          </cell>
          <cell r="F96">
            <v>1.3050000000000001E-2</v>
          </cell>
        </row>
        <row r="97">
          <cell r="A97" t="str">
            <v>NewPA21</v>
          </cell>
          <cell r="B97" t="str">
            <v>CM - Robin Protein 1_Film</v>
          </cell>
          <cell r="C97" t="str">
            <v>Packaging</v>
          </cell>
          <cell r="D97" t="str">
            <v>Each</v>
          </cell>
          <cell r="E97">
            <v>1.4200000000000001E-2</v>
          </cell>
          <cell r="F97">
            <v>1.2780000000000001E-2</v>
          </cell>
        </row>
        <row r="98">
          <cell r="A98" t="str">
            <v>NewPA23</v>
          </cell>
          <cell r="B98" t="str">
            <v>CM - Robin Protein 2_Film</v>
          </cell>
          <cell r="C98" t="str">
            <v>Packaging</v>
          </cell>
          <cell r="D98" t="str">
            <v>Each</v>
          </cell>
          <cell r="E98">
            <v>1.4200000000000001E-2</v>
          </cell>
          <cell r="F98">
            <v>1.2780000000000001E-2</v>
          </cell>
        </row>
        <row r="99">
          <cell r="A99" t="str">
            <v>PA00041</v>
          </cell>
          <cell r="B99" t="str">
            <v>ECB HC Oat'em Film</v>
          </cell>
          <cell r="C99" t="str">
            <v>Packaging</v>
          </cell>
          <cell r="D99" t="str">
            <v>Each</v>
          </cell>
          <cell r="E99">
            <v>1.9199999999999998E-2</v>
          </cell>
          <cell r="F99">
            <v>1.728E-2</v>
          </cell>
        </row>
        <row r="100">
          <cell r="A100" t="str">
            <v>NewPA22</v>
          </cell>
          <cell r="B100" t="str">
            <v>CM - Robin Protein 1_Case</v>
          </cell>
          <cell r="C100" t="str">
            <v>Packaging</v>
          </cell>
          <cell r="D100" t="str">
            <v>Each</v>
          </cell>
          <cell r="E100">
            <v>0.2248</v>
          </cell>
          <cell r="F100">
            <v>0.20232</v>
          </cell>
        </row>
        <row r="101">
          <cell r="A101" t="str">
            <v>NewPA24</v>
          </cell>
          <cell r="B101" t="str">
            <v>CM - Robin Protein 2_Case</v>
          </cell>
          <cell r="C101" t="str">
            <v>Packaging</v>
          </cell>
          <cell r="D101" t="str">
            <v>Each</v>
          </cell>
          <cell r="E101">
            <v>0.2248</v>
          </cell>
          <cell r="F101">
            <v>0.20232</v>
          </cell>
        </row>
        <row r="102">
          <cell r="A102" t="str">
            <v>PA00072</v>
          </cell>
          <cell r="B102" t="str">
            <v>Oh My Double Choc Chip ( 14% ) cookie Film ( Export )</v>
          </cell>
          <cell r="C102" t="str">
            <v>Packaging</v>
          </cell>
          <cell r="D102" t="str">
            <v>Each</v>
          </cell>
          <cell r="E102">
            <v>1.6E-2</v>
          </cell>
          <cell r="F102">
            <v>1.4400000000000001E-2</v>
          </cell>
        </row>
        <row r="103">
          <cell r="A103" t="str">
            <v>PA00083</v>
          </cell>
          <cell r="B103" t="str">
            <v>Oh My Choc Chip Cookies outers 20 x 145g ( 87 01 )</v>
          </cell>
          <cell r="C103" t="str">
            <v>Packaging</v>
          </cell>
          <cell r="D103" t="str">
            <v>Each</v>
          </cell>
          <cell r="E103">
            <v>0.1855</v>
          </cell>
          <cell r="F103">
            <v>0.16695000000000002</v>
          </cell>
        </row>
        <row r="104">
          <cell r="A104" t="str">
            <v>PA00045</v>
          </cell>
          <cell r="B104" t="str">
            <v>ECB HC Oat'em Outers X 12</v>
          </cell>
          <cell r="C104" t="str">
            <v>Packaging</v>
          </cell>
          <cell r="D104" t="str">
            <v>Each</v>
          </cell>
          <cell r="E104">
            <v>0.20469999999999999</v>
          </cell>
          <cell r="F104">
            <v>0.18423</v>
          </cell>
        </row>
        <row r="105">
          <cell r="A105" t="str">
            <v>NewPA1</v>
          </cell>
          <cell r="B105" t="str">
            <v>CM - GW Protein Caramel_Film</v>
          </cell>
          <cell r="C105" t="str">
            <v>Packaging</v>
          </cell>
          <cell r="D105" t="str">
            <v>Each</v>
          </cell>
          <cell r="E105">
            <v>1.4200000000000001E-2</v>
          </cell>
          <cell r="F105">
            <v>1.2780000000000001E-2</v>
          </cell>
        </row>
        <row r="106">
          <cell r="A106" t="str">
            <v>NewPA2</v>
          </cell>
          <cell r="B106" t="str">
            <v>CM - GW Protein Caramel_Case</v>
          </cell>
          <cell r="C106" t="str">
            <v>Packaging</v>
          </cell>
          <cell r="D106" t="str">
            <v>Each</v>
          </cell>
          <cell r="E106">
            <v>0.2248</v>
          </cell>
          <cell r="F106">
            <v>0.20232</v>
          </cell>
        </row>
        <row r="107">
          <cell r="A107" t="str">
            <v>NewPA5</v>
          </cell>
          <cell r="B107" t="str">
            <v>CM - M1 Polo_Film</v>
          </cell>
          <cell r="C107" t="str">
            <v>Packaging</v>
          </cell>
          <cell r="D107" t="str">
            <v>Each</v>
          </cell>
          <cell r="E107">
            <v>1.4200000000000001E-2</v>
          </cell>
          <cell r="F107">
            <v>1.2780000000000001E-2</v>
          </cell>
        </row>
        <row r="108">
          <cell r="A108" t="str">
            <v>NewPA7</v>
          </cell>
          <cell r="B108" t="str">
            <v>CM - M1 Choc Polo_Film</v>
          </cell>
          <cell r="C108" t="str">
            <v>Packaging</v>
          </cell>
          <cell r="D108" t="str">
            <v>Each</v>
          </cell>
          <cell r="E108">
            <v>1.4200000000000001E-2</v>
          </cell>
          <cell r="F108">
            <v>1.2780000000000001E-2</v>
          </cell>
        </row>
        <row r="109">
          <cell r="A109" t="str">
            <v>NEWPA31</v>
          </cell>
          <cell r="B109" t="str">
            <v>CM - M1 Lincoln_Film</v>
          </cell>
          <cell r="C109" t="str">
            <v>Packaging</v>
          </cell>
          <cell r="D109" t="str">
            <v>Each</v>
          </cell>
          <cell r="E109">
            <v>1.4200000000000001E-2</v>
          </cell>
          <cell r="F109">
            <v>1.2780000000000001E-2</v>
          </cell>
        </row>
        <row r="110">
          <cell r="A110" t="str">
            <v>PA00084</v>
          </cell>
          <cell r="B110" t="str">
            <v>Oh My Double Choc Chip 20 x 145g ( 89 01 )</v>
          </cell>
          <cell r="C110" t="str">
            <v>Packaging</v>
          </cell>
          <cell r="D110" t="str">
            <v>Each</v>
          </cell>
          <cell r="E110">
            <v>0.19089999999999999</v>
          </cell>
          <cell r="F110">
            <v>0.17180999999999999</v>
          </cell>
        </row>
        <row r="111">
          <cell r="A111" t="str">
            <v>PA00034</v>
          </cell>
          <cell r="B111" t="str">
            <v>ECB Chocolate Enrobed Milk Chocolate Chunk Cookie X 12</v>
          </cell>
          <cell r="C111" t="str">
            <v>Packaging</v>
          </cell>
          <cell r="D111" t="str">
            <v>Each</v>
          </cell>
          <cell r="E111">
            <v>0.19309999999999999</v>
          </cell>
          <cell r="F111">
            <v>0.17379</v>
          </cell>
        </row>
        <row r="112">
          <cell r="A112" t="str">
            <v>PA00051</v>
          </cell>
          <cell r="B112" t="str">
            <v>ECB Milk Choc Chunk HC Twin Catering Pack Film</v>
          </cell>
          <cell r="C112" t="str">
            <v>Packaging</v>
          </cell>
          <cell r="D112" t="str">
            <v>Each</v>
          </cell>
          <cell r="E112">
            <v>1.4200000000000001E-2</v>
          </cell>
          <cell r="F112">
            <v>1.2780000000000001E-2</v>
          </cell>
        </row>
        <row r="113">
          <cell r="A113" t="str">
            <v>PA00033</v>
          </cell>
          <cell r="B113" t="str">
            <v>ECB Stem Ginger &amp; Chocolate Chunk Crunchy Cookies X 12</v>
          </cell>
          <cell r="C113" t="str">
            <v>Packaging</v>
          </cell>
          <cell r="D113" t="str">
            <v>Each</v>
          </cell>
          <cell r="E113">
            <v>0.2248</v>
          </cell>
          <cell r="F113">
            <v>0.20232</v>
          </cell>
        </row>
        <row r="114">
          <cell r="A114" t="str">
            <v>NewPA13</v>
          </cell>
          <cell r="B114" t="str">
            <v>CM - Ginger Nut_Film</v>
          </cell>
          <cell r="C114" t="str">
            <v>Packaging</v>
          </cell>
          <cell r="D114" t="str">
            <v>Each</v>
          </cell>
          <cell r="E114">
            <v>1.4200000000000001E-2</v>
          </cell>
          <cell r="F114">
            <v>1.2780000000000001E-2</v>
          </cell>
        </row>
        <row r="115">
          <cell r="A115" t="str">
            <v>NewPA15</v>
          </cell>
          <cell r="B115" t="str">
            <v>CM - M1 New 1 HC Rotary_Film</v>
          </cell>
          <cell r="C115" t="str">
            <v>Packaging</v>
          </cell>
          <cell r="D115" t="str">
            <v>Each</v>
          </cell>
          <cell r="E115">
            <v>1.4200000000000001E-2</v>
          </cell>
          <cell r="F115">
            <v>1.2780000000000001E-2</v>
          </cell>
        </row>
        <row r="116">
          <cell r="A116" t="str">
            <v>NewPA17</v>
          </cell>
          <cell r="B116" t="str">
            <v>CM - M1 New 2 HC Rotary_Film</v>
          </cell>
          <cell r="C116" t="str">
            <v>Packaging</v>
          </cell>
          <cell r="D116" t="str">
            <v>Each</v>
          </cell>
          <cell r="E116">
            <v>1.4200000000000001E-2</v>
          </cell>
          <cell r="F116">
            <v>1.2780000000000001E-2</v>
          </cell>
        </row>
        <row r="117">
          <cell r="A117" t="str">
            <v>NewPA19</v>
          </cell>
          <cell r="B117" t="str">
            <v>CM - M1 New 3 HC Rotary_Film</v>
          </cell>
          <cell r="C117" t="str">
            <v>Packaging</v>
          </cell>
          <cell r="D117" t="str">
            <v>Each</v>
          </cell>
          <cell r="E117">
            <v>1.4200000000000001E-2</v>
          </cell>
          <cell r="F117">
            <v>1.2780000000000001E-2</v>
          </cell>
        </row>
        <row r="118">
          <cell r="A118" t="str">
            <v>PA00030</v>
          </cell>
          <cell r="B118" t="str">
            <v>Choc Enrobed Choc Chunk Film</v>
          </cell>
          <cell r="C118" t="str">
            <v>Packaging</v>
          </cell>
          <cell r="D118" t="str">
            <v>Each</v>
          </cell>
          <cell r="E118">
            <v>1.35E-2</v>
          </cell>
          <cell r="F118">
            <v>1.2149999999999999E-2</v>
          </cell>
        </row>
        <row r="119">
          <cell r="A119" t="str">
            <v>NewPA11</v>
          </cell>
          <cell r="B119" t="str">
            <v>CM - M1 Choc Goldgrain_Film</v>
          </cell>
          <cell r="C119" t="str">
            <v>Packaging</v>
          </cell>
          <cell r="D119" t="str">
            <v>Each</v>
          </cell>
          <cell r="E119">
            <v>1.4200000000000001E-2</v>
          </cell>
          <cell r="F119">
            <v>1.2780000000000001E-2</v>
          </cell>
        </row>
        <row r="120">
          <cell r="A120" t="str">
            <v>NewPA12</v>
          </cell>
          <cell r="B120" t="str">
            <v>CM - M1 Choc Goldgrain_Case</v>
          </cell>
          <cell r="C120" t="str">
            <v>Packaging</v>
          </cell>
          <cell r="D120" t="str">
            <v>Each</v>
          </cell>
          <cell r="E120">
            <v>0.2248</v>
          </cell>
          <cell r="F120">
            <v>0.20232</v>
          </cell>
        </row>
        <row r="121">
          <cell r="A121" t="str">
            <v>NewPA6</v>
          </cell>
          <cell r="B121" t="str">
            <v>CM - M1 Polo_Case</v>
          </cell>
          <cell r="C121" t="str">
            <v>Packaging</v>
          </cell>
          <cell r="D121" t="str">
            <v>Each</v>
          </cell>
          <cell r="E121">
            <v>0.2248</v>
          </cell>
          <cell r="F121">
            <v>0.20232</v>
          </cell>
        </row>
        <row r="122">
          <cell r="A122" t="str">
            <v>NewPA8</v>
          </cell>
          <cell r="B122" t="str">
            <v>CM - M1 Choc Polo_Case</v>
          </cell>
          <cell r="C122" t="str">
            <v>Packaging</v>
          </cell>
          <cell r="D122" t="str">
            <v>Each</v>
          </cell>
          <cell r="E122">
            <v>0.2248</v>
          </cell>
          <cell r="F122">
            <v>0.20232</v>
          </cell>
        </row>
        <row r="123">
          <cell r="A123" t="str">
            <v>NEWPA32</v>
          </cell>
          <cell r="B123" t="str">
            <v>CM - M1 Lincoln_Case</v>
          </cell>
          <cell r="C123" t="str">
            <v>Packaging</v>
          </cell>
          <cell r="D123" t="str">
            <v>Each</v>
          </cell>
          <cell r="E123">
            <v>0.2248</v>
          </cell>
          <cell r="F123">
            <v>0.20232</v>
          </cell>
        </row>
        <row r="124">
          <cell r="A124" t="str">
            <v>PA00029</v>
          </cell>
          <cell r="B124" t="str">
            <v>Stem Ginger 160G Film</v>
          </cell>
          <cell r="C124" t="str">
            <v>Packaging</v>
          </cell>
          <cell r="D124" t="str">
            <v>Each</v>
          </cell>
          <cell r="E124">
            <v>1.4200000000000001E-2</v>
          </cell>
          <cell r="F124">
            <v>1.2780000000000001E-2</v>
          </cell>
        </row>
        <row r="125">
          <cell r="A125" t="str">
            <v>PA00063</v>
          </cell>
          <cell r="B125" t="str">
            <v>ECB Milk Choc Chunk Twin Catering Pack Box</v>
          </cell>
          <cell r="C125" t="str">
            <v>Packaging</v>
          </cell>
          <cell r="D125" t="str">
            <v>Each</v>
          </cell>
          <cell r="E125">
            <v>0.2248</v>
          </cell>
          <cell r="F125">
            <v>0.20232</v>
          </cell>
        </row>
        <row r="126">
          <cell r="A126" t="str">
            <v>PA00058</v>
          </cell>
          <cell r="B126" t="str">
            <v>ECB Milk Choc Chunk HC Catering Pack Box</v>
          </cell>
          <cell r="C126" t="str">
            <v>Packaging</v>
          </cell>
          <cell r="D126" t="str">
            <v>Each</v>
          </cell>
          <cell r="E126">
            <v>0.2248</v>
          </cell>
          <cell r="F126">
            <v>0.20232</v>
          </cell>
        </row>
        <row r="127">
          <cell r="A127" t="str">
            <v>NEWPA41</v>
          </cell>
          <cell r="B127" t="str">
            <v>PL - Co-op Irresistible Triple Chocolate Cookies_Case</v>
          </cell>
          <cell r="C127" t="str">
            <v>Packaging</v>
          </cell>
          <cell r="D127" t="str">
            <v>Each</v>
          </cell>
          <cell r="E127">
            <v>0.2248</v>
          </cell>
          <cell r="F127">
            <v>0.20232</v>
          </cell>
        </row>
        <row r="128">
          <cell r="A128" t="str">
            <v>NewPA14</v>
          </cell>
          <cell r="B128" t="str">
            <v>CM - Ginger Nut_Case</v>
          </cell>
          <cell r="C128" t="str">
            <v>Packaging</v>
          </cell>
          <cell r="D128" t="str">
            <v>Each</v>
          </cell>
          <cell r="E128">
            <v>0.2248</v>
          </cell>
          <cell r="F128">
            <v>0.20232</v>
          </cell>
        </row>
        <row r="129">
          <cell r="A129" t="str">
            <v>NewPA16</v>
          </cell>
          <cell r="B129" t="str">
            <v>CM - M1 New 1 HC Rotary_Case</v>
          </cell>
          <cell r="C129" t="str">
            <v>Packaging</v>
          </cell>
          <cell r="D129" t="str">
            <v>Each</v>
          </cell>
          <cell r="E129">
            <v>0.2248</v>
          </cell>
          <cell r="F129">
            <v>0.20232</v>
          </cell>
        </row>
        <row r="130">
          <cell r="A130" t="str">
            <v>NewPA18</v>
          </cell>
          <cell r="B130" t="str">
            <v>CM - M1 New 2 HC Rotary_Case</v>
          </cell>
          <cell r="C130" t="str">
            <v>Packaging</v>
          </cell>
          <cell r="D130" t="str">
            <v>Each</v>
          </cell>
          <cell r="E130">
            <v>0.2248</v>
          </cell>
          <cell r="F130">
            <v>0.20232</v>
          </cell>
        </row>
        <row r="131">
          <cell r="A131" t="str">
            <v>NewPA20</v>
          </cell>
          <cell r="B131" t="str">
            <v>CM - M1 New 3 HC Rotary_Case</v>
          </cell>
          <cell r="C131" t="str">
            <v>Packaging</v>
          </cell>
          <cell r="D131" t="str">
            <v>Each</v>
          </cell>
          <cell r="E131">
            <v>0.2248</v>
          </cell>
          <cell r="F131">
            <v>0.20232</v>
          </cell>
        </row>
        <row r="132">
          <cell r="A132" t="str">
            <v>NewPA9</v>
          </cell>
          <cell r="B132" t="str">
            <v>CM - M1 Goldgrain_Film</v>
          </cell>
          <cell r="C132" t="str">
            <v>Packaging</v>
          </cell>
          <cell r="D132" t="str">
            <v>Each</v>
          </cell>
          <cell r="E132">
            <v>1.4200000000000001E-2</v>
          </cell>
          <cell r="F132">
            <v>1.2780000000000001E-2</v>
          </cell>
        </row>
        <row r="133">
          <cell r="A133" t="str">
            <v>PA00044</v>
          </cell>
          <cell r="B133" t="str">
            <v>ECB Coconut Crunchems Outers X 12</v>
          </cell>
          <cell r="C133" t="str">
            <v>Packaging</v>
          </cell>
          <cell r="D133" t="str">
            <v>Each</v>
          </cell>
          <cell r="E133">
            <v>0.20119999999999999</v>
          </cell>
          <cell r="F133">
            <v>0.18107999999999999</v>
          </cell>
        </row>
        <row r="134">
          <cell r="A134" t="str">
            <v>NEWPA40</v>
          </cell>
          <cell r="B134" t="str">
            <v>PL - Co-op Irresistible Triple Chocolate Cookies_Film</v>
          </cell>
          <cell r="C134" t="str">
            <v>Packaging</v>
          </cell>
          <cell r="D134" t="str">
            <v>Each</v>
          </cell>
          <cell r="E134">
            <v>1.4200000000000001E-2</v>
          </cell>
          <cell r="F134">
            <v>1.2780000000000001E-2</v>
          </cell>
        </row>
        <row r="135">
          <cell r="A135" t="str">
            <v>PA00043</v>
          </cell>
          <cell r="B135" t="str">
            <v>ECB Ginger Crunchems Outers X 12</v>
          </cell>
          <cell r="C135" t="str">
            <v>Packaging</v>
          </cell>
          <cell r="D135" t="str">
            <v>Each</v>
          </cell>
          <cell r="E135">
            <v>0.2011</v>
          </cell>
          <cell r="F135">
            <v>0.18099000000000001</v>
          </cell>
        </row>
        <row r="136">
          <cell r="A136" t="str">
            <v>NewPA10</v>
          </cell>
          <cell r="B136" t="str">
            <v>CM - M1 Goldgrain_Case</v>
          </cell>
          <cell r="C136" t="str">
            <v>Packaging</v>
          </cell>
          <cell r="D136" t="str">
            <v>Each</v>
          </cell>
          <cell r="E136">
            <v>0.2248</v>
          </cell>
          <cell r="F136">
            <v>0.20232</v>
          </cell>
        </row>
        <row r="137">
          <cell r="A137" t="str">
            <v>PA00080</v>
          </cell>
          <cell r="B137" t="str">
            <v>ECB Granola Crunchy Nuts &amp; Seeds 12 x 160g Outers</v>
          </cell>
          <cell r="C137" t="str">
            <v>Packaging</v>
          </cell>
          <cell r="D137" t="str">
            <v>Each</v>
          </cell>
          <cell r="E137">
            <v>0.23100000000000001</v>
          </cell>
          <cell r="F137">
            <v>0.2079</v>
          </cell>
        </row>
        <row r="138">
          <cell r="A138" t="str">
            <v>PA00081</v>
          </cell>
          <cell r="B138" t="str">
            <v>ECB Granola Crunchy Choc Chip 12 x 160G ( Outers )</v>
          </cell>
          <cell r="C138" t="str">
            <v>Packaging</v>
          </cell>
          <cell r="D138" t="str">
            <v>Each</v>
          </cell>
          <cell r="E138">
            <v>0.23100000000000001</v>
          </cell>
          <cell r="F138">
            <v>0.2079</v>
          </cell>
        </row>
        <row r="139">
          <cell r="A139" t="str">
            <v>PA00070</v>
          </cell>
          <cell r="B139" t="str">
            <v>ECB Granola Crunchy with Nuts &amp; Seeds Film ( UK &amp; Ire )</v>
          </cell>
          <cell r="C139" t="str">
            <v>Packaging</v>
          </cell>
          <cell r="D139" t="str">
            <v>Each</v>
          </cell>
          <cell r="E139">
            <v>1.8800000000000001E-2</v>
          </cell>
          <cell r="F139">
            <v>1.6920000000000001E-2</v>
          </cell>
        </row>
        <row r="140">
          <cell r="A140" t="str">
            <v>PA00071</v>
          </cell>
          <cell r="B140" t="str">
            <v>ECB Granola Crunchy with Choc Chips Film ( UK &amp; Ire )</v>
          </cell>
          <cell r="C140" t="str">
            <v>Packaging</v>
          </cell>
          <cell r="D140" t="str">
            <v>Each</v>
          </cell>
          <cell r="E140">
            <v>1.8800000000000001E-2</v>
          </cell>
          <cell r="F140">
            <v>1.6920000000000001E-2</v>
          </cell>
        </row>
        <row r="141">
          <cell r="A141" t="str">
            <v>PA00040</v>
          </cell>
          <cell r="B141" t="str">
            <v>Coconut Crunch'ems Film</v>
          </cell>
          <cell r="C141" t="str">
            <v>Packaging</v>
          </cell>
          <cell r="D141" t="str">
            <v>Each</v>
          </cell>
          <cell r="E141">
            <v>1.2999999999999999E-2</v>
          </cell>
          <cell r="F141">
            <v>1.17E-2</v>
          </cell>
        </row>
        <row r="142">
          <cell r="A142" t="str">
            <v>PA00039</v>
          </cell>
          <cell r="B142" t="str">
            <v>Ginger Crunch'ems Film</v>
          </cell>
          <cell r="C142" t="str">
            <v>Packaging</v>
          </cell>
          <cell r="D142" t="str">
            <v>Each</v>
          </cell>
          <cell r="E142">
            <v>1.41E-2</v>
          </cell>
          <cell r="F142">
            <v>1.269E-2</v>
          </cell>
        </row>
        <row r="143">
          <cell r="A143" t="str">
            <v>PA00042</v>
          </cell>
          <cell r="B143" t="str">
            <v>ECB HC Butter Crunch Film</v>
          </cell>
          <cell r="C143" t="str">
            <v>Packaging</v>
          </cell>
          <cell r="D143" t="str">
            <v>Each</v>
          </cell>
          <cell r="E143">
            <v>1.9199999999999998E-2</v>
          </cell>
          <cell r="F143">
            <v>1.728E-2</v>
          </cell>
        </row>
        <row r="144">
          <cell r="A144" t="str">
            <v>NEWPA43</v>
          </cell>
          <cell r="B144" t="str">
            <v>PL - Co-op Irresistible Salted Caramel Cookies_Case</v>
          </cell>
          <cell r="C144" t="str">
            <v>Packaging</v>
          </cell>
          <cell r="D144" t="str">
            <v>Each</v>
          </cell>
          <cell r="E144">
            <v>0.2248</v>
          </cell>
          <cell r="F144">
            <v>0.20232</v>
          </cell>
        </row>
        <row r="145">
          <cell r="A145" t="str">
            <v>PA00046</v>
          </cell>
          <cell r="B145" t="str">
            <v>ECB HC Butter Crunch Outers X 12</v>
          </cell>
          <cell r="C145" t="str">
            <v>Packaging</v>
          </cell>
          <cell r="D145" t="str">
            <v>Each</v>
          </cell>
          <cell r="E145">
            <v>0.19889999999999999</v>
          </cell>
          <cell r="F145">
            <v>0.17901</v>
          </cell>
        </row>
        <row r="146">
          <cell r="A146" t="str">
            <v>PA00076</v>
          </cell>
          <cell r="B146" t="str">
            <v>ECB Crunchems Coconut Crunch ( Outers ) USA</v>
          </cell>
          <cell r="C146" t="str">
            <v>Packaging</v>
          </cell>
          <cell r="D146" t="str">
            <v>Each</v>
          </cell>
          <cell r="E146">
            <v>0.223</v>
          </cell>
          <cell r="F146">
            <v>0.20070000000000002</v>
          </cell>
        </row>
        <row r="147">
          <cell r="A147" t="str">
            <v>PA00077</v>
          </cell>
          <cell r="B147" t="str">
            <v>ECB Crunchems Ginger Crunch ( Outers ) USA</v>
          </cell>
          <cell r="C147" t="str">
            <v>Packaging</v>
          </cell>
          <cell r="D147" t="str">
            <v>Each</v>
          </cell>
          <cell r="E147">
            <v>0.223</v>
          </cell>
          <cell r="F147">
            <v>0.20070000000000002</v>
          </cell>
        </row>
        <row r="148">
          <cell r="A148" t="str">
            <v>PA00078</v>
          </cell>
          <cell r="B148" t="str">
            <v>ECB Butter Crunch Choc Enrobed ( outers ) USA</v>
          </cell>
          <cell r="C148" t="str">
            <v>Packaging</v>
          </cell>
          <cell r="D148" t="str">
            <v>Each</v>
          </cell>
          <cell r="E148">
            <v>0.2175</v>
          </cell>
          <cell r="F148">
            <v>0.19575000000000001</v>
          </cell>
        </row>
        <row r="149">
          <cell r="A149" t="str">
            <v>NEWPA45</v>
          </cell>
          <cell r="B149" t="str">
            <v>PL - Co-op Irresistible White Chocolate Cookies_Case</v>
          </cell>
          <cell r="C149" t="str">
            <v>Packaging</v>
          </cell>
          <cell r="D149" t="str">
            <v>Each</v>
          </cell>
          <cell r="E149">
            <v>0.2248</v>
          </cell>
          <cell r="F149">
            <v>0.20232</v>
          </cell>
        </row>
        <row r="150">
          <cell r="A150" t="str">
            <v>PA00067</v>
          </cell>
          <cell r="B150" t="str">
            <v>ECB Milk Chocolate Enrobed Butter Crunch ( US ) Film</v>
          </cell>
          <cell r="C150" t="str">
            <v>Packaging</v>
          </cell>
          <cell r="D150" t="str">
            <v>Each</v>
          </cell>
          <cell r="E150">
            <v>1.7100000000000001E-2</v>
          </cell>
          <cell r="F150">
            <v>1.5390000000000001E-2</v>
          </cell>
        </row>
        <row r="151">
          <cell r="A151" t="str">
            <v>PA00068</v>
          </cell>
          <cell r="B151" t="str">
            <v>ECB Coconut Crunch ( US ) Film</v>
          </cell>
          <cell r="C151" t="str">
            <v>Packaging</v>
          </cell>
          <cell r="D151" t="str">
            <v>Each</v>
          </cell>
          <cell r="E151">
            <v>1.7100000000000001E-2</v>
          </cell>
          <cell r="F151">
            <v>1.5390000000000001E-2</v>
          </cell>
        </row>
        <row r="152">
          <cell r="A152" t="str">
            <v>PA00069</v>
          </cell>
          <cell r="B152" t="str">
            <v>ECB Ginger Crunch ( US ) Film</v>
          </cell>
          <cell r="C152" t="str">
            <v>Packaging</v>
          </cell>
          <cell r="D152" t="str">
            <v>Each</v>
          </cell>
          <cell r="E152">
            <v>1.7100000000000001E-2</v>
          </cell>
          <cell r="F152">
            <v>1.5390000000000001E-2</v>
          </cell>
        </row>
        <row r="153">
          <cell r="A153" t="str">
            <v>NEWPA42</v>
          </cell>
          <cell r="B153" t="str">
            <v>PL - Co-op Irresistible Salted Caramel Cookies_Film</v>
          </cell>
          <cell r="C153" t="str">
            <v>Packaging</v>
          </cell>
          <cell r="D153" t="str">
            <v>Each</v>
          </cell>
          <cell r="E153">
            <v>1.4200000000000001E-2</v>
          </cell>
          <cell r="F153">
            <v>1.2780000000000001E-2</v>
          </cell>
        </row>
        <row r="154">
          <cell r="A154" t="str">
            <v>NewPA27</v>
          </cell>
          <cell r="B154" t="str">
            <v>2 x 24 pack Caramel &amp; Pecan_Film</v>
          </cell>
          <cell r="C154" t="str">
            <v>Packaging</v>
          </cell>
          <cell r="D154" t="str">
            <v>Each</v>
          </cell>
          <cell r="E154">
            <v>1.4200000000000001E-2</v>
          </cell>
          <cell r="F154">
            <v>1.2780000000000001E-2</v>
          </cell>
        </row>
        <row r="155">
          <cell r="A155" t="str">
            <v>NEWPA27</v>
          </cell>
          <cell r="B155" t="str">
            <v>2 x 24 pack Caramel &amp; Pecan_Film</v>
          </cell>
          <cell r="C155" t="str">
            <v>Packaging</v>
          </cell>
          <cell r="D155" t="str">
            <v>Each</v>
          </cell>
          <cell r="E155">
            <v>1.4200000000000001E-2</v>
          </cell>
          <cell r="F155">
            <v>1.2780000000000001E-2</v>
          </cell>
        </row>
        <row r="156">
          <cell r="A156" t="str">
            <v>NewPA28</v>
          </cell>
          <cell r="B156" t="str">
            <v>2 x 24 pack Caramel &amp; Pecan_Case</v>
          </cell>
          <cell r="C156" t="str">
            <v>Packaging</v>
          </cell>
          <cell r="D156" t="str">
            <v>Each</v>
          </cell>
          <cell r="E156">
            <v>0.2248</v>
          </cell>
          <cell r="F156">
            <v>0.20232</v>
          </cell>
        </row>
        <row r="157">
          <cell r="A157" t="str">
            <v>NEWPA28</v>
          </cell>
          <cell r="B157" t="str">
            <v>2 x 24 pack Caramel &amp; Pecan_Case</v>
          </cell>
          <cell r="C157" t="str">
            <v>Packaging</v>
          </cell>
          <cell r="D157" t="str">
            <v>Each</v>
          </cell>
          <cell r="E157">
            <v>0.2248</v>
          </cell>
          <cell r="F157">
            <v>0.20232</v>
          </cell>
        </row>
        <row r="158">
          <cell r="A158" t="str">
            <v>NewPA29</v>
          </cell>
          <cell r="B158" t="str">
            <v>2 x 24 pack Granola_Film</v>
          </cell>
          <cell r="C158" t="str">
            <v>Packaging</v>
          </cell>
          <cell r="D158" t="str">
            <v>Each</v>
          </cell>
          <cell r="E158">
            <v>1.4200000000000001E-2</v>
          </cell>
          <cell r="F158">
            <v>1.2780000000000001E-2</v>
          </cell>
        </row>
        <row r="159">
          <cell r="A159" t="str">
            <v>NEWPA29</v>
          </cell>
          <cell r="B159" t="str">
            <v>2 x 24 pack Granola_Film</v>
          </cell>
          <cell r="C159" t="str">
            <v>Packaging</v>
          </cell>
          <cell r="D159" t="str">
            <v>Each</v>
          </cell>
          <cell r="E159">
            <v>1.4200000000000001E-2</v>
          </cell>
          <cell r="F159">
            <v>1.2780000000000001E-2</v>
          </cell>
        </row>
        <row r="160">
          <cell r="A160" t="str">
            <v>PA00062</v>
          </cell>
          <cell r="B160" t="str">
            <v>ECB Twin Choc Chunk Catering Pack Film</v>
          </cell>
          <cell r="C160" t="str">
            <v>Packaging</v>
          </cell>
          <cell r="D160" t="str">
            <v>Each</v>
          </cell>
          <cell r="E160">
            <v>1.4200000000000001E-2</v>
          </cell>
          <cell r="F160">
            <v>1.2780000000000001E-2</v>
          </cell>
        </row>
        <row r="161">
          <cell r="A161" t="str">
            <v>NewPA30</v>
          </cell>
          <cell r="B161" t="str">
            <v>2 x 24 pack Granola_Case</v>
          </cell>
          <cell r="C161" t="str">
            <v>Packaging</v>
          </cell>
          <cell r="D161" t="str">
            <v>Each</v>
          </cell>
          <cell r="E161">
            <v>0.2248</v>
          </cell>
          <cell r="F161">
            <v>0.20232</v>
          </cell>
        </row>
        <row r="162">
          <cell r="A162" t="str">
            <v>NEWPA30</v>
          </cell>
          <cell r="B162" t="str">
            <v>2 x 24 pack Granola_Case</v>
          </cell>
          <cell r="C162" t="str">
            <v>Packaging</v>
          </cell>
          <cell r="D162" t="str">
            <v>Each</v>
          </cell>
          <cell r="E162">
            <v>0.2248</v>
          </cell>
          <cell r="F162">
            <v>0.20232</v>
          </cell>
        </row>
        <row r="163">
          <cell r="A163" t="str">
            <v>PA00065</v>
          </cell>
          <cell r="B163" t="str">
            <v>Irish Girl Guides Choc Chip Cookie Film</v>
          </cell>
          <cell r="C163" t="str">
            <v>Packaging</v>
          </cell>
          <cell r="D163" t="str">
            <v>Each</v>
          </cell>
          <cell r="E163">
            <v>1.6E-2</v>
          </cell>
          <cell r="F163">
            <v>1.4E-2</v>
          </cell>
        </row>
        <row r="164">
          <cell r="A164" t="str">
            <v>PA00047</v>
          </cell>
          <cell r="B164" t="str">
            <v>Girl Guide Outers</v>
          </cell>
          <cell r="C164" t="str">
            <v>Packaging</v>
          </cell>
          <cell r="D164" t="str">
            <v>Each</v>
          </cell>
          <cell r="E164">
            <v>0.22500000000000001</v>
          </cell>
          <cell r="F164">
            <v>0.2</v>
          </cell>
        </row>
        <row r="165">
          <cell r="A165" t="str">
            <v>PA00035</v>
          </cell>
          <cell r="B165" t="str">
            <v>Oh My Half Emrobbed Choc Chip cookie film</v>
          </cell>
          <cell r="C165" t="str">
            <v>Packaging</v>
          </cell>
          <cell r="D165" t="str">
            <v>Each</v>
          </cell>
          <cell r="E165">
            <v>1.6E-2</v>
          </cell>
          <cell r="F165">
            <v>1.4E-2</v>
          </cell>
        </row>
        <row r="166">
          <cell r="A166" t="str">
            <v>PA00036</v>
          </cell>
          <cell r="B166" t="str">
            <v>Oh My Half Emrobbed Choc chip Outer X 24</v>
          </cell>
          <cell r="C166" t="str">
            <v>Packaging</v>
          </cell>
          <cell r="D166" t="str">
            <v>Each</v>
          </cell>
          <cell r="E166">
            <v>0.22500000000000001</v>
          </cell>
          <cell r="F166">
            <v>0.2</v>
          </cell>
        </row>
        <row r="167">
          <cell r="A167" t="str">
            <v>PA00009</v>
          </cell>
          <cell r="B167" t="str">
            <v>Machine Tape 50M x 900 Mtrs</v>
          </cell>
        </row>
        <row r="168">
          <cell r="A168" t="str">
            <v>PA00017</v>
          </cell>
          <cell r="B168" t="str">
            <v>Blue Topcovers 750/1000 x1500x50mm</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Cover"/>
      <sheetName val="Table of Contents"/>
      <sheetName val="P&amp;L Plan Format I"/>
      <sheetName val="Profit and Loss Account H"/>
      <sheetName val="Balance Sheet"/>
      <sheetName val="Cashflow Statement"/>
      <sheetName val="Cashflow Budget"/>
      <sheetName val="Ops Overheads"/>
      <sheetName val="Tech Overheads"/>
      <sheetName val="NPD Overheads"/>
      <sheetName val="Marketing Overheads"/>
      <sheetName val="Sales Overheads"/>
      <sheetName val="Finance Overheads"/>
      <sheetName val="Jun accruals"/>
      <sheetName val="current ytd tb"/>
      <sheetName val="lookups"/>
      <sheetName val="Prev YTD tb"/>
      <sheetName val="cost centre reports"/>
      <sheetName val="Salaries Pivot"/>
      <sheetName val="Overheads"/>
      <sheetName val="NPD OH budget"/>
      <sheetName val="BS Monthly Budget"/>
      <sheetName val="Monthly P&amp;L budget"/>
      <sheetName val="Budget OH"/>
      <sheetName val="Budget FY2019 d11"/>
      <sheetName val="Budget FY2019 d12"/>
      <sheetName val="Budget FY2019 d13"/>
      <sheetName val="Budget FY2019 D15"/>
      <sheetName val="Budget FY2019 D16"/>
    </sheetNames>
    <sheetDataSet>
      <sheetData sheetId="0" refreshError="1"/>
      <sheetData sheetId="1">
        <row r="20">
          <cell r="D20">
            <v>5</v>
          </cell>
        </row>
        <row r="22">
          <cell r="D22" t="str">
            <v>5 August 2018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A1" t="str">
            <v>G/L Acct/BP Code</v>
          </cell>
        </row>
      </sheetData>
      <sheetData sheetId="17">
        <row r="2">
          <cell r="A2">
            <v>110000</v>
          </cell>
          <cell r="B2" t="str">
            <v>Freehold Land</v>
          </cell>
          <cell r="E2">
            <v>859633</v>
          </cell>
        </row>
        <row r="3">
          <cell r="A3">
            <v>110020</v>
          </cell>
          <cell r="B3" t="str">
            <v>Buildings</v>
          </cell>
          <cell r="E3">
            <v>1749967</v>
          </cell>
        </row>
        <row r="4">
          <cell r="A4">
            <v>110520</v>
          </cell>
          <cell r="B4" t="str">
            <v>Accumulated Depreciation - Buildings</v>
          </cell>
          <cell r="D4">
            <v>11668</v>
          </cell>
          <cell r="E4">
            <v>-116667</v>
          </cell>
        </row>
        <row r="5">
          <cell r="A5">
            <v>111000</v>
          </cell>
          <cell r="B5" t="str">
            <v>Plant and Machinery</v>
          </cell>
          <cell r="C5">
            <v>84569.29</v>
          </cell>
          <cell r="D5">
            <v>14512.01</v>
          </cell>
          <cell r="E5">
            <v>8587106.9900000002</v>
          </cell>
        </row>
        <row r="6">
          <cell r="A6">
            <v>111500</v>
          </cell>
          <cell r="B6" t="str">
            <v>Accumulated Depreciation - Plant and Machinery</v>
          </cell>
          <cell r="D6">
            <v>285942</v>
          </cell>
          <cell r="E6">
            <v>-1838172</v>
          </cell>
        </row>
        <row r="7">
          <cell r="A7">
            <v>111001</v>
          </cell>
          <cell r="B7" t="str">
            <v>Production Rollers</v>
          </cell>
          <cell r="C7">
            <v>38838.639999999999</v>
          </cell>
          <cell r="D7">
            <v>0</v>
          </cell>
          <cell r="E7">
            <v>45368.639999999999</v>
          </cell>
        </row>
        <row r="8">
          <cell r="A8">
            <v>112000</v>
          </cell>
          <cell r="B8" t="str">
            <v>Office Equipment</v>
          </cell>
          <cell r="E8">
            <v>4325</v>
          </cell>
        </row>
        <row r="9">
          <cell r="A9">
            <v>112010</v>
          </cell>
          <cell r="B9" t="str">
            <v>Furniture &amp; Fittings</v>
          </cell>
          <cell r="E9">
            <v>54763.47</v>
          </cell>
        </row>
        <row r="10">
          <cell r="A10">
            <v>112020</v>
          </cell>
          <cell r="B10" t="str">
            <v>IT Equipment</v>
          </cell>
          <cell r="C10">
            <v>640</v>
          </cell>
          <cell r="D10">
            <v>640</v>
          </cell>
          <cell r="E10">
            <v>102280.84</v>
          </cell>
        </row>
        <row r="11">
          <cell r="A11">
            <v>112500</v>
          </cell>
          <cell r="B11" t="str">
            <v>Accumulated Depreciation - Office Equipment</v>
          </cell>
          <cell r="C11">
            <v>0</v>
          </cell>
          <cell r="D11">
            <v>288</v>
          </cell>
          <cell r="E11">
            <v>-690</v>
          </cell>
        </row>
        <row r="12">
          <cell r="A12">
            <v>112510</v>
          </cell>
          <cell r="B12" t="str">
            <v>Accumulated Depreciation - Furniture &amp; Fittings</v>
          </cell>
          <cell r="D12">
            <v>3652</v>
          </cell>
          <cell r="E12">
            <v>-35519.67</v>
          </cell>
        </row>
        <row r="13">
          <cell r="A13">
            <v>112511</v>
          </cell>
          <cell r="B13" t="str">
            <v>Accumulated Depreciation - Production Rollers</v>
          </cell>
          <cell r="D13">
            <v>4770</v>
          </cell>
          <cell r="E13">
            <v>-4770</v>
          </cell>
        </row>
        <row r="14">
          <cell r="A14">
            <v>112520</v>
          </cell>
          <cell r="B14" t="str">
            <v>Accumulated Depreciation - IT Equipment</v>
          </cell>
          <cell r="D14">
            <v>6820</v>
          </cell>
          <cell r="E14">
            <v>-60897</v>
          </cell>
        </row>
        <row r="15">
          <cell r="A15">
            <v>130000</v>
          </cell>
          <cell r="B15" t="str">
            <v>Raw Materials return</v>
          </cell>
          <cell r="C15">
            <v>629154.30000000005</v>
          </cell>
          <cell r="D15">
            <v>635551.55000000005</v>
          </cell>
          <cell r="E15">
            <v>447039.3</v>
          </cell>
        </row>
        <row r="16">
          <cell r="A16">
            <v>130081</v>
          </cell>
          <cell r="B16" t="str">
            <v>Raw Materials Returns A/c</v>
          </cell>
          <cell r="E16">
            <v>3262</v>
          </cell>
        </row>
        <row r="17">
          <cell r="A17">
            <v>130090</v>
          </cell>
          <cell r="B17" t="str">
            <v>Raw Materials Goods Clearing</v>
          </cell>
          <cell r="D17">
            <v>15217.4</v>
          </cell>
          <cell r="E17">
            <v>-17225.009999999998</v>
          </cell>
        </row>
        <row r="18">
          <cell r="A18">
            <v>130110</v>
          </cell>
          <cell r="B18" t="str">
            <v>Packaging Materials</v>
          </cell>
          <cell r="C18">
            <v>32546.29</v>
          </cell>
        </row>
        <row r="19">
          <cell r="A19">
            <v>131000</v>
          </cell>
          <cell r="B19" t="str">
            <v>Work in Progress</v>
          </cell>
          <cell r="C19">
            <v>850599.92</v>
          </cell>
          <cell r="D19">
            <v>855634.15</v>
          </cell>
          <cell r="E19">
            <v>168.28</v>
          </cell>
        </row>
        <row r="20">
          <cell r="A20">
            <v>132000</v>
          </cell>
          <cell r="B20" t="str">
            <v>Finished Product</v>
          </cell>
          <cell r="C20">
            <v>1130783.8400000001</v>
          </cell>
          <cell r="D20">
            <v>1104435.8799999999</v>
          </cell>
          <cell r="E20">
            <v>108833.92</v>
          </cell>
        </row>
        <row r="21">
          <cell r="A21">
            <v>132008</v>
          </cell>
          <cell r="B21" t="str">
            <v>Fin. Products Returns</v>
          </cell>
          <cell r="C21">
            <v>46647.01</v>
          </cell>
          <cell r="E21">
            <v>120147.96</v>
          </cell>
        </row>
        <row r="22">
          <cell r="A22">
            <v>133000</v>
          </cell>
          <cell r="B22" t="str">
            <v>Eng Spare Parts</v>
          </cell>
          <cell r="C22">
            <v>1748.81</v>
          </cell>
          <cell r="E22">
            <v>28795.37</v>
          </cell>
        </row>
        <row r="23">
          <cell r="A23">
            <v>133010</v>
          </cell>
          <cell r="B23" t="str">
            <v>Crates &amp; Pallets</v>
          </cell>
          <cell r="C23">
            <v>1023.53</v>
          </cell>
          <cell r="E23">
            <v>12947.13</v>
          </cell>
        </row>
        <row r="24">
          <cell r="A24">
            <v>134000</v>
          </cell>
          <cell r="B24" t="str">
            <v>NPD Finished Goods</v>
          </cell>
        </row>
        <row r="25">
          <cell r="A25">
            <v>140000</v>
          </cell>
          <cell r="B25" t="str">
            <v>Trade Debtors (domestic)</v>
          </cell>
          <cell r="C25">
            <v>859671.17</v>
          </cell>
          <cell r="D25">
            <v>710882.51</v>
          </cell>
          <cell r="E25">
            <v>374300.03</v>
          </cell>
        </row>
        <row r="26">
          <cell r="A26">
            <v>140030</v>
          </cell>
          <cell r="B26" t="str">
            <v>Trade Debtors (foreign)</v>
          </cell>
          <cell r="C26">
            <v>224883.38</v>
          </cell>
          <cell r="D26">
            <v>160039.5</v>
          </cell>
          <cell r="E26">
            <v>140210.60999999999</v>
          </cell>
        </row>
        <row r="27">
          <cell r="A27">
            <v>140090</v>
          </cell>
          <cell r="B27" t="str">
            <v>Invoice Finance Euro Control Account</v>
          </cell>
          <cell r="C27">
            <v>387249.07</v>
          </cell>
          <cell r="D27">
            <v>483382.55</v>
          </cell>
          <cell r="E27">
            <v>-135837.68</v>
          </cell>
        </row>
        <row r="28">
          <cell r="A28">
            <v>140092</v>
          </cell>
          <cell r="B28" t="str">
            <v>Invoice Finance Sterling Control Account</v>
          </cell>
          <cell r="C28">
            <v>78268.69</v>
          </cell>
          <cell r="D28">
            <v>79579.12</v>
          </cell>
          <cell r="E28">
            <v>-40811.85</v>
          </cell>
        </row>
        <row r="29">
          <cell r="A29">
            <v>140100</v>
          </cell>
          <cell r="B29" t="str">
            <v>Credit Note Provision</v>
          </cell>
        </row>
        <row r="30">
          <cell r="A30">
            <v>140110</v>
          </cell>
          <cell r="B30" t="str">
            <v>Credit Card Settlement</v>
          </cell>
          <cell r="C30">
            <v>0</v>
          </cell>
          <cell r="D30">
            <v>0</v>
          </cell>
          <cell r="E30">
            <v>0</v>
          </cell>
        </row>
        <row r="31">
          <cell r="A31">
            <v>143010</v>
          </cell>
          <cell r="B31" t="str">
            <v>Grant Receivable</v>
          </cell>
        </row>
        <row r="32">
          <cell r="A32">
            <v>143020</v>
          </cell>
          <cell r="B32" t="str">
            <v>Other Debtors</v>
          </cell>
          <cell r="E32">
            <v>100</v>
          </cell>
        </row>
        <row r="33">
          <cell r="A33">
            <v>143030</v>
          </cell>
          <cell r="B33" t="str">
            <v>VAT Receivable (Input Tax)</v>
          </cell>
          <cell r="C33">
            <v>86650.240000000005</v>
          </cell>
          <cell r="D33">
            <v>90511.24</v>
          </cell>
          <cell r="E33">
            <v>45925.61</v>
          </cell>
        </row>
        <row r="34">
          <cell r="A34">
            <v>143031</v>
          </cell>
          <cell r="B34" t="str">
            <v>UK Input Tax</v>
          </cell>
          <cell r="C34">
            <v>6900.55</v>
          </cell>
          <cell r="D34">
            <v>10863.12</v>
          </cell>
        </row>
        <row r="35">
          <cell r="A35">
            <v>143032</v>
          </cell>
          <cell r="B35" t="str">
            <v>EU Input Tax</v>
          </cell>
          <cell r="C35">
            <v>522.87</v>
          </cell>
          <cell r="D35">
            <v>0</v>
          </cell>
          <cell r="E35">
            <v>522.87</v>
          </cell>
        </row>
        <row r="36">
          <cell r="A36">
            <v>144010</v>
          </cell>
          <cell r="B36" t="str">
            <v>Prepayments</v>
          </cell>
          <cell r="C36">
            <v>111672.25</v>
          </cell>
          <cell r="D36">
            <v>28930.25</v>
          </cell>
          <cell r="E36">
            <v>342999.07</v>
          </cell>
        </row>
        <row r="37">
          <cell r="A37">
            <v>160000</v>
          </cell>
          <cell r="B37" t="str">
            <v>Petty Cash</v>
          </cell>
          <cell r="C37">
            <v>246.48</v>
          </cell>
          <cell r="D37">
            <v>322.58</v>
          </cell>
          <cell r="E37">
            <v>3.94</v>
          </cell>
        </row>
        <row r="38">
          <cell r="A38">
            <v>161010</v>
          </cell>
          <cell r="B38" t="str">
            <v>Ulster Bank Account Current</v>
          </cell>
          <cell r="C38">
            <v>3042704.77</v>
          </cell>
          <cell r="D38">
            <v>3017042.36</v>
          </cell>
          <cell r="E38">
            <v>53178.63</v>
          </cell>
        </row>
        <row r="39">
          <cell r="A39">
            <v>161011</v>
          </cell>
          <cell r="B39" t="str">
            <v>Ulster Bank Liquidity Select Account</v>
          </cell>
          <cell r="C39">
            <v>715004.52</v>
          </cell>
          <cell r="D39">
            <v>1430000</v>
          </cell>
          <cell r="E39">
            <v>60055.040000000001</v>
          </cell>
        </row>
        <row r="40">
          <cell r="A40">
            <v>161012</v>
          </cell>
          <cell r="B40" t="str">
            <v>Ulster Bank Liquidity Manager Account</v>
          </cell>
          <cell r="C40">
            <v>2.9</v>
          </cell>
          <cell r="D40">
            <v>23566.06</v>
          </cell>
          <cell r="E40">
            <v>103745.89</v>
          </cell>
        </row>
        <row r="41">
          <cell r="A41">
            <v>161015</v>
          </cell>
          <cell r="B41" t="str">
            <v>Ulster Bank Sterling Bank Account</v>
          </cell>
          <cell r="C41">
            <v>451507.34</v>
          </cell>
          <cell r="D41">
            <v>417252.96</v>
          </cell>
          <cell r="E41">
            <v>38200.879999999997</v>
          </cell>
        </row>
        <row r="42">
          <cell r="A42">
            <v>161020</v>
          </cell>
          <cell r="B42" t="str">
            <v>Deactivated Ulster Bank Sterling Account</v>
          </cell>
        </row>
        <row r="43">
          <cell r="A43">
            <v>202000</v>
          </cell>
          <cell r="B43" t="str">
            <v>VAT Suspense Account</v>
          </cell>
          <cell r="C43">
            <v>135.15</v>
          </cell>
          <cell r="D43">
            <v>135.35</v>
          </cell>
          <cell r="E43">
            <v>-0.2</v>
          </cell>
        </row>
        <row r="44">
          <cell r="A44">
            <v>203000</v>
          </cell>
          <cell r="B44" t="str">
            <v>Trade Creditors (domestic)</v>
          </cell>
          <cell r="C44">
            <v>1284828.6000000001</v>
          </cell>
          <cell r="D44">
            <v>1183820.1200000001</v>
          </cell>
          <cell r="E44">
            <v>-340028.34</v>
          </cell>
        </row>
        <row r="45">
          <cell r="A45">
            <v>203030</v>
          </cell>
          <cell r="B45" t="str">
            <v>Trade Creditors (foreign)</v>
          </cell>
          <cell r="C45">
            <v>175259.68</v>
          </cell>
          <cell r="D45">
            <v>173227.29</v>
          </cell>
          <cell r="E45">
            <v>-17843.18</v>
          </cell>
        </row>
        <row r="46">
          <cell r="A46">
            <v>207000</v>
          </cell>
          <cell r="B46" t="str">
            <v>VAT Payable  (output Tax)</v>
          </cell>
          <cell r="C46">
            <v>135337.99</v>
          </cell>
          <cell r="D46">
            <v>100719.3</v>
          </cell>
          <cell r="E46">
            <v>3203.01</v>
          </cell>
        </row>
        <row r="47">
          <cell r="A47">
            <v>207030</v>
          </cell>
          <cell r="B47" t="str">
            <v>PAYE Tax Payable</v>
          </cell>
          <cell r="C47">
            <v>164588.35</v>
          </cell>
          <cell r="D47">
            <v>163677.10999999999</v>
          </cell>
          <cell r="E47">
            <v>-42009.97</v>
          </cell>
        </row>
        <row r="48">
          <cell r="A48">
            <v>207050</v>
          </cell>
          <cell r="B48" t="str">
            <v>Corporation Tax due &lt;1 year</v>
          </cell>
          <cell r="E48">
            <v>282</v>
          </cell>
        </row>
        <row r="49">
          <cell r="A49">
            <v>207060</v>
          </cell>
          <cell r="B49" t="str">
            <v>Payroll Control Account</v>
          </cell>
          <cell r="C49">
            <v>375119.48</v>
          </cell>
          <cell r="D49">
            <v>376305.17</v>
          </cell>
          <cell r="E49">
            <v>-10471.629999999999</v>
          </cell>
        </row>
        <row r="50">
          <cell r="A50">
            <v>207070</v>
          </cell>
          <cell r="B50" t="str">
            <v>Employees Pension Payments</v>
          </cell>
          <cell r="C50">
            <v>26506.75</v>
          </cell>
          <cell r="D50">
            <v>23215.4</v>
          </cell>
          <cell r="E50">
            <v>7339.31</v>
          </cell>
        </row>
        <row r="51">
          <cell r="A51">
            <v>207090</v>
          </cell>
          <cell r="B51" t="str">
            <v>Other Employee Deductions</v>
          </cell>
          <cell r="D51">
            <v>699</v>
          </cell>
          <cell r="E51">
            <v>-699</v>
          </cell>
        </row>
        <row r="52">
          <cell r="A52">
            <v>208010</v>
          </cell>
          <cell r="B52" t="str">
            <v>Interest Accrual</v>
          </cell>
          <cell r="C52">
            <v>104857</v>
          </cell>
          <cell r="D52">
            <v>42000</v>
          </cell>
        </row>
        <row r="53">
          <cell r="A53">
            <v>208011</v>
          </cell>
          <cell r="B53" t="str">
            <v>Interest accrual subord loan</v>
          </cell>
          <cell r="D53">
            <v>509241</v>
          </cell>
          <cell r="E53">
            <v>-509241</v>
          </cell>
        </row>
        <row r="54">
          <cell r="A54">
            <v>208025</v>
          </cell>
          <cell r="B54" t="str">
            <v>Payroll Accruals</v>
          </cell>
          <cell r="C54">
            <v>197776</v>
          </cell>
          <cell r="D54">
            <v>179192</v>
          </cell>
          <cell r="E54">
            <v>-34596.379999999997</v>
          </cell>
        </row>
        <row r="55">
          <cell r="A55">
            <v>208030</v>
          </cell>
          <cell r="B55" t="str">
            <v>General Accruals</v>
          </cell>
          <cell r="C55">
            <v>815998.56</v>
          </cell>
          <cell r="D55">
            <v>806181</v>
          </cell>
          <cell r="E55">
            <v>-237298.65</v>
          </cell>
        </row>
        <row r="56">
          <cell r="A56">
            <v>208040</v>
          </cell>
          <cell r="B56" t="str">
            <v>Goods Received Not Invoiced (GRNI) Clearing</v>
          </cell>
          <cell r="C56">
            <v>573312.32999999996</v>
          </cell>
          <cell r="D56">
            <v>568561.28</v>
          </cell>
          <cell r="E56">
            <v>-61853.02</v>
          </cell>
        </row>
        <row r="57">
          <cell r="A57">
            <v>208065</v>
          </cell>
          <cell r="B57" t="str">
            <v>Insurance Control Account</v>
          </cell>
        </row>
        <row r="58">
          <cell r="A58">
            <v>208070</v>
          </cell>
          <cell r="B58" t="str">
            <v>Credit Card Control Account</v>
          </cell>
          <cell r="C58">
            <v>19671.54</v>
          </cell>
          <cell r="D58">
            <v>19509.990000000002</v>
          </cell>
          <cell r="E58">
            <v>-2153.9</v>
          </cell>
        </row>
        <row r="59">
          <cell r="A59">
            <v>208090</v>
          </cell>
          <cell r="B59" t="str">
            <v>Capital Expenditure Accruals</v>
          </cell>
          <cell r="C59">
            <v>114490.5</v>
          </cell>
          <cell r="D59">
            <v>48841</v>
          </cell>
          <cell r="E59">
            <v>-280652.82</v>
          </cell>
        </row>
        <row r="60">
          <cell r="A60">
            <v>221000</v>
          </cell>
          <cell r="B60" t="str">
            <v>Ulster Bank Loan Facility A</v>
          </cell>
          <cell r="E60">
            <v>-4428441.95</v>
          </cell>
        </row>
        <row r="61">
          <cell r="A61">
            <v>221010</v>
          </cell>
          <cell r="B61" t="str">
            <v>Ulster Bank Loan Facility B (15 yr)</v>
          </cell>
          <cell r="E61">
            <v>-1242975.82</v>
          </cell>
        </row>
        <row r="62">
          <cell r="A62">
            <v>221040</v>
          </cell>
          <cell r="B62" t="str">
            <v>Do Not Use - bank interest paid</v>
          </cell>
        </row>
        <row r="63">
          <cell r="A63">
            <v>227010</v>
          </cell>
          <cell r="B63" t="str">
            <v>Other Creditors due within 1-5 years</v>
          </cell>
          <cell r="D63">
            <v>800000</v>
          </cell>
          <cell r="E63">
            <v>-4300000</v>
          </cell>
        </row>
        <row r="64">
          <cell r="A64">
            <v>300000</v>
          </cell>
          <cell r="B64" t="str">
            <v>Ordinary Share Capital</v>
          </cell>
          <cell r="E64">
            <v>-5000100</v>
          </cell>
        </row>
        <row r="65">
          <cell r="A65">
            <v>300010</v>
          </cell>
          <cell r="B65" t="str">
            <v>Preference Share Capital</v>
          </cell>
          <cell r="E65">
            <v>-2254000</v>
          </cell>
        </row>
        <row r="66">
          <cell r="A66">
            <v>331000</v>
          </cell>
          <cell r="B66" t="str">
            <v>EI Investment</v>
          </cell>
          <cell r="C66">
            <v>43200</v>
          </cell>
          <cell r="E66">
            <v>-993600</v>
          </cell>
        </row>
        <row r="67">
          <cell r="A67">
            <v>340000</v>
          </cell>
          <cell r="B67" t="str">
            <v>Retained Earnings</v>
          </cell>
          <cell r="C67">
            <v>302333</v>
          </cell>
          <cell r="E67">
            <v>4669730.49</v>
          </cell>
        </row>
        <row r="68">
          <cell r="A68">
            <v>340001</v>
          </cell>
          <cell r="B68" t="str">
            <v>Period End Closing</v>
          </cell>
        </row>
        <row r="69">
          <cell r="A69">
            <v>334004</v>
          </cell>
          <cell r="B69" t="str">
            <v>O/B Fixed Assets</v>
          </cell>
        </row>
        <row r="70">
          <cell r="A70">
            <v>334005</v>
          </cell>
          <cell r="B70" t="str">
            <v>O/B Stock</v>
          </cell>
        </row>
        <row r="71">
          <cell r="A71">
            <v>334006</v>
          </cell>
          <cell r="B71" t="str">
            <v>O/B Bank</v>
          </cell>
        </row>
        <row r="72">
          <cell r="A72">
            <v>334007</v>
          </cell>
          <cell r="B72" t="str">
            <v>O/B Creditors</v>
          </cell>
        </row>
        <row r="73">
          <cell r="A73">
            <v>334008</v>
          </cell>
          <cell r="B73" t="str">
            <v>O/B Share Capital</v>
          </cell>
        </row>
        <row r="74">
          <cell r="A74">
            <v>400000</v>
          </cell>
          <cell r="B74" t="str">
            <v>Sales Revenue</v>
          </cell>
          <cell r="C74">
            <v>85270.399999999994</v>
          </cell>
          <cell r="D74">
            <v>899024.71</v>
          </cell>
          <cell r="E74">
            <v>-813754.30999999994</v>
          </cell>
        </row>
        <row r="75">
          <cell r="A75">
            <v>420000</v>
          </cell>
          <cell r="B75" t="str">
            <v>Staff Sales</v>
          </cell>
          <cell r="E75">
            <v>0</v>
          </cell>
        </row>
        <row r="76">
          <cell r="A76">
            <v>450001</v>
          </cell>
          <cell r="B76" t="str">
            <v>On invoice Discount allowed</v>
          </cell>
          <cell r="C76">
            <v>98960.39</v>
          </cell>
          <cell r="D76">
            <v>178.22</v>
          </cell>
          <cell r="E76">
            <v>98782.17</v>
          </cell>
        </row>
        <row r="77">
          <cell r="A77">
            <v>450002</v>
          </cell>
          <cell r="B77" t="str">
            <v>Off invoice Discount allowed</v>
          </cell>
          <cell r="C77">
            <v>67746.39</v>
          </cell>
          <cell r="D77">
            <v>12000</v>
          </cell>
          <cell r="E77">
            <v>55746.39</v>
          </cell>
        </row>
        <row r="78">
          <cell r="A78">
            <v>450020</v>
          </cell>
          <cell r="B78" t="str">
            <v>Sales Rebates</v>
          </cell>
          <cell r="E78">
            <v>0</v>
          </cell>
        </row>
        <row r="79">
          <cell r="A79">
            <v>450040</v>
          </cell>
          <cell r="B79" t="str">
            <v>Other Sales Deductions</v>
          </cell>
          <cell r="C79">
            <v>93481.9</v>
          </cell>
          <cell r="D79">
            <v>90209.56</v>
          </cell>
          <cell r="E79">
            <v>3272.3399999999965</v>
          </cell>
        </row>
        <row r="80">
          <cell r="A80">
            <v>500005</v>
          </cell>
          <cell r="B80" t="str">
            <v>Raw Materials - Cost of Goods Sold</v>
          </cell>
          <cell r="C80">
            <v>65438.15</v>
          </cell>
          <cell r="D80">
            <v>31882</v>
          </cell>
          <cell r="E80">
            <v>33556.15</v>
          </cell>
        </row>
        <row r="81">
          <cell r="A81">
            <v>500010</v>
          </cell>
          <cell r="B81" t="str">
            <v>Raw Materials - write off</v>
          </cell>
          <cell r="D81">
            <v>31882</v>
          </cell>
          <cell r="E81">
            <v>-31882</v>
          </cell>
        </row>
        <row r="82">
          <cell r="A82">
            <v>500025</v>
          </cell>
          <cell r="B82" t="str">
            <v>Finished Goods - Cost of Goods Sold</v>
          </cell>
          <cell r="C82">
            <v>601729.07999999996</v>
          </cell>
          <cell r="D82">
            <v>73928.240000000005</v>
          </cell>
          <cell r="E82">
            <v>527800.84</v>
          </cell>
        </row>
        <row r="83">
          <cell r="A83">
            <v>500030</v>
          </cell>
          <cell r="B83" t="str">
            <v>Finished Goods - write off</v>
          </cell>
          <cell r="D83">
            <v>21967.88</v>
          </cell>
          <cell r="E83">
            <v>-21967.88</v>
          </cell>
        </row>
        <row r="84">
          <cell r="A84">
            <v>500045</v>
          </cell>
          <cell r="B84" t="str">
            <v>Packing Materials - Cost of Goods Sold</v>
          </cell>
          <cell r="C84">
            <v>65092</v>
          </cell>
          <cell r="D84">
            <v>32546</v>
          </cell>
          <cell r="E84">
            <v>32546</v>
          </cell>
        </row>
        <row r="85">
          <cell r="A85">
            <v>500050</v>
          </cell>
          <cell r="B85" t="str">
            <v>Packing Materials - write off</v>
          </cell>
          <cell r="D85">
            <v>32546.29</v>
          </cell>
          <cell r="E85">
            <v>-32546.29</v>
          </cell>
        </row>
        <row r="86">
          <cell r="A86">
            <v>500105</v>
          </cell>
          <cell r="B86" t="str">
            <v>Comp.  Parts - Cost of Goods Sold</v>
          </cell>
          <cell r="E86">
            <v>0</v>
          </cell>
        </row>
        <row r="87">
          <cell r="A87">
            <v>500180</v>
          </cell>
          <cell r="B87" t="str">
            <v>Work in Progress - Inventory Change</v>
          </cell>
          <cell r="C87">
            <v>342914.9</v>
          </cell>
          <cell r="D87">
            <v>425560.41</v>
          </cell>
          <cell r="E87">
            <v>-82645.509999999951</v>
          </cell>
        </row>
        <row r="88">
          <cell r="A88">
            <v>500200</v>
          </cell>
          <cell r="B88" t="str">
            <v>Materials - Purchase Price Gains</v>
          </cell>
          <cell r="C88">
            <v>7387.94</v>
          </cell>
          <cell r="D88">
            <v>43214.720000000001</v>
          </cell>
          <cell r="E88">
            <v>-35826.78</v>
          </cell>
        </row>
        <row r="89">
          <cell r="A89">
            <v>500300</v>
          </cell>
          <cell r="B89" t="str">
            <v>Stock Revaluation Gains</v>
          </cell>
          <cell r="D89">
            <v>27027.51</v>
          </cell>
          <cell r="E89">
            <v>-27027.51</v>
          </cell>
        </row>
        <row r="90">
          <cell r="A90">
            <v>500310</v>
          </cell>
          <cell r="B90" t="str">
            <v>Stock Revaluation Losses</v>
          </cell>
          <cell r="C90">
            <v>5816.89</v>
          </cell>
          <cell r="D90">
            <v>0</v>
          </cell>
          <cell r="E90">
            <v>5816.89</v>
          </cell>
        </row>
        <row r="91">
          <cell r="A91">
            <v>500500</v>
          </cell>
          <cell r="B91" t="str">
            <v>Stock Difference Gains</v>
          </cell>
          <cell r="C91">
            <v>2877.62</v>
          </cell>
          <cell r="D91">
            <v>10050.719999999999</v>
          </cell>
          <cell r="E91">
            <v>-7173.0999999999995</v>
          </cell>
        </row>
        <row r="92">
          <cell r="A92">
            <v>500510</v>
          </cell>
          <cell r="B92" t="str">
            <v>Stock Difference Losses</v>
          </cell>
          <cell r="C92">
            <v>28089.62</v>
          </cell>
          <cell r="E92">
            <v>28089.62</v>
          </cell>
        </row>
        <row r="93">
          <cell r="A93">
            <v>500520</v>
          </cell>
          <cell r="B93" t="str">
            <v>Misc Stock Costs</v>
          </cell>
          <cell r="C93">
            <v>29148</v>
          </cell>
          <cell r="D93">
            <v>47946</v>
          </cell>
          <cell r="E93">
            <v>-18798</v>
          </cell>
        </row>
        <row r="94">
          <cell r="A94">
            <v>510000</v>
          </cell>
          <cell r="B94" t="str">
            <v>Salaries &amp; Wages - basic</v>
          </cell>
          <cell r="C94">
            <v>204096.09</v>
          </cell>
          <cell r="E94">
            <v>204096.09</v>
          </cell>
        </row>
        <row r="95">
          <cell r="A95">
            <v>510120</v>
          </cell>
          <cell r="B95" t="str">
            <v>Employers PRSI Contributions</v>
          </cell>
          <cell r="C95">
            <v>21983.18</v>
          </cell>
          <cell r="E95">
            <v>21983.18</v>
          </cell>
        </row>
        <row r="96">
          <cell r="A96">
            <v>510160</v>
          </cell>
          <cell r="B96" t="str">
            <v>Other Personnel Expenses</v>
          </cell>
          <cell r="E96">
            <v>0</v>
          </cell>
        </row>
        <row r="97">
          <cell r="A97">
            <v>520010</v>
          </cell>
          <cell r="B97" t="str">
            <v>Purchased Services - Additional Costs</v>
          </cell>
          <cell r="E97">
            <v>0</v>
          </cell>
        </row>
        <row r="98">
          <cell r="A98">
            <v>512010</v>
          </cell>
          <cell r="B98" t="str">
            <v>Media</v>
          </cell>
          <cell r="C98">
            <v>1184.54</v>
          </cell>
          <cell r="D98">
            <v>1104</v>
          </cell>
          <cell r="E98">
            <v>80.539999999999964</v>
          </cell>
        </row>
        <row r="99">
          <cell r="A99">
            <v>512020</v>
          </cell>
          <cell r="B99" t="str">
            <v>Trade Spend (Marketing)</v>
          </cell>
          <cell r="C99">
            <v>114367</v>
          </cell>
          <cell r="D99">
            <v>163329.56</v>
          </cell>
          <cell r="E99">
            <v>-48962.559999999998</v>
          </cell>
        </row>
        <row r="100">
          <cell r="A100">
            <v>512021</v>
          </cell>
          <cell r="B100" t="str">
            <v>Distributor Fee</v>
          </cell>
          <cell r="C100">
            <v>25820</v>
          </cell>
          <cell r="E100">
            <v>25820</v>
          </cell>
        </row>
        <row r="101">
          <cell r="A101">
            <v>512022</v>
          </cell>
          <cell r="B101" t="str">
            <v>Collection Fee</v>
          </cell>
          <cell r="C101">
            <v>3228</v>
          </cell>
          <cell r="E101">
            <v>3228</v>
          </cell>
        </row>
        <row r="102">
          <cell r="A102">
            <v>512030</v>
          </cell>
          <cell r="B102" t="str">
            <v>Marketing Support</v>
          </cell>
          <cell r="C102">
            <v>71360.81</v>
          </cell>
          <cell r="D102">
            <v>30272.720000000001</v>
          </cell>
          <cell r="E102">
            <v>41088.089999999997</v>
          </cell>
        </row>
        <row r="103">
          <cell r="A103">
            <v>512035</v>
          </cell>
          <cell r="B103" t="str">
            <v>Sampling</v>
          </cell>
          <cell r="E103">
            <v>0</v>
          </cell>
        </row>
        <row r="104">
          <cell r="A104">
            <v>512040</v>
          </cell>
          <cell r="B104" t="str">
            <v>Origination &amp; Artwork (Brand)</v>
          </cell>
          <cell r="C104">
            <v>17216.400000000001</v>
          </cell>
          <cell r="D104">
            <v>3500</v>
          </cell>
          <cell r="E104">
            <v>13716.400000000001</v>
          </cell>
        </row>
        <row r="105">
          <cell r="A105">
            <v>512041</v>
          </cell>
          <cell r="B105" t="str">
            <v>Origination &amp; Artwork (PL)</v>
          </cell>
          <cell r="C105">
            <v>4494.5600000000004</v>
          </cell>
          <cell r="D105">
            <v>3520</v>
          </cell>
          <cell r="E105">
            <v>974.5600000000004</v>
          </cell>
        </row>
        <row r="106">
          <cell r="A106">
            <v>512044</v>
          </cell>
          <cell r="B106" t="str">
            <v>Business Development</v>
          </cell>
          <cell r="C106">
            <v>12400.29</v>
          </cell>
          <cell r="D106">
            <v>0</v>
          </cell>
          <cell r="E106">
            <v>12400.29</v>
          </cell>
        </row>
        <row r="107">
          <cell r="A107">
            <v>512045</v>
          </cell>
          <cell r="B107" t="str">
            <v>Research</v>
          </cell>
          <cell r="C107">
            <v>10000</v>
          </cell>
          <cell r="E107">
            <v>10000</v>
          </cell>
        </row>
        <row r="108">
          <cell r="A108">
            <v>600000</v>
          </cell>
          <cell r="B108" t="str">
            <v>Inbound Freight &amp; Carriage</v>
          </cell>
          <cell r="C108">
            <v>3155.42</v>
          </cell>
          <cell r="E108">
            <v>3155.42</v>
          </cell>
        </row>
        <row r="109">
          <cell r="A109">
            <v>600010</v>
          </cell>
          <cell r="B109" t="str">
            <v>Outbound Freight &amp; Carriage</v>
          </cell>
          <cell r="C109">
            <v>301625.06</v>
          </cell>
          <cell r="D109">
            <v>216622.73</v>
          </cell>
          <cell r="E109">
            <v>85002.329999999987</v>
          </cell>
        </row>
        <row r="110">
          <cell r="A110">
            <v>600015</v>
          </cell>
          <cell r="B110" t="str">
            <v>Pallets Purchased</v>
          </cell>
          <cell r="C110">
            <v>3839.5</v>
          </cell>
          <cell r="D110">
            <v>97</v>
          </cell>
          <cell r="E110">
            <v>3742.5</v>
          </cell>
        </row>
        <row r="111">
          <cell r="A111">
            <v>605000</v>
          </cell>
          <cell r="B111" t="str">
            <v>Building Maintenance</v>
          </cell>
          <cell r="E111">
            <v>0</v>
          </cell>
        </row>
        <row r="112">
          <cell r="A112">
            <v>605010</v>
          </cell>
          <cell r="B112" t="str">
            <v>Machinery &amp; Equipment Maintenance</v>
          </cell>
          <cell r="C112">
            <v>4179.13</v>
          </cell>
          <cell r="E112">
            <v>4179.13</v>
          </cell>
        </row>
        <row r="113">
          <cell r="A113">
            <v>605020</v>
          </cell>
          <cell r="B113" t="str">
            <v>Repairs &amp; Renewals</v>
          </cell>
          <cell r="C113">
            <v>28990.82</v>
          </cell>
          <cell r="D113">
            <v>16213.82</v>
          </cell>
          <cell r="E113">
            <v>12777</v>
          </cell>
        </row>
        <row r="114">
          <cell r="A114">
            <v>605025</v>
          </cell>
          <cell r="B114" t="str">
            <v>Maintenance Tools &amp; Equipment</v>
          </cell>
          <cell r="C114">
            <v>6828.11</v>
          </cell>
          <cell r="D114">
            <v>1187.5899999999999</v>
          </cell>
          <cell r="E114">
            <v>5640.5199999999995</v>
          </cell>
        </row>
        <row r="115">
          <cell r="A115">
            <v>605030</v>
          </cell>
          <cell r="B115" t="str">
            <v>Other Maintenance Costs</v>
          </cell>
          <cell r="E115">
            <v>0</v>
          </cell>
        </row>
        <row r="116">
          <cell r="A116">
            <v>610000</v>
          </cell>
          <cell r="B116" t="str">
            <v>Electricity</v>
          </cell>
          <cell r="C116">
            <v>80470.720000000001</v>
          </cell>
          <cell r="D116">
            <v>46925</v>
          </cell>
          <cell r="E116">
            <v>33545.72</v>
          </cell>
        </row>
        <row r="117">
          <cell r="A117">
            <v>610010</v>
          </cell>
          <cell r="B117" t="str">
            <v>Water</v>
          </cell>
          <cell r="C117">
            <v>12046.37</v>
          </cell>
          <cell r="D117">
            <v>9000</v>
          </cell>
          <cell r="E117">
            <v>3046.3700000000008</v>
          </cell>
        </row>
        <row r="118">
          <cell r="A118">
            <v>610015</v>
          </cell>
          <cell r="B118" t="str">
            <v>Environmental</v>
          </cell>
          <cell r="E118">
            <v>0</v>
          </cell>
        </row>
        <row r="119">
          <cell r="A119">
            <v>610020</v>
          </cell>
          <cell r="B119" t="str">
            <v>Gas</v>
          </cell>
          <cell r="C119">
            <v>17750.310000000001</v>
          </cell>
          <cell r="D119">
            <v>4997</v>
          </cell>
          <cell r="E119">
            <v>12753.310000000001</v>
          </cell>
        </row>
        <row r="120">
          <cell r="A120">
            <v>610030</v>
          </cell>
          <cell r="B120" t="str">
            <v>Telephone &amp; Broadband</v>
          </cell>
          <cell r="C120">
            <v>2891.81</v>
          </cell>
          <cell r="D120">
            <v>1464.87</v>
          </cell>
          <cell r="E120">
            <v>1426.94</v>
          </cell>
        </row>
        <row r="121">
          <cell r="A121">
            <v>615000</v>
          </cell>
          <cell r="B121" t="str">
            <v>Insurance - General</v>
          </cell>
          <cell r="C121">
            <v>30922.1</v>
          </cell>
          <cell r="D121">
            <v>10859.83</v>
          </cell>
          <cell r="E121">
            <v>20062.269999999997</v>
          </cell>
        </row>
        <row r="122">
          <cell r="A122">
            <v>615001</v>
          </cell>
          <cell r="B122" t="str">
            <v>Insurance - Credit</v>
          </cell>
          <cell r="C122">
            <v>1629.83</v>
          </cell>
          <cell r="E122">
            <v>1629.83</v>
          </cell>
        </row>
        <row r="123">
          <cell r="A123">
            <v>615005</v>
          </cell>
          <cell r="B123" t="str">
            <v>Keyman Insurance</v>
          </cell>
          <cell r="C123">
            <v>1601.56</v>
          </cell>
          <cell r="E123">
            <v>1601.56</v>
          </cell>
        </row>
        <row r="124">
          <cell r="A124">
            <v>620010</v>
          </cell>
          <cell r="B124" t="str">
            <v>Property Rates</v>
          </cell>
          <cell r="C124">
            <v>188723</v>
          </cell>
          <cell r="D124">
            <v>160200</v>
          </cell>
          <cell r="E124">
            <v>28523</v>
          </cell>
        </row>
        <row r="125">
          <cell r="A125">
            <v>620020</v>
          </cell>
          <cell r="B125" t="str">
            <v>Cleaning &amp; Laundry</v>
          </cell>
          <cell r="C125">
            <v>10742.94</v>
          </cell>
          <cell r="D125">
            <v>3601.94</v>
          </cell>
          <cell r="E125">
            <v>7141</v>
          </cell>
        </row>
        <row r="126">
          <cell r="A126">
            <v>620021</v>
          </cell>
          <cell r="B126" t="str">
            <v>Pest Control</v>
          </cell>
          <cell r="C126">
            <v>994.89</v>
          </cell>
          <cell r="E126">
            <v>994.89</v>
          </cell>
        </row>
        <row r="127">
          <cell r="A127">
            <v>620040</v>
          </cell>
          <cell r="B127" t="str">
            <v>Gardening</v>
          </cell>
          <cell r="E127">
            <v>0</v>
          </cell>
        </row>
        <row r="128">
          <cell r="A128">
            <v>625000</v>
          </cell>
          <cell r="B128" t="str">
            <v>Fares</v>
          </cell>
          <cell r="C128">
            <v>3949.69</v>
          </cell>
          <cell r="E128">
            <v>3949.69</v>
          </cell>
        </row>
        <row r="129">
          <cell r="A129">
            <v>625005</v>
          </cell>
          <cell r="B129" t="str">
            <v>Fares - Staff T&amp;E</v>
          </cell>
          <cell r="E129">
            <v>0</v>
          </cell>
        </row>
        <row r="130">
          <cell r="A130">
            <v>625010</v>
          </cell>
          <cell r="B130" t="str">
            <v>Accommodation - domestic</v>
          </cell>
          <cell r="C130">
            <v>1100.81</v>
          </cell>
          <cell r="D130">
            <v>9</v>
          </cell>
          <cell r="E130">
            <v>1091.81</v>
          </cell>
        </row>
        <row r="131">
          <cell r="A131">
            <v>625020</v>
          </cell>
          <cell r="B131" t="str">
            <v>Accommodation - international</v>
          </cell>
          <cell r="C131">
            <v>3099.29</v>
          </cell>
          <cell r="D131">
            <v>522.87</v>
          </cell>
          <cell r="E131">
            <v>2576.42</v>
          </cell>
        </row>
        <row r="132">
          <cell r="A132">
            <v>625025</v>
          </cell>
          <cell r="B132" t="str">
            <v>Accommodation - Staff T&amp;E</v>
          </cell>
          <cell r="C132">
            <v>89.91</v>
          </cell>
          <cell r="E132">
            <v>89.91</v>
          </cell>
        </row>
        <row r="133">
          <cell r="A133">
            <v>625030</v>
          </cell>
          <cell r="B133" t="str">
            <v>Subsistence - domestic</v>
          </cell>
          <cell r="C133">
            <v>849.63</v>
          </cell>
          <cell r="E133">
            <v>849.63</v>
          </cell>
        </row>
        <row r="134">
          <cell r="A134">
            <v>625040</v>
          </cell>
          <cell r="B134" t="str">
            <v>Subsistence - international</v>
          </cell>
          <cell r="C134">
            <v>126.01</v>
          </cell>
          <cell r="E134">
            <v>126.01</v>
          </cell>
        </row>
        <row r="135">
          <cell r="A135">
            <v>625045</v>
          </cell>
          <cell r="B135" t="str">
            <v>Subsistence - Staff T&amp;E</v>
          </cell>
          <cell r="C135">
            <v>454.58</v>
          </cell>
          <cell r="E135">
            <v>454.58</v>
          </cell>
        </row>
        <row r="136">
          <cell r="A136">
            <v>625050</v>
          </cell>
          <cell r="B136" t="str">
            <v>Entertainment - domestic</v>
          </cell>
          <cell r="C136">
            <v>3215.25</v>
          </cell>
          <cell r="E136">
            <v>3215.25</v>
          </cell>
        </row>
        <row r="137">
          <cell r="A137">
            <v>625060</v>
          </cell>
          <cell r="B137" t="str">
            <v>Entertainment - international</v>
          </cell>
          <cell r="E137">
            <v>0</v>
          </cell>
        </row>
        <row r="138">
          <cell r="A138">
            <v>625065</v>
          </cell>
          <cell r="B138" t="str">
            <v>Entertainment - Staff T&amp;E</v>
          </cell>
          <cell r="C138">
            <v>99.9</v>
          </cell>
          <cell r="E138">
            <v>99.9</v>
          </cell>
        </row>
        <row r="139">
          <cell r="A139">
            <v>625100</v>
          </cell>
          <cell r="B139" t="str">
            <v>Travel Other</v>
          </cell>
          <cell r="C139">
            <v>7826.3</v>
          </cell>
          <cell r="D139">
            <v>3015.17</v>
          </cell>
          <cell r="E139">
            <v>4811.13</v>
          </cell>
        </row>
        <row r="140">
          <cell r="A140">
            <v>630000</v>
          </cell>
          <cell r="B140" t="str">
            <v>Vehicle Hire</v>
          </cell>
          <cell r="C140">
            <v>909.67</v>
          </cell>
          <cell r="E140">
            <v>909.67</v>
          </cell>
        </row>
        <row r="141">
          <cell r="A141">
            <v>630030</v>
          </cell>
          <cell r="B141" t="str">
            <v>Vehicle Fuel &amp; Oil</v>
          </cell>
          <cell r="E141">
            <v>0</v>
          </cell>
        </row>
        <row r="142">
          <cell r="A142">
            <v>635000</v>
          </cell>
          <cell r="B142" t="str">
            <v>Legal Fees</v>
          </cell>
          <cell r="C142">
            <v>8692</v>
          </cell>
          <cell r="D142">
            <v>8192</v>
          </cell>
          <cell r="E142">
            <v>500</v>
          </cell>
        </row>
        <row r="143">
          <cell r="A143">
            <v>635010</v>
          </cell>
          <cell r="B143" t="str">
            <v>Audit Fees</v>
          </cell>
          <cell r="C143">
            <v>25833</v>
          </cell>
          <cell r="D143">
            <v>20833</v>
          </cell>
          <cell r="E143">
            <v>5000</v>
          </cell>
        </row>
        <row r="144">
          <cell r="A144">
            <v>635020</v>
          </cell>
          <cell r="B144" t="str">
            <v>Accountancy Fees</v>
          </cell>
          <cell r="E144">
            <v>0</v>
          </cell>
        </row>
        <row r="145">
          <cell r="A145">
            <v>635025</v>
          </cell>
          <cell r="B145" t="str">
            <v>IT Services</v>
          </cell>
          <cell r="C145">
            <v>11393.17</v>
          </cell>
          <cell r="D145">
            <v>1184</v>
          </cell>
          <cell r="E145">
            <v>10209.17</v>
          </cell>
        </row>
        <row r="146">
          <cell r="A146">
            <v>635026</v>
          </cell>
          <cell r="B146" t="str">
            <v>IT Consumables</v>
          </cell>
          <cell r="C146">
            <v>515.9</v>
          </cell>
          <cell r="D146">
            <v>345</v>
          </cell>
          <cell r="E146">
            <v>170.89999999999998</v>
          </cell>
        </row>
        <row r="147">
          <cell r="A147">
            <v>635027</v>
          </cell>
          <cell r="B147" t="str">
            <v>IT Licences</v>
          </cell>
          <cell r="C147">
            <v>160</v>
          </cell>
          <cell r="E147">
            <v>160</v>
          </cell>
        </row>
        <row r="148">
          <cell r="A148">
            <v>635030</v>
          </cell>
          <cell r="B148" t="str">
            <v>Consultancy Fees</v>
          </cell>
          <cell r="C148">
            <v>72726.12</v>
          </cell>
          <cell r="D148">
            <v>24682</v>
          </cell>
          <cell r="E148">
            <v>48044.119999999995</v>
          </cell>
        </row>
        <row r="149">
          <cell r="A149">
            <v>635045</v>
          </cell>
          <cell r="B149" t="str">
            <v>HR Services</v>
          </cell>
          <cell r="E149">
            <v>0</v>
          </cell>
        </row>
        <row r="150">
          <cell r="A150">
            <v>635046</v>
          </cell>
          <cell r="B150" t="str">
            <v>Payroll Services</v>
          </cell>
          <cell r="E150">
            <v>0</v>
          </cell>
        </row>
        <row r="151">
          <cell r="A151">
            <v>635050</v>
          </cell>
          <cell r="B151" t="str">
            <v>Other Professional Fees</v>
          </cell>
          <cell r="C151">
            <v>10430.64</v>
          </cell>
          <cell r="D151">
            <v>2403</v>
          </cell>
          <cell r="E151">
            <v>8027.6399999999994</v>
          </cell>
        </row>
        <row r="152">
          <cell r="A152">
            <v>640000</v>
          </cell>
          <cell r="B152" t="str">
            <v>Postage</v>
          </cell>
          <cell r="C152">
            <v>15.5</v>
          </cell>
          <cell r="E152">
            <v>15.5</v>
          </cell>
        </row>
        <row r="153">
          <cell r="A153">
            <v>640010</v>
          </cell>
          <cell r="B153" t="str">
            <v>Printing</v>
          </cell>
          <cell r="C153">
            <v>1361.4</v>
          </cell>
          <cell r="E153">
            <v>1361.4</v>
          </cell>
        </row>
        <row r="154">
          <cell r="A154">
            <v>640020</v>
          </cell>
          <cell r="B154" t="str">
            <v>Stationery</v>
          </cell>
          <cell r="C154">
            <v>1501.26</v>
          </cell>
          <cell r="D154">
            <v>515.49</v>
          </cell>
          <cell r="E154">
            <v>985.77</v>
          </cell>
        </row>
        <row r="155">
          <cell r="A155">
            <v>645000</v>
          </cell>
          <cell r="B155" t="str">
            <v>Buildings Depreciation Expense</v>
          </cell>
          <cell r="C155">
            <v>11668</v>
          </cell>
          <cell r="E155">
            <v>11668</v>
          </cell>
        </row>
        <row r="156">
          <cell r="A156">
            <v>645010</v>
          </cell>
          <cell r="B156" t="str">
            <v>Plant and Machinery Depreciation Expense</v>
          </cell>
          <cell r="C156">
            <v>285942</v>
          </cell>
          <cell r="E156">
            <v>285942</v>
          </cell>
        </row>
        <row r="157">
          <cell r="A157">
            <v>645030</v>
          </cell>
          <cell r="B157" t="str">
            <v>Office Equipment Depreciation Expense</v>
          </cell>
          <cell r="C157">
            <v>288</v>
          </cell>
          <cell r="E157">
            <v>288</v>
          </cell>
        </row>
        <row r="158">
          <cell r="A158">
            <v>645040</v>
          </cell>
          <cell r="B158" t="str">
            <v>Furniture &amp; Fittings Depreciation Expense</v>
          </cell>
          <cell r="C158">
            <v>4822</v>
          </cell>
          <cell r="D158">
            <v>1170</v>
          </cell>
          <cell r="E158">
            <v>3652</v>
          </cell>
        </row>
        <row r="159">
          <cell r="A159">
            <v>645041</v>
          </cell>
          <cell r="B159" t="str">
            <v>Production Roller Depreciation Expense</v>
          </cell>
          <cell r="C159">
            <v>4770</v>
          </cell>
          <cell r="E159">
            <v>4770</v>
          </cell>
        </row>
        <row r="160">
          <cell r="A160">
            <v>645050</v>
          </cell>
          <cell r="B160" t="str">
            <v>IT Equipment Depreciation Expense</v>
          </cell>
          <cell r="C160">
            <v>6820</v>
          </cell>
          <cell r="E160">
            <v>6820</v>
          </cell>
        </row>
        <row r="161">
          <cell r="A161">
            <v>645070</v>
          </cell>
          <cell r="B161" t="str">
            <v>EI investment Amortisation</v>
          </cell>
          <cell r="D161">
            <v>43200</v>
          </cell>
          <cell r="E161">
            <v>-43200</v>
          </cell>
        </row>
        <row r="162">
          <cell r="A162">
            <v>650000</v>
          </cell>
          <cell r="B162" t="str">
            <v>Bank Interest Paid</v>
          </cell>
          <cell r="C162">
            <v>216233.24</v>
          </cell>
          <cell r="D162">
            <v>160555.60999999999</v>
          </cell>
          <cell r="E162">
            <v>55677.630000000005</v>
          </cell>
        </row>
        <row r="163">
          <cell r="A163">
            <v>650005</v>
          </cell>
          <cell r="B163" t="str">
            <v>Sub loan interest</v>
          </cell>
          <cell r="C163">
            <v>209408</v>
          </cell>
          <cell r="E163">
            <v>209408</v>
          </cell>
        </row>
        <row r="164">
          <cell r="A164">
            <v>650010</v>
          </cell>
          <cell r="B164" t="str">
            <v>Bank Charges Paid</v>
          </cell>
          <cell r="C164">
            <v>766.79</v>
          </cell>
          <cell r="D164">
            <v>0.3</v>
          </cell>
          <cell r="E164">
            <v>766.49</v>
          </cell>
        </row>
        <row r="165">
          <cell r="A165">
            <v>650020</v>
          </cell>
          <cell r="B165" t="str">
            <v>Invoice Financing Charges</v>
          </cell>
          <cell r="C165">
            <v>3260.16</v>
          </cell>
          <cell r="E165">
            <v>3260.16</v>
          </cell>
        </row>
        <row r="166">
          <cell r="A166">
            <v>650030</v>
          </cell>
          <cell r="B166" t="str">
            <v>Bad Debt Expense</v>
          </cell>
          <cell r="E166">
            <v>0</v>
          </cell>
        </row>
        <row r="167">
          <cell r="A167">
            <v>650040</v>
          </cell>
          <cell r="B167" t="str">
            <v>Realised Foreign Exchange Losses</v>
          </cell>
          <cell r="C167">
            <v>2645.83</v>
          </cell>
          <cell r="D167">
            <v>205.47</v>
          </cell>
          <cell r="E167">
            <v>2440.36</v>
          </cell>
        </row>
        <row r="168">
          <cell r="A168">
            <v>655000</v>
          </cell>
          <cell r="B168" t="str">
            <v>Equipment Hire</v>
          </cell>
          <cell r="C168">
            <v>23115.88</v>
          </cell>
          <cell r="D168">
            <v>8925</v>
          </cell>
          <cell r="E168">
            <v>14190.880000000001</v>
          </cell>
        </row>
        <row r="169">
          <cell r="A169">
            <v>655005</v>
          </cell>
          <cell r="B169" t="str">
            <v>Lab Equipment</v>
          </cell>
          <cell r="C169">
            <v>37.6</v>
          </cell>
          <cell r="E169">
            <v>37.6</v>
          </cell>
        </row>
        <row r="170">
          <cell r="A170">
            <v>655006</v>
          </cell>
          <cell r="B170" t="str">
            <v>Technical Consumables</v>
          </cell>
          <cell r="C170">
            <v>7019.02</v>
          </cell>
          <cell r="D170">
            <v>5495.38</v>
          </cell>
          <cell r="E170">
            <v>1523.6400000000003</v>
          </cell>
        </row>
        <row r="171">
          <cell r="A171">
            <v>655009</v>
          </cell>
          <cell r="B171" t="str">
            <v>NPD/Kitchen Consumables</v>
          </cell>
          <cell r="E171">
            <v>0</v>
          </cell>
        </row>
        <row r="172">
          <cell r="A172">
            <v>655007</v>
          </cell>
          <cell r="B172" t="str">
            <v>Factory Consumables</v>
          </cell>
          <cell r="C172">
            <v>11068.57</v>
          </cell>
          <cell r="D172">
            <v>4734.6400000000003</v>
          </cell>
          <cell r="E172">
            <v>6333.9299999999994</v>
          </cell>
        </row>
        <row r="173">
          <cell r="A173">
            <v>655008</v>
          </cell>
          <cell r="B173" t="str">
            <v>Lab Testing (External)</v>
          </cell>
          <cell r="C173">
            <v>20876.060000000001</v>
          </cell>
          <cell r="D173">
            <v>12955.34</v>
          </cell>
          <cell r="E173">
            <v>7920.7200000000012</v>
          </cell>
        </row>
        <row r="174">
          <cell r="A174">
            <v>655010</v>
          </cell>
          <cell r="B174" t="str">
            <v>Security and Alarm Monitoring</v>
          </cell>
          <cell r="C174">
            <v>8495</v>
          </cell>
          <cell r="D174">
            <v>3852</v>
          </cell>
          <cell r="E174">
            <v>4643</v>
          </cell>
        </row>
        <row r="175">
          <cell r="A175">
            <v>655011</v>
          </cell>
          <cell r="B175" t="str">
            <v>NPD Trials - General</v>
          </cell>
          <cell r="C175">
            <v>109790.19</v>
          </cell>
          <cell r="D175">
            <v>112450.49</v>
          </cell>
          <cell r="E175">
            <v>-2660.3000000000029</v>
          </cell>
        </row>
        <row r="176">
          <cell r="A176">
            <v>655016</v>
          </cell>
          <cell r="B176" t="str">
            <v>NPD Trials - Ingredients</v>
          </cell>
          <cell r="C176">
            <v>1416.23</v>
          </cell>
          <cell r="D176">
            <v>130</v>
          </cell>
          <cell r="E176">
            <v>1286.23</v>
          </cell>
        </row>
        <row r="177">
          <cell r="A177">
            <v>655017</v>
          </cell>
          <cell r="B177" t="str">
            <v>NPD Trials - Packaging</v>
          </cell>
          <cell r="E177">
            <v>0</v>
          </cell>
        </row>
        <row r="178">
          <cell r="A178">
            <v>655018</v>
          </cell>
          <cell r="B178" t="str">
            <v>NPD Trials - Labour</v>
          </cell>
          <cell r="E178">
            <v>0</v>
          </cell>
        </row>
        <row r="179">
          <cell r="A179">
            <v>655019</v>
          </cell>
          <cell r="B179" t="str">
            <v>NPD Trials - Utilities</v>
          </cell>
          <cell r="C179">
            <v>782.91</v>
          </cell>
          <cell r="E179">
            <v>782.91</v>
          </cell>
        </row>
        <row r="180">
          <cell r="A180">
            <v>655012</v>
          </cell>
          <cell r="B180" t="str">
            <v>Courier Services</v>
          </cell>
          <cell r="E180">
            <v>0</v>
          </cell>
        </row>
        <row r="181">
          <cell r="A181">
            <v>655013</v>
          </cell>
          <cell r="B181" t="str">
            <v>Training (required for role)</v>
          </cell>
          <cell r="C181">
            <v>2386.4499999999998</v>
          </cell>
          <cell r="E181">
            <v>2386.4499999999998</v>
          </cell>
        </row>
        <row r="182">
          <cell r="A182">
            <v>655015</v>
          </cell>
          <cell r="B182" t="str">
            <v>Canteen Consumables</v>
          </cell>
          <cell r="C182">
            <v>1446.76</v>
          </cell>
          <cell r="D182">
            <v>638</v>
          </cell>
          <cell r="E182">
            <v>808.76</v>
          </cell>
        </row>
        <row r="183">
          <cell r="A183">
            <v>655020</v>
          </cell>
          <cell r="B183" t="str">
            <v>Subscriptions</v>
          </cell>
          <cell r="C183">
            <v>5236.45</v>
          </cell>
          <cell r="D183">
            <v>4212.95</v>
          </cell>
          <cell r="E183">
            <v>1023.5</v>
          </cell>
        </row>
        <row r="184">
          <cell r="A184">
            <v>655021</v>
          </cell>
          <cell r="B184" t="str">
            <v>PPE and Safety Expenses</v>
          </cell>
          <cell r="C184">
            <v>2454.06</v>
          </cell>
          <cell r="D184">
            <v>1389.9</v>
          </cell>
          <cell r="E184">
            <v>1064.1599999999999</v>
          </cell>
        </row>
        <row r="185">
          <cell r="A185">
            <v>655030</v>
          </cell>
          <cell r="B185" t="str">
            <v>Donations</v>
          </cell>
          <cell r="C185">
            <v>3676.89</v>
          </cell>
          <cell r="D185">
            <v>657.3</v>
          </cell>
          <cell r="E185">
            <v>3019.59</v>
          </cell>
        </row>
        <row r="186">
          <cell r="A186">
            <v>655040</v>
          </cell>
          <cell r="B186" t="str">
            <v>Miscellaneous Expenses</v>
          </cell>
          <cell r="C186">
            <v>55404.67</v>
          </cell>
          <cell r="D186">
            <v>55404.28</v>
          </cell>
          <cell r="E186">
            <v>0.38999999999941792</v>
          </cell>
        </row>
        <row r="187">
          <cell r="A187">
            <v>660000</v>
          </cell>
          <cell r="B187" t="str">
            <v>Salaries &amp; Wages - basic</v>
          </cell>
          <cell r="C187">
            <v>292675.13</v>
          </cell>
          <cell r="E187">
            <v>292675.13</v>
          </cell>
        </row>
        <row r="188">
          <cell r="A188">
            <v>660001</v>
          </cell>
          <cell r="B188" t="str">
            <v>LT Cost</v>
          </cell>
          <cell r="C188">
            <v>184746.13</v>
          </cell>
          <cell r="D188">
            <v>143000</v>
          </cell>
          <cell r="E188">
            <v>41746.130000000005</v>
          </cell>
        </row>
        <row r="189">
          <cell r="A189">
            <v>660050</v>
          </cell>
          <cell r="B189" t="str">
            <v>Recruitment Expenses</v>
          </cell>
          <cell r="C189">
            <v>13600</v>
          </cell>
          <cell r="D189">
            <v>13600</v>
          </cell>
          <cell r="E189">
            <v>0</v>
          </cell>
        </row>
        <row r="190">
          <cell r="A190">
            <v>660110</v>
          </cell>
          <cell r="B190" t="str">
            <v>Employee Bonuses</v>
          </cell>
          <cell r="D190">
            <v>10084</v>
          </cell>
          <cell r="E190">
            <v>-10084</v>
          </cell>
        </row>
        <row r="191">
          <cell r="A191">
            <v>660111</v>
          </cell>
          <cell r="B191" t="str">
            <v>Gift Vouchers for Employees</v>
          </cell>
          <cell r="C191">
            <v>100</v>
          </cell>
          <cell r="E191">
            <v>100</v>
          </cell>
        </row>
        <row r="192">
          <cell r="A192">
            <v>660120</v>
          </cell>
          <cell r="B192" t="str">
            <v>Employers PRSI Contributions</v>
          </cell>
          <cell r="C192">
            <v>31726.33</v>
          </cell>
          <cell r="E192">
            <v>31726.33</v>
          </cell>
        </row>
        <row r="193">
          <cell r="A193">
            <v>660130</v>
          </cell>
          <cell r="B193" t="str">
            <v>Employers Pension Scheme Contributions</v>
          </cell>
          <cell r="C193">
            <v>60607.95</v>
          </cell>
          <cell r="D193">
            <v>44692</v>
          </cell>
          <cell r="E193">
            <v>15915.949999999997</v>
          </cell>
        </row>
        <row r="194">
          <cell r="A194">
            <v>660160</v>
          </cell>
          <cell r="B194" t="str">
            <v>Other Personnel Expenses</v>
          </cell>
          <cell r="C194">
            <v>275</v>
          </cell>
          <cell r="E194">
            <v>275</v>
          </cell>
        </row>
        <row r="195">
          <cell r="A195">
            <v>700010</v>
          </cell>
          <cell r="B195" t="str">
            <v>Discount Received</v>
          </cell>
          <cell r="C195">
            <v>0.45</v>
          </cell>
          <cell r="D195">
            <v>0.91</v>
          </cell>
          <cell r="E195">
            <v>-0.46</v>
          </cell>
        </row>
        <row r="196">
          <cell r="A196">
            <v>700020</v>
          </cell>
          <cell r="B196" t="str">
            <v>Realised Foreign Exchange Gains</v>
          </cell>
          <cell r="D196">
            <v>907.82</v>
          </cell>
          <cell r="E196">
            <v>-907.82</v>
          </cell>
        </row>
        <row r="197">
          <cell r="A197">
            <v>740000</v>
          </cell>
          <cell r="B197" t="str">
            <v>Interest Income</v>
          </cell>
          <cell r="D197">
            <v>6.8</v>
          </cell>
          <cell r="E197">
            <v>-6.8</v>
          </cell>
        </row>
        <row r="198">
          <cell r="A198">
            <v>500210</v>
          </cell>
          <cell r="B198" t="str">
            <v>Materials - Purchase Price Losses</v>
          </cell>
        </row>
        <row r="199">
          <cell r="A199" t="str">
            <v>Total</v>
          </cell>
          <cell r="C199" t="str">
            <v>=============</v>
          </cell>
          <cell r="D199" t="str">
            <v>=============</v>
          </cell>
          <cell r="E199" t="str">
            <v>=============</v>
          </cell>
        </row>
        <row r="200">
          <cell r="C200">
            <v>17529658.289999999</v>
          </cell>
          <cell r="D200">
            <v>17529658.289999999</v>
          </cell>
        </row>
      </sheetData>
      <sheetData sheetId="18"/>
      <sheetData sheetId="19"/>
      <sheetData sheetId="20"/>
      <sheetData sheetId="21"/>
      <sheetData sheetId="22"/>
      <sheetData sheetId="23">
        <row r="131">
          <cell r="W131">
            <v>-801436.89122899715</v>
          </cell>
        </row>
      </sheetData>
      <sheetData sheetId="24"/>
      <sheetData sheetId="25"/>
      <sheetData sheetId="26"/>
      <sheetData sheetId="27"/>
      <sheetData sheetId="28"/>
      <sheetData sheetId="29"/>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 Projections "/>
      <sheetName val="Iamus Assumptions"/>
      <sheetName val="Iamus P&amp;L 2019"/>
      <sheetName val="Cover Sheet"/>
      <sheetName val="DBIC Model"/>
      <sheetName val="How to complete "/>
      <sheetName val="Assumptions"/>
      <sheetName val="Headcount"/>
      <sheetName val="Investment"/>
      <sheetName val="Sales &amp; COGS Forecast"/>
      <sheetName val="Loans and Grants"/>
      <sheetName val="Summary P&amp;L"/>
      <sheetName val="Summary Cash Flow"/>
      <sheetName val="Summary Balance Sheet"/>
      <sheetName val="Detailed P&amp;L"/>
      <sheetName val="Detailed Cash Flow"/>
      <sheetName val="Detailed Balance Sheet"/>
      <sheetName val="Sales and COGS Forecast"/>
      <sheetName val="COGS projections"/>
      <sheetName val="Sales revenue projections"/>
      <sheetName val="Distribution Costs projections"/>
      <sheetName val="Operating expenses"/>
      <sheetName val="Enterprise Ireland Model&gt;&gt;&gt;&gt;"/>
      <sheetName val="Instructions"/>
      <sheetName val="Company Input Sheet 1"/>
      <sheetName val="Exchange Rate Sensitivity"/>
      <sheetName val="Company Input Sheet 2"/>
      <sheetName val="Sustainable Growth Model"/>
      <sheetName val="Previous v Actual"/>
      <sheetName val="Benchmarking Analysis"/>
      <sheetName val="Graphs"/>
      <sheetName val="Sensitivity Analysis"/>
      <sheetName val="EI DA Input Sheet"/>
      <sheetName val="EI Document Tables"/>
      <sheetName val="Graphs2"/>
      <sheetName val="EI Econ Model Sheet"/>
      <sheetName val="EI Cost Benefit"/>
      <sheetName val="Formula"/>
      <sheetName val="Sheet1"/>
      <sheetName val="Sheet2"/>
    </sheetNames>
    <sheetDataSet>
      <sheetData sheetId="0" refreshError="1"/>
      <sheetData sheetId="1">
        <row r="33">
          <cell r="E33">
            <v>5000</v>
          </cell>
        </row>
      </sheetData>
      <sheetData sheetId="2" refreshError="1"/>
      <sheetData sheetId="3" refreshError="1"/>
      <sheetData sheetId="4" refreshError="1"/>
      <sheetData sheetId="5" refreshError="1"/>
      <sheetData sheetId="6" refreshError="1"/>
      <sheetData sheetId="7">
        <row r="4">
          <cell r="J4">
            <v>43861</v>
          </cell>
          <cell r="K4">
            <v>43890</v>
          </cell>
          <cell r="L4">
            <v>43921</v>
          </cell>
          <cell r="M4">
            <v>43951</v>
          </cell>
          <cell r="N4">
            <v>43982</v>
          </cell>
          <cell r="O4">
            <v>44012</v>
          </cell>
          <cell r="P4">
            <v>44043</v>
          </cell>
          <cell r="Q4">
            <v>44074</v>
          </cell>
          <cell r="R4">
            <v>44104</v>
          </cell>
          <cell r="S4">
            <v>44135</v>
          </cell>
          <cell r="T4">
            <v>44165</v>
          </cell>
          <cell r="U4">
            <v>44196</v>
          </cell>
          <cell r="X4">
            <v>44227</v>
          </cell>
          <cell r="Y4">
            <v>44255</v>
          </cell>
          <cell r="Z4">
            <v>44286</v>
          </cell>
          <cell r="AA4">
            <v>44316</v>
          </cell>
          <cell r="AB4">
            <v>44347</v>
          </cell>
          <cell r="AC4">
            <v>44377</v>
          </cell>
          <cell r="AD4">
            <v>44408</v>
          </cell>
          <cell r="AE4">
            <v>44439</v>
          </cell>
          <cell r="AF4">
            <v>44469</v>
          </cell>
          <cell r="AG4">
            <v>44500</v>
          </cell>
          <cell r="AH4">
            <v>44530</v>
          </cell>
          <cell r="AI4">
            <v>44561</v>
          </cell>
          <cell r="AL4">
            <v>44592</v>
          </cell>
          <cell r="AM4">
            <v>44620</v>
          </cell>
          <cell r="AN4">
            <v>44651</v>
          </cell>
          <cell r="AO4">
            <v>44681</v>
          </cell>
          <cell r="AP4">
            <v>44712</v>
          </cell>
          <cell r="AQ4">
            <v>44742</v>
          </cell>
          <cell r="AR4">
            <v>44773</v>
          </cell>
          <cell r="AS4">
            <v>44804</v>
          </cell>
          <cell r="AT4">
            <v>44834</v>
          </cell>
          <cell r="AU4">
            <v>44865</v>
          </cell>
          <cell r="AV4">
            <v>44895</v>
          </cell>
          <cell r="AW4">
            <v>44926</v>
          </cell>
          <cell r="AZ4">
            <v>44957</v>
          </cell>
          <cell r="BA4">
            <v>44985</v>
          </cell>
          <cell r="BB4">
            <v>45016</v>
          </cell>
          <cell r="BC4">
            <v>45046</v>
          </cell>
          <cell r="BD4">
            <v>45077</v>
          </cell>
          <cell r="BE4">
            <v>45107</v>
          </cell>
          <cell r="BF4">
            <v>45138</v>
          </cell>
          <cell r="BG4">
            <v>45169</v>
          </cell>
          <cell r="BH4">
            <v>45199</v>
          </cell>
          <cell r="BI4">
            <v>45230</v>
          </cell>
          <cell r="BJ4">
            <v>45260</v>
          </cell>
          <cell r="BK4">
            <v>45291</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106">
          <cell r="A106" t="str">
            <v>None</v>
          </cell>
        </row>
      </sheetData>
      <sheetData sheetId="36" refreshError="1"/>
      <sheetData sheetId="37">
        <row r="4">
          <cell r="C4">
            <v>42736</v>
          </cell>
        </row>
        <row r="5">
          <cell r="C5">
            <v>42767</v>
          </cell>
        </row>
        <row r="6">
          <cell r="C6">
            <v>42795</v>
          </cell>
        </row>
        <row r="7">
          <cell r="C7">
            <v>42826</v>
          </cell>
        </row>
        <row r="8">
          <cell r="C8">
            <v>42856</v>
          </cell>
        </row>
        <row r="9">
          <cell r="C9">
            <v>42887</v>
          </cell>
        </row>
        <row r="10">
          <cell r="C10">
            <v>42917</v>
          </cell>
        </row>
        <row r="11">
          <cell r="C11">
            <v>42948</v>
          </cell>
        </row>
        <row r="12">
          <cell r="C12">
            <v>42979</v>
          </cell>
        </row>
        <row r="13">
          <cell r="C13">
            <v>43009</v>
          </cell>
        </row>
        <row r="14">
          <cell r="C14">
            <v>43040</v>
          </cell>
        </row>
        <row r="15">
          <cell r="C15">
            <v>43070</v>
          </cell>
        </row>
        <row r="16">
          <cell r="C16">
            <v>43101</v>
          </cell>
        </row>
        <row r="17">
          <cell r="C17">
            <v>43132</v>
          </cell>
        </row>
        <row r="18">
          <cell r="C18">
            <v>43160</v>
          </cell>
        </row>
        <row r="19">
          <cell r="C19">
            <v>43191</v>
          </cell>
        </row>
        <row r="20">
          <cell r="C20">
            <v>43221</v>
          </cell>
        </row>
        <row r="21">
          <cell r="C21">
            <v>43252</v>
          </cell>
        </row>
        <row r="22">
          <cell r="C22">
            <v>43282</v>
          </cell>
        </row>
        <row r="23">
          <cell r="C23">
            <v>43313</v>
          </cell>
        </row>
        <row r="24">
          <cell r="C24">
            <v>43344</v>
          </cell>
        </row>
        <row r="25">
          <cell r="C25">
            <v>43374</v>
          </cell>
        </row>
        <row r="26">
          <cell r="C26">
            <v>43405</v>
          </cell>
        </row>
        <row r="27">
          <cell r="C27">
            <v>43435</v>
          </cell>
        </row>
        <row r="28">
          <cell r="C28">
            <v>43466</v>
          </cell>
        </row>
        <row r="29">
          <cell r="C29">
            <v>43497</v>
          </cell>
        </row>
        <row r="30">
          <cell r="C30">
            <v>43525</v>
          </cell>
        </row>
        <row r="31">
          <cell r="C31">
            <v>43556</v>
          </cell>
        </row>
        <row r="32">
          <cell r="C32">
            <v>43586</v>
          </cell>
        </row>
        <row r="33">
          <cell r="C33">
            <v>43617</v>
          </cell>
        </row>
        <row r="34">
          <cell r="C34">
            <v>43647</v>
          </cell>
        </row>
        <row r="35">
          <cell r="C35">
            <v>43678</v>
          </cell>
        </row>
        <row r="36">
          <cell r="C36">
            <v>43709</v>
          </cell>
        </row>
        <row r="37">
          <cell r="C37">
            <v>43739</v>
          </cell>
        </row>
        <row r="38">
          <cell r="C38">
            <v>43770</v>
          </cell>
        </row>
        <row r="39">
          <cell r="C39">
            <v>43800</v>
          </cell>
        </row>
        <row r="40">
          <cell r="C40">
            <v>43831</v>
          </cell>
        </row>
        <row r="41">
          <cell r="C41">
            <v>43862</v>
          </cell>
        </row>
        <row r="42">
          <cell r="C42">
            <v>43891</v>
          </cell>
        </row>
        <row r="43">
          <cell r="C43">
            <v>43922</v>
          </cell>
        </row>
        <row r="44">
          <cell r="C44">
            <v>43952</v>
          </cell>
        </row>
        <row r="45">
          <cell r="C45">
            <v>43983</v>
          </cell>
        </row>
        <row r="46">
          <cell r="C46">
            <v>44013</v>
          </cell>
        </row>
        <row r="47">
          <cell r="C47">
            <v>44044</v>
          </cell>
        </row>
        <row r="48">
          <cell r="C48">
            <v>44075</v>
          </cell>
        </row>
        <row r="49">
          <cell r="C49">
            <v>44105</v>
          </cell>
        </row>
        <row r="50">
          <cell r="C50">
            <v>44136</v>
          </cell>
        </row>
        <row r="51">
          <cell r="C51">
            <v>44166</v>
          </cell>
        </row>
      </sheetData>
      <sheetData sheetId="38" refreshError="1"/>
      <sheetData sheetId="3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bitda reduction calculator"/>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roup Inputs"/>
      <sheetName val="Group Timing"/>
      <sheetName val="Group Calcs"/>
      <sheetName val="Group Fin_stats"/>
      <sheetName val="Trollers Inputs"/>
      <sheetName val="Trollers Timing"/>
      <sheetName val="Trollers Calcs"/>
      <sheetName val="Trollers Fin_stats"/>
      <sheetName val="DSIRL Inputs"/>
      <sheetName val="DSIRL Timing"/>
      <sheetName val="DSIRL Calcs"/>
      <sheetName val="DSIRL Fin_stats"/>
      <sheetName val="EUP Inputs"/>
      <sheetName val="EUP Timing"/>
      <sheetName val="EUP Calcs"/>
      <sheetName val="EUP Fin_stats"/>
      <sheetName val="EUS Inputs"/>
      <sheetName val="EUS Timing"/>
      <sheetName val="EUS Calcs"/>
      <sheetName val="EUS Fin_stats"/>
      <sheetName val="DSLim Inputs"/>
      <sheetName val="DSLim Timing"/>
      <sheetName val="DSLim Calcs"/>
      <sheetName val="DSLim Fin_stats"/>
      <sheetName val="DSCork Inputs"/>
      <sheetName val="DSCork Timing"/>
      <sheetName val="DSCork Calcs"/>
      <sheetName val="DSCork Fin_stats"/>
      <sheetName val="DSLth Inputs"/>
      <sheetName val="DSLth Timing"/>
      <sheetName val="DSLth Calcs"/>
      <sheetName val="DSLth Fin_stats"/>
      <sheetName val="Altessa Inputs"/>
      <sheetName val="Altessa Timing"/>
      <sheetName val="Altessa Calcs"/>
      <sheetName val="Altessa Fin_stats"/>
      <sheetName val="Agrippa Inputs"/>
      <sheetName val="Agrippa Timing"/>
      <sheetName val="Agrippa Calcs"/>
      <sheetName val="Agrippa Fin_stats"/>
      <sheetName val="Nova Inputs"/>
      <sheetName val="Nova Timing"/>
      <sheetName val="Nova Calcs"/>
      <sheetName val="Nova Fin_stats"/>
      <sheetName val="Checks"/>
      <sheetName val="Template"/>
      <sheetName val="Group_Inputs"/>
      <sheetName val="Group_Timing"/>
      <sheetName val="Group_Calcs"/>
      <sheetName val="Group_Fin_stats"/>
      <sheetName val="Trollers_Inputs"/>
      <sheetName val="Trollers_Timing"/>
      <sheetName val="Trollers_Calcs"/>
      <sheetName val="Trollers_Fin_stats"/>
      <sheetName val="DSIRL_Inputs"/>
      <sheetName val="DSIRL_Timing"/>
      <sheetName val="DSIRL_Calcs"/>
      <sheetName val="DSIRL_Fin_stats"/>
      <sheetName val="EUP_Inputs"/>
      <sheetName val="EUP_Timing"/>
      <sheetName val="EUP_Calcs"/>
      <sheetName val="EUP_Fin_stats"/>
      <sheetName val="EUS_Inputs"/>
      <sheetName val="EUS_Timing"/>
      <sheetName val="EUS_Calcs"/>
      <sheetName val="EUS_Fin_stats"/>
      <sheetName val="DSLim_Inputs"/>
      <sheetName val="DSLim_Timing"/>
      <sheetName val="DSLim_Calcs"/>
      <sheetName val="DSLim_Fin_stats"/>
      <sheetName val="DSCork_Inputs"/>
      <sheetName val="DSCork_Timing"/>
      <sheetName val="DSCork_Calcs"/>
      <sheetName val="DSCork_Fin_stats"/>
      <sheetName val="DSLth_Inputs"/>
      <sheetName val="DSLth_Timing"/>
      <sheetName val="DSLth_Calcs"/>
      <sheetName val="DSLth_Fin_stats"/>
      <sheetName val="Altessa_Inputs"/>
      <sheetName val="Altessa_Timing"/>
      <sheetName val="Altessa_Calcs"/>
      <sheetName val="Altessa_Fin_stats"/>
      <sheetName val="Agrippa_Inputs"/>
      <sheetName val="Agrippa_Timing"/>
      <sheetName val="Agrippa_Calcs"/>
      <sheetName val="Agrippa_Fin_stats"/>
      <sheetName val="Nova_Inputs"/>
      <sheetName val="Nova_Timing"/>
      <sheetName val="Nova_Calcs"/>
      <sheetName val="Nova_Fin_stats"/>
      <sheetName val="Group_Inputs1"/>
      <sheetName val="Group_Timing1"/>
      <sheetName val="Group_Calcs1"/>
      <sheetName val="Group_Fin_stats1"/>
      <sheetName val="Trollers_Inputs1"/>
      <sheetName val="Trollers_Timing1"/>
      <sheetName val="Trollers_Calcs1"/>
      <sheetName val="Trollers_Fin_stats1"/>
      <sheetName val="DSIRL_Inputs1"/>
      <sheetName val="DSIRL_Timing1"/>
      <sheetName val="DSIRL_Calcs1"/>
      <sheetName val="DSIRL_Fin_stats1"/>
      <sheetName val="EUP_Inputs1"/>
      <sheetName val="EUP_Timing1"/>
      <sheetName val="EUP_Calcs1"/>
      <sheetName val="EUP_Fin_stats1"/>
      <sheetName val="EUS_Inputs1"/>
      <sheetName val="EUS_Timing1"/>
      <sheetName val="EUS_Calcs1"/>
      <sheetName val="EUS_Fin_stats1"/>
      <sheetName val="DSLim_Inputs1"/>
      <sheetName val="DSLim_Timing1"/>
      <sheetName val="DSLim_Calcs1"/>
      <sheetName val="DSLim_Fin_stats1"/>
      <sheetName val="DSCork_Inputs1"/>
      <sheetName val="DSCork_Timing1"/>
      <sheetName val="DSCork_Calcs1"/>
      <sheetName val="DSCork_Fin_stats1"/>
      <sheetName val="DSLth_Inputs1"/>
      <sheetName val="DSLth_Timing1"/>
      <sheetName val="DSLth_Calcs1"/>
      <sheetName val="DSLth_Fin_stats1"/>
      <sheetName val="Altessa_Inputs1"/>
      <sheetName val="Altessa_Timing1"/>
      <sheetName val="Altessa_Calcs1"/>
      <sheetName val="Altessa_Fin_stats1"/>
      <sheetName val="Agrippa_Inputs1"/>
      <sheetName val="Agrippa_Timing1"/>
      <sheetName val="Agrippa_Calcs1"/>
      <sheetName val="Agrippa_Fin_stats1"/>
      <sheetName val="Nova_Inputs1"/>
      <sheetName val="Nova_Timing1"/>
      <sheetName val="Nova_Calcs1"/>
      <sheetName val="Nova_Fin_stat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
      <sheetName val="raw"/>
      <sheetName val="expiry"/>
    </sheetNames>
    <sheetDataSet>
      <sheetData sheetId="0"/>
      <sheetData sheetId="1"/>
      <sheetData sheetId="2">
        <row r="2">
          <cell r="A2" t="str">
            <v>Expiry month</v>
          </cell>
          <cell r="B2" t="str">
            <v>Expiry</v>
          </cell>
        </row>
        <row r="3">
          <cell r="A3" t="str">
            <v>01.19</v>
          </cell>
          <cell r="B3">
            <v>43466</v>
          </cell>
        </row>
        <row r="4">
          <cell r="A4" t="str">
            <v>01.20</v>
          </cell>
          <cell r="B4">
            <v>43831</v>
          </cell>
        </row>
        <row r="5">
          <cell r="A5" t="str">
            <v>01.23</v>
          </cell>
          <cell r="B5">
            <v>44927</v>
          </cell>
        </row>
        <row r="6">
          <cell r="A6" t="str">
            <v>02.18</v>
          </cell>
          <cell r="B6">
            <v>43132</v>
          </cell>
        </row>
        <row r="7">
          <cell r="A7" t="str">
            <v>02.19</v>
          </cell>
          <cell r="B7">
            <v>43497</v>
          </cell>
        </row>
        <row r="8">
          <cell r="A8" t="str">
            <v>02.20</v>
          </cell>
          <cell r="B8">
            <v>43862</v>
          </cell>
        </row>
        <row r="9">
          <cell r="A9" t="str">
            <v>03.17</v>
          </cell>
          <cell r="B9">
            <v>42795</v>
          </cell>
        </row>
        <row r="10">
          <cell r="A10" t="str">
            <v>03.19</v>
          </cell>
          <cell r="B10">
            <v>43525</v>
          </cell>
        </row>
        <row r="11">
          <cell r="A11" t="str">
            <v>03.20</v>
          </cell>
          <cell r="B11">
            <v>43891</v>
          </cell>
        </row>
        <row r="12">
          <cell r="A12" t="str">
            <v>04.17</v>
          </cell>
          <cell r="B12">
            <v>42826</v>
          </cell>
        </row>
        <row r="13">
          <cell r="A13" t="str">
            <v>04.19</v>
          </cell>
          <cell r="B13">
            <v>43556</v>
          </cell>
        </row>
        <row r="14">
          <cell r="A14" t="str">
            <v>04.20</v>
          </cell>
          <cell r="B14">
            <v>43922</v>
          </cell>
        </row>
        <row r="15">
          <cell r="A15" t="str">
            <v>04.23</v>
          </cell>
          <cell r="B15">
            <v>45017</v>
          </cell>
        </row>
        <row r="16">
          <cell r="A16" t="str">
            <v>05.17</v>
          </cell>
          <cell r="B16">
            <v>42856</v>
          </cell>
        </row>
        <row r="17">
          <cell r="A17" t="str">
            <v>05.18</v>
          </cell>
          <cell r="B17">
            <v>43221</v>
          </cell>
        </row>
        <row r="18">
          <cell r="A18" t="str">
            <v>05.19</v>
          </cell>
          <cell r="B18">
            <v>43586</v>
          </cell>
        </row>
        <row r="19">
          <cell r="A19" t="str">
            <v>06.19</v>
          </cell>
          <cell r="B19">
            <v>43617</v>
          </cell>
        </row>
        <row r="20">
          <cell r="A20" t="str">
            <v>06.20</v>
          </cell>
          <cell r="B20">
            <v>43983</v>
          </cell>
        </row>
        <row r="21">
          <cell r="A21" t="str">
            <v>07.17</v>
          </cell>
          <cell r="B21">
            <v>42917</v>
          </cell>
        </row>
        <row r="22">
          <cell r="A22" t="str">
            <v>07.19</v>
          </cell>
          <cell r="B22">
            <v>43647</v>
          </cell>
        </row>
        <row r="23">
          <cell r="A23" t="str">
            <v>07.20</v>
          </cell>
          <cell r="B23">
            <v>44013</v>
          </cell>
        </row>
        <row r="24">
          <cell r="A24" t="str">
            <v>08.18</v>
          </cell>
          <cell r="B24">
            <v>43313</v>
          </cell>
        </row>
        <row r="25">
          <cell r="A25" t="str">
            <v>08.19</v>
          </cell>
          <cell r="B25">
            <v>43678</v>
          </cell>
        </row>
        <row r="26">
          <cell r="A26" t="str">
            <v>08.20</v>
          </cell>
          <cell r="B26">
            <v>44044</v>
          </cell>
        </row>
        <row r="27">
          <cell r="A27" t="str">
            <v>09.17</v>
          </cell>
          <cell r="B27">
            <v>42979</v>
          </cell>
        </row>
        <row r="28">
          <cell r="A28" t="str">
            <v>09.18</v>
          </cell>
          <cell r="B28">
            <v>43344</v>
          </cell>
        </row>
        <row r="29">
          <cell r="A29" t="str">
            <v>09.19</v>
          </cell>
          <cell r="B29">
            <v>43709</v>
          </cell>
        </row>
        <row r="30">
          <cell r="A30" t="str">
            <v>09.20</v>
          </cell>
          <cell r="B30">
            <v>44075</v>
          </cell>
        </row>
        <row r="31">
          <cell r="A31" t="str">
            <v>10.18</v>
          </cell>
          <cell r="B31">
            <v>43374</v>
          </cell>
        </row>
        <row r="32">
          <cell r="A32" t="str">
            <v>10.19</v>
          </cell>
          <cell r="B32">
            <v>43739</v>
          </cell>
        </row>
        <row r="33">
          <cell r="A33" t="str">
            <v>10.20</v>
          </cell>
          <cell r="B33">
            <v>44105</v>
          </cell>
        </row>
        <row r="34">
          <cell r="A34" t="str">
            <v>11.18</v>
          </cell>
          <cell r="B34">
            <v>43405</v>
          </cell>
        </row>
        <row r="35">
          <cell r="A35" t="str">
            <v>11.19</v>
          </cell>
          <cell r="B35">
            <v>43770</v>
          </cell>
        </row>
        <row r="36">
          <cell r="A36" t="str">
            <v>12.17</v>
          </cell>
          <cell r="B36">
            <v>43070</v>
          </cell>
        </row>
        <row r="37">
          <cell r="A37" t="str">
            <v>12.18</v>
          </cell>
          <cell r="B37">
            <v>43435</v>
          </cell>
        </row>
        <row r="38">
          <cell r="A38" t="str">
            <v>12.19</v>
          </cell>
          <cell r="B38">
            <v>43800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C by Mth detail (3)"/>
      <sheetName val="FC SKU by Month"/>
      <sheetName val="FC by Mth detail (2)"/>
      <sheetName val="TEMP PB NC LE by Mth"/>
      <sheetName val="Sales control lists"/>
      <sheetName val="Std Costs FY21"/>
      <sheetName val="Latest Input Rules &amp; Requiremts"/>
      <sheetName val="Sheet4 - MC"/>
      <sheetName val="Data Input"/>
      <sheetName val="PB NC LE by Mth"/>
      <sheetName val="FC by Mth by Category"/>
      <sheetName val="FY comparison by account"/>
      <sheetName val="FC by Mth detail"/>
      <sheetName val="adjs in June taken out"/>
      <sheetName val="Aldi Brand FY GSV &amp; Margin"/>
      <sheetName val="Aldi Brand GSV Mth"/>
      <sheetName val="Aldi PL FY GSV &amp; Margin"/>
      <sheetName val="Aldi PL GSV Mth"/>
      <sheetName val="Burtons FY GSV &amp; Margin"/>
      <sheetName val="Burtons GSV Mth"/>
      <sheetName val="CRC FY GSV &amp; Margin"/>
      <sheetName val="CRC GSV Mth"/>
      <sheetName val="Grenade FY GSV &amp; Margin"/>
      <sheetName val="Grenade GSV Mth"/>
      <sheetName val="Hills FY GSV &amp; Margin"/>
      <sheetName val="Hills GSV Mth"/>
      <sheetName val="Jumbo FY GSV &amp; Margin"/>
      <sheetName val="Jumbo GSV Mth"/>
      <sheetName val="Leydens FY GSV &amp; Margin"/>
      <sheetName val="Leydens GSV Mth "/>
      <sheetName val="Lidl FY GSV &amp; Margin"/>
      <sheetName val="Lidl GSV Mth"/>
      <sheetName val="Morrison FY GSV &amp; Margin"/>
      <sheetName val="Morrison GSV Mth"/>
      <sheetName val="T&amp;R FY GSV &amp; Margin"/>
      <sheetName val="T&amp;R GSV Mth"/>
      <sheetName val="Tesco FY GSV &amp; Margin"/>
      <sheetName val="Tesco GSV Mth"/>
      <sheetName val="THG FY GSV &amp; Margin"/>
      <sheetName val="THG GSV Mth"/>
      <sheetName val="TRI FY GSV &amp; Margin"/>
      <sheetName val="TRI GSV Mth"/>
      <sheetName val="Valeo FY GSV &amp; Margin"/>
      <sheetName val="Valeo GSV Mth"/>
      <sheetName val="Foodservice Packs"/>
      <sheetName val="Cust Generic FY GSV &amp; Margin"/>
      <sheetName val="Cust Generic GSV Mth"/>
      <sheetName val="SKU Cases per Month"/>
      <sheetName val="S&amp;OP FORMAT CASES"/>
      <sheetName val="LC by week"/>
      <sheetName val="PB FORMAT - GSV &amp; NSV"/>
      <sheetName val="PB NC LE by Wk"/>
      <sheetName val="GSV &amp; NSV LE FC by mth"/>
      <sheetName val="workings"/>
      <sheetName val="Company Summary P&amp;Ls"/>
      <sheetName val="Brand Export Summary"/>
      <sheetName val="PL Summary "/>
      <sheetName val="CM Summary"/>
      <sheetName val="Total Sales by Month"/>
      <sheetName val="Sales by Cust by SKU Detail"/>
      <sheetName val="Sales by Cust comparison"/>
      <sheetName val="SOP Sales by cust static wk10"/>
      <sheetName val="VIES info"/>
      <sheetName val="Forecast classification "/>
    </sheetNames>
    <sheetDataSet>
      <sheetData sheetId="0"/>
      <sheetData sheetId="1"/>
      <sheetData sheetId="2"/>
      <sheetData sheetId="3"/>
      <sheetData sheetId="4">
        <row r="1">
          <cell r="H1" t="str">
            <v>Week</v>
          </cell>
          <cell r="I1" t="str">
            <v>% T&amp;R TS</v>
          </cell>
        </row>
        <row r="2">
          <cell r="H2" t="str">
            <v>Week 01</v>
          </cell>
          <cell r="I2">
            <v>0.24199999999999999</v>
          </cell>
        </row>
        <row r="3">
          <cell r="H3" t="str">
            <v>Week 02</v>
          </cell>
          <cell r="I3">
            <v>0.24199999999999999</v>
          </cell>
        </row>
        <row r="4">
          <cell r="H4" t="str">
            <v>Week 03</v>
          </cell>
          <cell r="I4">
            <v>0.24199999999999999</v>
          </cell>
        </row>
        <row r="5">
          <cell r="H5" t="str">
            <v>Week 04</v>
          </cell>
          <cell r="I5">
            <v>0.24199999999999999</v>
          </cell>
        </row>
        <row r="6">
          <cell r="H6" t="str">
            <v>Week 05</v>
          </cell>
          <cell r="I6">
            <v>0.24199999999999999</v>
          </cell>
        </row>
        <row r="7">
          <cell r="H7" t="str">
            <v>Week 06</v>
          </cell>
          <cell r="I7">
            <v>0.24199999999999999</v>
          </cell>
        </row>
        <row r="8">
          <cell r="H8" t="str">
            <v>Week 07</v>
          </cell>
          <cell r="I8">
            <v>0.24199999999999999</v>
          </cell>
        </row>
        <row r="9">
          <cell r="H9" t="str">
            <v>Week 08</v>
          </cell>
          <cell r="I9">
            <v>0.24199999999999999</v>
          </cell>
        </row>
        <row r="10">
          <cell r="H10" t="str">
            <v>Week 09</v>
          </cell>
          <cell r="I10">
            <v>0.24199999999999999</v>
          </cell>
        </row>
        <row r="11">
          <cell r="H11" t="str">
            <v>Week 10</v>
          </cell>
          <cell r="I11">
            <v>0.24199999999999999</v>
          </cell>
        </row>
        <row r="12">
          <cell r="H12" t="str">
            <v>Week 11</v>
          </cell>
          <cell r="I12">
            <v>0.24199999999999999</v>
          </cell>
        </row>
        <row r="13">
          <cell r="H13" t="str">
            <v>Week 12</v>
          </cell>
          <cell r="I13">
            <v>0.24199999999999999</v>
          </cell>
        </row>
        <row r="14">
          <cell r="H14" t="str">
            <v>Week 13</v>
          </cell>
          <cell r="I14">
            <v>0.24199999999999999</v>
          </cell>
        </row>
        <row r="15">
          <cell r="H15" t="str">
            <v>Week 14</v>
          </cell>
          <cell r="I15">
            <v>0.24199999999999999</v>
          </cell>
        </row>
        <row r="16">
          <cell r="H16" t="str">
            <v>Week 15</v>
          </cell>
          <cell r="I16">
            <v>0.24199999999999999</v>
          </cell>
        </row>
        <row r="17">
          <cell r="H17" t="str">
            <v>Week 16</v>
          </cell>
          <cell r="I17">
            <v>0.24199999999999999</v>
          </cell>
        </row>
        <row r="18">
          <cell r="H18" t="str">
            <v>Week 17</v>
          </cell>
          <cell r="I18">
            <v>0.24199999999999999</v>
          </cell>
        </row>
        <row r="19">
          <cell r="H19" t="str">
            <v>Week 18</v>
          </cell>
          <cell r="I19">
            <v>0.24199999999999999</v>
          </cell>
        </row>
        <row r="20">
          <cell r="H20" t="str">
            <v>Week 19</v>
          </cell>
          <cell r="I20">
            <v>0.24199999999999999</v>
          </cell>
        </row>
        <row r="21">
          <cell r="H21" t="str">
            <v>Week 20</v>
          </cell>
          <cell r="I21">
            <v>0.24199999999999999</v>
          </cell>
        </row>
        <row r="22">
          <cell r="H22" t="str">
            <v>Week 21</v>
          </cell>
          <cell r="I22">
            <v>0.24199999999999999</v>
          </cell>
        </row>
        <row r="23">
          <cell r="H23" t="str">
            <v>Week 22</v>
          </cell>
          <cell r="I23">
            <v>0.24199999999999999</v>
          </cell>
        </row>
        <row r="24">
          <cell r="H24" t="str">
            <v>Week 23</v>
          </cell>
          <cell r="I24">
            <v>0.24199999999999999</v>
          </cell>
        </row>
        <row r="25">
          <cell r="H25" t="str">
            <v>Week 24</v>
          </cell>
          <cell r="I25">
            <v>0.24199999999999999</v>
          </cell>
        </row>
        <row r="26">
          <cell r="H26" t="str">
            <v>Week 25</v>
          </cell>
          <cell r="I26">
            <v>0.24199999999999999</v>
          </cell>
        </row>
        <row r="27">
          <cell r="H27" t="str">
            <v>Week 26</v>
          </cell>
          <cell r="I27">
            <v>0.24199999999999999</v>
          </cell>
        </row>
        <row r="28">
          <cell r="H28" t="str">
            <v>Week 27</v>
          </cell>
          <cell r="I28">
            <v>0.24199999999999999</v>
          </cell>
        </row>
        <row r="29">
          <cell r="H29" t="str">
            <v>Week 28</v>
          </cell>
          <cell r="I29">
            <v>0.24199999999999999</v>
          </cell>
        </row>
        <row r="30">
          <cell r="H30" t="str">
            <v>Week 29</v>
          </cell>
          <cell r="I30">
            <v>0.24199999999999999</v>
          </cell>
        </row>
        <row r="31">
          <cell r="H31" t="str">
            <v>Week 30</v>
          </cell>
          <cell r="I31">
            <v>0.24199999999999999</v>
          </cell>
        </row>
        <row r="32">
          <cell r="H32" t="str">
            <v>Week 31</v>
          </cell>
          <cell r="I32">
            <v>0.24199999999999999</v>
          </cell>
        </row>
        <row r="33">
          <cell r="H33" t="str">
            <v>Week 32</v>
          </cell>
          <cell r="I33">
            <v>0.24199999999999999</v>
          </cell>
        </row>
        <row r="34">
          <cell r="H34" t="str">
            <v>Week 33</v>
          </cell>
          <cell r="I34">
            <v>0.24199999999999999</v>
          </cell>
        </row>
        <row r="35">
          <cell r="H35" t="str">
            <v>Week 34</v>
          </cell>
          <cell r="I35">
            <v>0.24199999999999999</v>
          </cell>
        </row>
        <row r="36">
          <cell r="H36" t="str">
            <v>Week 35</v>
          </cell>
          <cell r="I36">
            <v>0.24199999999999999</v>
          </cell>
        </row>
        <row r="37">
          <cell r="H37" t="str">
            <v>Week 36</v>
          </cell>
          <cell r="I37">
            <v>0.24199999999999999</v>
          </cell>
        </row>
        <row r="38">
          <cell r="H38" t="str">
            <v>Week 37</v>
          </cell>
          <cell r="I38">
            <v>0.24199999999999999</v>
          </cell>
        </row>
        <row r="39">
          <cell r="H39" t="str">
            <v>Week 38</v>
          </cell>
          <cell r="I39">
            <v>0.24199999999999999</v>
          </cell>
        </row>
        <row r="40">
          <cell r="H40" t="str">
            <v>Week 39</v>
          </cell>
          <cell r="I40">
            <v>0.24199999999999999</v>
          </cell>
        </row>
        <row r="41">
          <cell r="H41" t="str">
            <v>Week 40</v>
          </cell>
          <cell r="I41">
            <v>0.24199999999999999</v>
          </cell>
        </row>
        <row r="42">
          <cell r="H42" t="str">
            <v>Week 41</v>
          </cell>
          <cell r="I42">
            <v>0.24199999999999999</v>
          </cell>
        </row>
        <row r="43">
          <cell r="H43" t="str">
            <v>Week 42</v>
          </cell>
          <cell r="I43">
            <v>0.24199999999999999</v>
          </cell>
        </row>
        <row r="44">
          <cell r="H44" t="str">
            <v>Week 43</v>
          </cell>
          <cell r="I44">
            <v>0.24199999999999999</v>
          </cell>
        </row>
        <row r="45">
          <cell r="H45" t="str">
            <v>Week 44</v>
          </cell>
          <cell r="I45">
            <v>0.24199999999999999</v>
          </cell>
        </row>
        <row r="46">
          <cell r="H46" t="str">
            <v>Week 45</v>
          </cell>
          <cell r="I46">
            <v>0.24199999999999999</v>
          </cell>
        </row>
        <row r="47">
          <cell r="H47" t="str">
            <v>Week 46</v>
          </cell>
          <cell r="I47">
            <v>0.24199999999999999</v>
          </cell>
        </row>
        <row r="48">
          <cell r="H48" t="str">
            <v>Week 47</v>
          </cell>
          <cell r="I48">
            <v>0.24199999999999999</v>
          </cell>
        </row>
        <row r="49">
          <cell r="H49" t="str">
            <v>Week 48</v>
          </cell>
          <cell r="I49">
            <v>0.24199999999999999</v>
          </cell>
        </row>
        <row r="50">
          <cell r="H50" t="str">
            <v>Week 49</v>
          </cell>
          <cell r="I50">
            <v>0.24199999999999999</v>
          </cell>
        </row>
        <row r="51">
          <cell r="H51" t="str">
            <v>Week 50</v>
          </cell>
          <cell r="I51">
            <v>0.24199999999999999</v>
          </cell>
        </row>
        <row r="52">
          <cell r="H52" t="str">
            <v>Week 51</v>
          </cell>
          <cell r="I52">
            <v>0.24199999999999999</v>
          </cell>
        </row>
        <row r="53">
          <cell r="H53" t="str">
            <v>Week 52</v>
          </cell>
          <cell r="I53">
            <v>0.24199999999999999</v>
          </cell>
        </row>
      </sheetData>
      <sheetData sheetId="5">
        <row r="6">
          <cell r="A6" t="str">
            <v>FAL0001</v>
          </cell>
          <cell r="B6" t="str">
            <v>FAL0001</v>
          </cell>
          <cell r="C6" t="str">
            <v>Belmont Chocolate Chip Cookie</v>
          </cell>
          <cell r="D6" t="str">
            <v>PL</v>
          </cell>
          <cell r="F6">
            <v>0</v>
          </cell>
          <cell r="G6" t="e">
            <v>#VALUE!</v>
          </cell>
          <cell r="H6">
            <v>113</v>
          </cell>
          <cell r="I6">
            <v>38</v>
          </cell>
          <cell r="J6">
            <v>2.375</v>
          </cell>
          <cell r="K6">
            <v>4555.109856</v>
          </cell>
          <cell r="M6">
            <v>0.2</v>
          </cell>
          <cell r="N6">
            <v>30</v>
          </cell>
          <cell r="O6">
            <v>50</v>
          </cell>
          <cell r="P6">
            <v>6</v>
          </cell>
          <cell r="Q6">
            <v>736.41</v>
          </cell>
          <cell r="R6">
            <v>928.755</v>
          </cell>
          <cell r="S6">
            <v>0.88</v>
          </cell>
          <cell r="T6">
            <v>0.88</v>
          </cell>
          <cell r="AA6">
            <v>719.22787200000005</v>
          </cell>
          <cell r="AB6">
            <v>119.871312</v>
          </cell>
          <cell r="AC6">
            <v>3596.1393600000001</v>
          </cell>
          <cell r="AD6">
            <v>6.1433381157953786</v>
          </cell>
          <cell r="AE6">
            <v>1.05</v>
          </cell>
          <cell r="AF6">
            <v>0.8</v>
          </cell>
          <cell r="AH6">
            <v>0.28200000000000003</v>
          </cell>
          <cell r="AI6">
            <v>353.125</v>
          </cell>
          <cell r="AJ6">
            <v>1.550456569274012</v>
          </cell>
          <cell r="AK6">
            <v>0</v>
          </cell>
          <cell r="AL6">
            <v>0</v>
          </cell>
          <cell r="AM6">
            <v>0</v>
          </cell>
          <cell r="AN6">
            <v>6.2018262770960481E-2</v>
          </cell>
          <cell r="AO6">
            <v>9.0878129478403018</v>
          </cell>
          <cell r="AP6">
            <v>1.6479688246400503</v>
          </cell>
          <cell r="AQ6">
            <v>9.8878129478403025</v>
          </cell>
          <cell r="AR6">
            <v>0</v>
          </cell>
          <cell r="AS6">
            <v>0</v>
          </cell>
          <cell r="AT6">
            <v>0</v>
          </cell>
          <cell r="AU6">
            <v>0</v>
          </cell>
          <cell r="AV6">
            <v>0</v>
          </cell>
          <cell r="AW6">
            <v>0</v>
          </cell>
          <cell r="AX6">
            <v>0</v>
          </cell>
          <cell r="AY6">
            <v>0</v>
          </cell>
          <cell r="AZ6">
            <v>0</v>
          </cell>
          <cell r="BA6">
            <v>0</v>
          </cell>
          <cell r="BB6">
            <v>0</v>
          </cell>
          <cell r="BC6">
            <v>0</v>
          </cell>
          <cell r="BD6">
            <v>0</v>
          </cell>
        </row>
        <row r="7">
          <cell r="A7" t="str">
            <v>FAL0002</v>
          </cell>
          <cell r="B7" t="str">
            <v>FAL0002</v>
          </cell>
          <cell r="C7" t="str">
            <v>Everyday Essentials Chocolate Chip (RSPO SG) (UTZ MB)</v>
          </cell>
          <cell r="D7" t="str">
            <v>PL</v>
          </cell>
          <cell r="F7">
            <v>59280</v>
          </cell>
          <cell r="G7" t="e">
            <v>#VALUE!</v>
          </cell>
          <cell r="H7">
            <v>113</v>
          </cell>
          <cell r="I7">
            <v>38</v>
          </cell>
          <cell r="J7">
            <v>2.375</v>
          </cell>
          <cell r="K7">
            <v>4762.535556533333</v>
          </cell>
          <cell r="M7">
            <v>0.4</v>
          </cell>
          <cell r="N7">
            <v>15</v>
          </cell>
          <cell r="O7">
            <v>50</v>
          </cell>
          <cell r="P7">
            <v>6</v>
          </cell>
          <cell r="Q7">
            <v>581</v>
          </cell>
          <cell r="R7">
            <v>960.13699999999994</v>
          </cell>
          <cell r="S7">
            <v>0.88</v>
          </cell>
          <cell r="T7">
            <v>0.89</v>
          </cell>
          <cell r="AA7">
            <v>751.97929839999995</v>
          </cell>
          <cell r="AB7">
            <v>125.32988306666665</v>
          </cell>
          <cell r="AC7">
            <v>1879.9482459999997</v>
          </cell>
          <cell r="AD7">
            <v>4.6357659145899701</v>
          </cell>
          <cell r="AE7">
            <v>0.96449999999999991</v>
          </cell>
          <cell r="AF7">
            <v>0.8</v>
          </cell>
          <cell r="AH7">
            <v>0.30600000000000005</v>
          </cell>
          <cell r="AI7">
            <v>353.125</v>
          </cell>
          <cell r="AJ7">
            <v>1.4829285610921128</v>
          </cell>
          <cell r="AK7">
            <v>0.42749999999999999</v>
          </cell>
          <cell r="AL7">
            <v>0</v>
          </cell>
          <cell r="AM7">
            <v>4.1646548644641783E-2</v>
          </cell>
          <cell r="AN7">
            <v>7.6417142443684513E-2</v>
          </cell>
          <cell r="AO7">
            <v>7.8572706718311336</v>
          </cell>
          <cell r="AP7">
            <v>1.4428784453051888</v>
          </cell>
          <cell r="AQ7">
            <v>8.6572706718311334</v>
          </cell>
          <cell r="AR7">
            <v>15.558938956024857</v>
          </cell>
          <cell r="AS7">
            <v>15.558938956024857</v>
          </cell>
          <cell r="AT7">
            <v>0</v>
          </cell>
          <cell r="AU7">
            <v>0</v>
          </cell>
          <cell r="AV7">
            <v>0</v>
          </cell>
          <cell r="AW7">
            <v>3810.0284452266665</v>
          </cell>
          <cell r="AX7">
            <v>0</v>
          </cell>
          <cell r="AY7">
            <v>0</v>
          </cell>
          <cell r="AZ7">
            <v>4.6102846006617459E-2</v>
          </cell>
          <cell r="BA7">
            <v>2468.8074036543649</v>
          </cell>
          <cell r="BB7">
            <v>4.1646548644641783E-2</v>
          </cell>
          <cell r="BC7">
            <v>2468.8074036543649</v>
          </cell>
          <cell r="BD7">
            <v>-7.7487494939270998E-2</v>
          </cell>
        </row>
        <row r="8">
          <cell r="A8" t="str">
            <v>FBL0001</v>
          </cell>
          <cell r="B8" t="str">
            <v>FOM0006</v>
          </cell>
          <cell r="C8" t="str">
            <v>Bolands Chocolate Chip Cookie 14%</v>
          </cell>
          <cell r="D8" t="str">
            <v>CM</v>
          </cell>
          <cell r="F8">
            <v>15600</v>
          </cell>
          <cell r="G8" t="e">
            <v>#VALUE!</v>
          </cell>
          <cell r="H8">
            <v>113</v>
          </cell>
          <cell r="I8">
            <v>31</v>
          </cell>
          <cell r="J8">
            <v>1.9375</v>
          </cell>
          <cell r="K8">
            <v>7668.2275062413792</v>
          </cell>
          <cell r="M8">
            <v>0.14499999999999999</v>
          </cell>
          <cell r="N8">
            <v>20</v>
          </cell>
          <cell r="O8">
            <v>161</v>
          </cell>
          <cell r="P8">
            <v>2.9</v>
          </cell>
          <cell r="Q8">
            <v>641</v>
          </cell>
          <cell r="R8">
            <v>905.63099999999997</v>
          </cell>
          <cell r="S8">
            <v>0.89</v>
          </cell>
          <cell r="T8">
            <v>0.89</v>
          </cell>
          <cell r="AA8">
            <v>717.35031509999999</v>
          </cell>
          <cell r="AB8">
            <v>247.36217762068966</v>
          </cell>
          <cell r="AC8">
            <v>4947.2435524137936</v>
          </cell>
          <cell r="AD8">
            <v>2.5913419996767768</v>
          </cell>
          <cell r="AE8">
            <v>0.6</v>
          </cell>
          <cell r="AF8">
            <v>5.9722885809842335E-2</v>
          </cell>
          <cell r="AH8">
            <v>0.14000000000000001</v>
          </cell>
          <cell r="AI8">
            <v>353.125</v>
          </cell>
          <cell r="AJ8">
            <v>0.92100814617871452</v>
          </cell>
          <cell r="AK8">
            <v>0</v>
          </cell>
          <cell r="AL8">
            <v>0</v>
          </cell>
          <cell r="AM8">
            <v>2.5865582178614895E-2</v>
          </cell>
          <cell r="AN8">
            <v>3.6840325847148581E-2</v>
          </cell>
          <cell r="AO8">
            <v>4.2854196414881072</v>
          </cell>
          <cell r="AP8">
            <v>1.498325009413086</v>
          </cell>
          <cell r="AQ8">
            <v>4.3451425272979494</v>
          </cell>
          <cell r="AR8">
            <v>2.5429605452014061</v>
          </cell>
          <cell r="AS8">
            <v>2.5429605452014061</v>
          </cell>
          <cell r="AT8">
            <v>0</v>
          </cell>
          <cell r="AU8">
            <v>0</v>
          </cell>
          <cell r="AV8">
            <v>0</v>
          </cell>
          <cell r="AW8">
            <v>6134.5820049931044</v>
          </cell>
          <cell r="AX8">
            <v>0</v>
          </cell>
          <cell r="AY8">
            <v>0</v>
          </cell>
          <cell r="AZ8">
            <v>7.5350715590362721E-3</v>
          </cell>
          <cell r="BA8">
            <v>403.50308198639237</v>
          </cell>
          <cell r="BB8">
            <v>2.5865582178614895E-2</v>
          </cell>
          <cell r="BC8">
            <v>403.50308198639237</v>
          </cell>
          <cell r="BD8">
            <v>-2.9636412393162153E-2</v>
          </cell>
        </row>
        <row r="9">
          <cell r="A9" t="str">
            <v>FCM0001</v>
          </cell>
          <cell r="B9" t="str">
            <v>FEB0007+</v>
          </cell>
          <cell r="C9" t="str">
            <v>Coconut Crunch (Squares)</v>
          </cell>
          <cell r="D9" t="str">
            <v>CM</v>
          </cell>
          <cell r="F9">
            <v>0</v>
          </cell>
          <cell r="G9" t="e">
            <v>#VALUE!</v>
          </cell>
          <cell r="H9">
            <v>54.545454545454547</v>
          </cell>
          <cell r="I9">
            <v>31</v>
          </cell>
          <cell r="J9">
            <v>1.9375</v>
          </cell>
          <cell r="K9">
            <v>21455.829771000001</v>
          </cell>
          <cell r="M9">
            <v>1</v>
          </cell>
          <cell r="N9">
            <v>1</v>
          </cell>
          <cell r="O9">
            <v>200</v>
          </cell>
          <cell r="P9">
            <v>1</v>
          </cell>
          <cell r="Q9">
            <v>1402</v>
          </cell>
          <cell r="R9">
            <v>893.87</v>
          </cell>
          <cell r="S9">
            <v>0.87</v>
          </cell>
          <cell r="T9">
            <v>0.89</v>
          </cell>
          <cell r="AA9">
            <v>692.12354100000005</v>
          </cell>
          <cell r="AB9">
            <v>692.12354100000005</v>
          </cell>
          <cell r="AC9">
            <v>692.12354100000005</v>
          </cell>
          <cell r="AD9">
            <v>2.0256499265641938</v>
          </cell>
          <cell r="AE9">
            <v>0.02</v>
          </cell>
          <cell r="AF9">
            <v>0.2</v>
          </cell>
          <cell r="AH9">
            <v>0.1</v>
          </cell>
          <cell r="AI9">
            <v>353.125</v>
          </cell>
          <cell r="AJ9">
            <v>0.52737552301096624</v>
          </cell>
          <cell r="AK9">
            <v>0.05</v>
          </cell>
          <cell r="AL9">
            <v>0</v>
          </cell>
          <cell r="AM9">
            <v>0</v>
          </cell>
          <cell r="AN9">
            <v>0.02</v>
          </cell>
          <cell r="AO9">
            <v>2.75</v>
          </cell>
          <cell r="AP9">
            <v>2.95</v>
          </cell>
          <cell r="AQ9">
            <v>2.95</v>
          </cell>
          <cell r="AR9">
            <v>0</v>
          </cell>
          <cell r="AS9">
            <v>0</v>
          </cell>
          <cell r="AT9">
            <v>0</v>
          </cell>
          <cell r="AU9">
            <v>0</v>
          </cell>
          <cell r="AV9">
            <v>0</v>
          </cell>
          <cell r="AW9">
            <v>0</v>
          </cell>
          <cell r="AX9">
            <v>0</v>
          </cell>
          <cell r="AY9">
            <v>0</v>
          </cell>
          <cell r="AZ9">
            <v>0</v>
          </cell>
          <cell r="BA9">
            <v>0</v>
          </cell>
          <cell r="BB9">
            <v>0</v>
          </cell>
          <cell r="BC9">
            <v>0</v>
          </cell>
          <cell r="BD9">
            <v>0</v>
          </cell>
        </row>
        <row r="10">
          <cell r="A10" t="str">
            <v>FCM0002</v>
          </cell>
          <cell r="B10" t="str">
            <v>FJA0001+</v>
          </cell>
          <cell r="C10" t="str">
            <v>Coolmore Wholemeal Biscuits (Squares)</v>
          </cell>
          <cell r="D10" t="str">
            <v>CM</v>
          </cell>
          <cell r="F10">
            <v>0</v>
          </cell>
          <cell r="G10" t="e">
            <v>#VALUE!</v>
          </cell>
          <cell r="H10">
            <v>54.545454545454547</v>
          </cell>
          <cell r="I10">
            <v>31</v>
          </cell>
          <cell r="J10">
            <v>1.9375</v>
          </cell>
          <cell r="K10">
            <v>21429.159897499998</v>
          </cell>
          <cell r="M10">
            <v>1</v>
          </cell>
          <cell r="N10">
            <v>1</v>
          </cell>
          <cell r="O10">
            <v>200</v>
          </cell>
          <cell r="P10">
            <v>1</v>
          </cell>
          <cell r="Q10">
            <v>436</v>
          </cell>
          <cell r="R10">
            <v>913.76499999999999</v>
          </cell>
          <cell r="S10">
            <v>0.89</v>
          </cell>
          <cell r="T10">
            <v>0.85</v>
          </cell>
          <cell r="AA10">
            <v>691.26322249999998</v>
          </cell>
          <cell r="AB10">
            <v>691.26322249999998</v>
          </cell>
          <cell r="AC10">
            <v>691.26322249999998</v>
          </cell>
          <cell r="AD10">
            <v>0.6307293456509615</v>
          </cell>
          <cell r="AE10">
            <v>0.02</v>
          </cell>
          <cell r="AF10">
            <v>0.2</v>
          </cell>
          <cell r="AH10">
            <v>0.1</v>
          </cell>
          <cell r="AI10">
            <v>353.125</v>
          </cell>
          <cell r="AJ10">
            <v>0.32957428260283483</v>
          </cell>
          <cell r="AK10">
            <v>0.05</v>
          </cell>
          <cell r="AL10">
            <v>0</v>
          </cell>
          <cell r="AM10">
            <v>0</v>
          </cell>
          <cell r="AN10">
            <v>0.02</v>
          </cell>
          <cell r="AO10">
            <v>1.1500000000000001</v>
          </cell>
          <cell r="AP10">
            <v>1.35</v>
          </cell>
          <cell r="AQ10">
            <v>1.35</v>
          </cell>
          <cell r="AR10">
            <v>0</v>
          </cell>
          <cell r="AS10">
            <v>0</v>
          </cell>
          <cell r="AT10">
            <v>0</v>
          </cell>
          <cell r="AU10">
            <v>0</v>
          </cell>
          <cell r="AV10">
            <v>0</v>
          </cell>
          <cell r="AW10">
            <v>0</v>
          </cell>
          <cell r="AX10">
            <v>0</v>
          </cell>
          <cell r="AY10">
            <v>0</v>
          </cell>
          <cell r="AZ10">
            <v>0</v>
          </cell>
          <cell r="BA10">
            <v>0</v>
          </cell>
          <cell r="BB10">
            <v>0</v>
          </cell>
          <cell r="BC10">
            <v>0</v>
          </cell>
          <cell r="BD10">
            <v>0</v>
          </cell>
        </row>
        <row r="11">
          <cell r="A11" t="str">
            <v>FEB0001</v>
          </cell>
          <cell r="B11" t="str">
            <v>FEB0001</v>
          </cell>
          <cell r="C11" t="str">
            <v>ECB Milk Chocolate Chunk 12 x160g</v>
          </cell>
          <cell r="D11" t="str">
            <v>Brand</v>
          </cell>
          <cell r="F11">
            <v>26985.160000000003</v>
          </cell>
          <cell r="G11" t="e">
            <v>#VALUE!</v>
          </cell>
          <cell r="H11">
            <v>353</v>
          </cell>
          <cell r="I11">
            <v>31</v>
          </cell>
          <cell r="J11">
            <v>1.9375</v>
          </cell>
          <cell r="K11">
            <v>11363.460824270833</v>
          </cell>
          <cell r="M11">
            <v>0.16</v>
          </cell>
          <cell r="N11">
            <v>12</v>
          </cell>
          <cell r="O11">
            <v>160</v>
          </cell>
          <cell r="P11">
            <v>1.92</v>
          </cell>
          <cell r="Q11">
            <v>1789.45</v>
          </cell>
          <cell r="R11">
            <v>888.52599999999995</v>
          </cell>
          <cell r="S11">
            <v>0.89</v>
          </cell>
          <cell r="T11">
            <v>0.89</v>
          </cell>
          <cell r="AA11">
            <v>703.80144459999997</v>
          </cell>
          <cell r="AB11">
            <v>366.56325239583333</v>
          </cell>
          <cell r="AC11">
            <v>4398.7590287499997</v>
          </cell>
          <cell r="AD11">
            <v>4.8816950098087366</v>
          </cell>
          <cell r="AE11">
            <v>0.59040000000000004</v>
          </cell>
          <cell r="AF11">
            <v>8.0399999999999999E-2</v>
          </cell>
          <cell r="AH11">
            <v>0.10799999999999998</v>
          </cell>
          <cell r="AI11">
            <v>353.125</v>
          </cell>
          <cell r="AJ11">
            <v>0.62150960074728678</v>
          </cell>
          <cell r="AK11">
            <v>0</v>
          </cell>
          <cell r="AL11">
            <v>0</v>
          </cell>
          <cell r="AM11">
            <v>1.745446847525246E-2</v>
          </cell>
          <cell r="AN11">
            <v>2.4860384029891471E-2</v>
          </cell>
          <cell r="AO11">
            <v>5.9622358535226203</v>
          </cell>
          <cell r="AP11">
            <v>3.1472061737096984</v>
          </cell>
          <cell r="AQ11">
            <v>6.0426358535226203</v>
          </cell>
          <cell r="AR11">
            <v>2.9684134544604701</v>
          </cell>
          <cell r="AS11">
            <v>2.9684134544604701</v>
          </cell>
          <cell r="AT11">
            <v>0</v>
          </cell>
          <cell r="AU11">
            <v>0</v>
          </cell>
          <cell r="AV11">
            <v>0</v>
          </cell>
          <cell r="AW11">
            <v>9090.7686594166662</v>
          </cell>
          <cell r="AX11">
            <v>0</v>
          </cell>
          <cell r="AY11">
            <v>0</v>
          </cell>
          <cell r="AZ11">
            <v>8.7957352851474081E-3</v>
          </cell>
          <cell r="BA11">
            <v>471.0116245196437</v>
          </cell>
          <cell r="BB11">
            <v>1.745446847525246E-2</v>
          </cell>
          <cell r="BC11">
            <v>471.0116245196437</v>
          </cell>
          <cell r="BD11">
            <v>-0.28168360953853827</v>
          </cell>
        </row>
        <row r="12">
          <cell r="A12" t="str">
            <v>FEB0002</v>
          </cell>
          <cell r="B12" t="str">
            <v>FEB0002</v>
          </cell>
          <cell r="C12" t="str">
            <v>ECB Caramel and Pecan (SG) 12 x 160g</v>
          </cell>
          <cell r="D12" t="str">
            <v>Brand</v>
          </cell>
          <cell r="F12">
            <v>20092.12</v>
          </cell>
          <cell r="G12" t="e">
            <v>#VALUE!</v>
          </cell>
          <cell r="H12">
            <v>353</v>
          </cell>
          <cell r="I12">
            <v>31</v>
          </cell>
          <cell r="J12">
            <v>1.9375</v>
          </cell>
          <cell r="K12">
            <v>11429.155200833333</v>
          </cell>
          <cell r="M12">
            <v>0.16</v>
          </cell>
          <cell r="N12">
            <v>12</v>
          </cell>
          <cell r="O12">
            <v>160</v>
          </cell>
          <cell r="P12">
            <v>1.92</v>
          </cell>
          <cell r="Q12">
            <v>2419</v>
          </cell>
          <cell r="R12">
            <v>903.81799999999998</v>
          </cell>
          <cell r="S12">
            <v>0.88</v>
          </cell>
          <cell r="T12">
            <v>0.89</v>
          </cell>
          <cell r="AA12">
            <v>707.87025759999995</v>
          </cell>
          <cell r="AB12">
            <v>368.6824258333333</v>
          </cell>
          <cell r="AC12">
            <v>4424.1891099999993</v>
          </cell>
          <cell r="AD12">
            <v>6.5612023533053732</v>
          </cell>
          <cell r="AE12">
            <v>0.59040000000000004</v>
          </cell>
          <cell r="AF12">
            <v>8.0399999999999999E-2</v>
          </cell>
          <cell r="AH12">
            <v>0.10799999999999998</v>
          </cell>
          <cell r="AI12">
            <v>353.125</v>
          </cell>
          <cell r="AJ12">
            <v>0.61793718572349532</v>
          </cell>
          <cell r="AK12">
            <v>0</v>
          </cell>
          <cell r="AL12">
            <v>0.15677788107974669</v>
          </cell>
          <cell r="AM12">
            <v>4.7384109287103987E-2</v>
          </cell>
          <cell r="AN12">
            <v>2.4717487428939814E-2</v>
          </cell>
          <cell r="AO12">
            <v>7.7996489107650886</v>
          </cell>
          <cell r="AP12">
            <v>4.1041921410234838</v>
          </cell>
          <cell r="AQ12">
            <v>7.8800489107650886</v>
          </cell>
          <cell r="AR12">
            <v>2.197463378410399</v>
          </cell>
          <cell r="AS12">
            <v>6</v>
          </cell>
          <cell r="AT12">
            <v>0.63375610359826684</v>
          </cell>
          <cell r="AU12">
            <v>1.5</v>
          </cell>
          <cell r="AV12">
            <v>525</v>
          </cell>
          <cell r="AW12">
            <v>3348.6866666666665</v>
          </cell>
          <cell r="AX12">
            <v>0.15677788107974669</v>
          </cell>
          <cell r="AY12">
            <v>3150</v>
          </cell>
          <cell r="AZ12">
            <v>1.777865938169202E-2</v>
          </cell>
          <cell r="BA12">
            <v>952.04720988960764</v>
          </cell>
          <cell r="BB12">
            <v>4.7384109287103987E-2</v>
          </cell>
          <cell r="BC12">
            <v>952.04720988960776</v>
          </cell>
          <cell r="BD12">
            <v>-0.30677010605955446</v>
          </cell>
        </row>
        <row r="13">
          <cell r="A13" t="str">
            <v>FEB0003</v>
          </cell>
          <cell r="B13" t="str">
            <v>FEB0001+</v>
          </cell>
          <cell r="C13" t="str">
            <v>Milk Chocolate Chunk Cookie 20g single pack</v>
          </cell>
          <cell r="D13" t="str">
            <v>Brand</v>
          </cell>
          <cell r="F13">
            <v>0</v>
          </cell>
          <cell r="G13" t="e">
            <v>#VALUE!</v>
          </cell>
          <cell r="H13">
            <v>600</v>
          </cell>
          <cell r="I13">
            <v>31</v>
          </cell>
          <cell r="J13">
            <v>1.9375</v>
          </cell>
          <cell r="K13">
            <v>10908.922391299999</v>
          </cell>
          <cell r="M13">
            <v>2</v>
          </cell>
          <cell r="N13">
            <v>1</v>
          </cell>
          <cell r="O13">
            <v>60</v>
          </cell>
          <cell r="P13">
            <v>2</v>
          </cell>
          <cell r="Q13">
            <v>1789.45</v>
          </cell>
          <cell r="R13">
            <v>888.52599999999995</v>
          </cell>
          <cell r="S13">
            <v>0.89</v>
          </cell>
          <cell r="T13">
            <v>0.89</v>
          </cell>
          <cell r="AA13">
            <v>703.80144459999997</v>
          </cell>
          <cell r="AB13">
            <v>351.90072229999998</v>
          </cell>
          <cell r="AC13">
            <v>351.90072229999998</v>
          </cell>
          <cell r="AD13">
            <v>5.0850989685507679</v>
          </cell>
          <cell r="AE13">
            <v>0.6150000000000001</v>
          </cell>
          <cell r="AF13">
            <v>8.3750000000000005E-2</v>
          </cell>
          <cell r="AH13">
            <v>0.11249999999999999</v>
          </cell>
          <cell r="AI13">
            <v>367.83854166666669</v>
          </cell>
          <cell r="AJ13">
            <v>0.64740583411175712</v>
          </cell>
          <cell r="AK13">
            <v>3.65</v>
          </cell>
          <cell r="AL13">
            <v>0</v>
          </cell>
          <cell r="AM13">
            <v>0</v>
          </cell>
          <cell r="AN13">
            <v>0.17189623336447027</v>
          </cell>
          <cell r="AO13">
            <v>10.281901036026918</v>
          </cell>
          <cell r="AP13">
            <v>5.182825518013459</v>
          </cell>
          <cell r="AQ13">
            <v>10.365651036026918</v>
          </cell>
          <cell r="AR13">
            <v>0</v>
          </cell>
          <cell r="AS13">
            <v>0</v>
          </cell>
          <cell r="AT13">
            <v>0</v>
          </cell>
          <cell r="AU13">
            <v>0</v>
          </cell>
          <cell r="AV13">
            <v>0</v>
          </cell>
          <cell r="AW13">
            <v>0</v>
          </cell>
          <cell r="AX13">
            <v>0</v>
          </cell>
          <cell r="AY13">
            <v>0</v>
          </cell>
          <cell r="AZ13">
            <v>0</v>
          </cell>
          <cell r="BA13">
            <v>0</v>
          </cell>
          <cell r="BB13">
            <v>0</v>
          </cell>
          <cell r="BC13">
            <v>0</v>
          </cell>
          <cell r="BD13">
            <v>0</v>
          </cell>
        </row>
        <row r="14">
          <cell r="A14" t="str">
            <v>FEB0004</v>
          </cell>
          <cell r="B14" t="str">
            <v>FEB0004</v>
          </cell>
          <cell r="C14" t="str">
            <v>ECB Chocolate Enrobed Milk Chocolate Chunk 12 x 160g</v>
          </cell>
          <cell r="D14" t="str">
            <v>Brand</v>
          </cell>
          <cell r="F14">
            <v>20715.969999999998</v>
          </cell>
          <cell r="G14" t="e">
            <v>#VALUE!</v>
          </cell>
          <cell r="H14">
            <v>403</v>
          </cell>
          <cell r="I14">
            <v>31</v>
          </cell>
          <cell r="J14">
            <v>1.9375</v>
          </cell>
          <cell r="K14">
            <v>13644.542733772323</v>
          </cell>
          <cell r="M14">
            <v>0.16</v>
          </cell>
          <cell r="N14">
            <v>12</v>
          </cell>
          <cell r="O14">
            <v>160</v>
          </cell>
          <cell r="P14">
            <v>1.92</v>
          </cell>
          <cell r="Q14">
            <v>1682</v>
          </cell>
          <cell r="R14">
            <v>860.06700000000001</v>
          </cell>
          <cell r="S14">
            <v>0.89</v>
          </cell>
          <cell r="T14">
            <v>0.89</v>
          </cell>
          <cell r="U14">
            <v>0.16</v>
          </cell>
          <cell r="V14">
            <v>2.95</v>
          </cell>
          <cell r="W14">
            <v>0.93</v>
          </cell>
          <cell r="X14">
            <v>3.172043010752688</v>
          </cell>
          <cell r="Y14">
            <v>163.82228571428573</v>
          </cell>
          <cell r="Z14">
            <v>519.65133640552995</v>
          </cell>
          <cell r="AA14">
            <v>845.08135641428578</v>
          </cell>
          <cell r="AB14">
            <v>440.14653979910719</v>
          </cell>
          <cell r="AC14">
            <v>5281.7584775892865</v>
          </cell>
          <cell r="AD14">
            <v>5.0020871171915005</v>
          </cell>
          <cell r="AE14">
            <v>0.59040000000000004</v>
          </cell>
          <cell r="AF14">
            <v>8.0399999999999999E-2</v>
          </cell>
          <cell r="AH14">
            <v>0.10799999999999998</v>
          </cell>
          <cell r="AI14">
            <v>353.125</v>
          </cell>
          <cell r="AJ14">
            <v>0.51760620621746711</v>
          </cell>
          <cell r="AK14">
            <v>0</v>
          </cell>
          <cell r="AL14">
            <v>0</v>
          </cell>
          <cell r="AM14">
            <v>1.4536446738964143E-2</v>
          </cell>
          <cell r="AN14">
            <v>2.0704248248698685E-2</v>
          </cell>
          <cell r="AO14">
            <v>6.0148873431697343</v>
          </cell>
          <cell r="AP14">
            <v>3.17462882456757</v>
          </cell>
          <cell r="AQ14">
            <v>6.0952873431697343</v>
          </cell>
          <cell r="AR14">
            <v>1.8978255999672322</v>
          </cell>
          <cell r="AS14">
            <v>1.8978255999672322</v>
          </cell>
          <cell r="AT14">
            <v>0</v>
          </cell>
          <cell r="AU14">
            <v>0</v>
          </cell>
          <cell r="AV14">
            <v>0</v>
          </cell>
          <cell r="AW14">
            <v>10915.634187017858</v>
          </cell>
          <cell r="AX14">
            <v>0</v>
          </cell>
          <cell r="AY14">
            <v>0</v>
          </cell>
          <cell r="AZ14">
            <v>5.6234658179454529E-3</v>
          </cell>
          <cell r="BA14">
            <v>301.136594550979</v>
          </cell>
          <cell r="BB14">
            <v>1.4536446738964143E-2</v>
          </cell>
          <cell r="BC14">
            <v>301.136594550979</v>
          </cell>
          <cell r="BD14">
            <v>-0.23844667522694887</v>
          </cell>
        </row>
        <row r="15">
          <cell r="A15" t="str">
            <v>FEB0005</v>
          </cell>
          <cell r="B15" t="str">
            <v>FEB0005</v>
          </cell>
          <cell r="C15" t="str">
            <v>ECB Stem Ginger &amp; Chocolate Chunk Crunchy 12 x 160g</v>
          </cell>
          <cell r="D15" t="str">
            <v>Brand</v>
          </cell>
          <cell r="F15">
            <v>19985.509999999998</v>
          </cell>
          <cell r="G15" t="e">
            <v>#VALUE!</v>
          </cell>
          <cell r="H15">
            <v>353</v>
          </cell>
          <cell r="I15">
            <v>31</v>
          </cell>
          <cell r="J15">
            <v>1.9375</v>
          </cell>
          <cell r="K15">
            <v>11524.821082968752</v>
          </cell>
          <cell r="M15">
            <v>0.16</v>
          </cell>
          <cell r="N15">
            <v>12</v>
          </cell>
          <cell r="O15">
            <v>160</v>
          </cell>
          <cell r="P15">
            <v>1.92</v>
          </cell>
          <cell r="Q15">
            <v>1921</v>
          </cell>
          <cell r="R15">
            <v>901.14300000000003</v>
          </cell>
          <cell r="S15">
            <v>0.89</v>
          </cell>
          <cell r="T15">
            <v>0.89</v>
          </cell>
          <cell r="AA15">
            <v>713.79537030000006</v>
          </cell>
          <cell r="AB15">
            <v>371.76842203125005</v>
          </cell>
          <cell r="AC15">
            <v>4461.2210643750004</v>
          </cell>
          <cell r="AD15">
            <v>5.1671951843142958</v>
          </cell>
          <cell r="AE15">
            <v>0.59040000000000004</v>
          </cell>
          <cell r="AF15">
            <v>8.0399999999999999E-2</v>
          </cell>
          <cell r="AH15">
            <v>0.10799999999999998</v>
          </cell>
          <cell r="AI15">
            <v>353.125</v>
          </cell>
          <cell r="AJ15">
            <v>0.61280777802588893</v>
          </cell>
          <cell r="AK15">
            <v>0</v>
          </cell>
          <cell r="AL15">
            <v>0.15761419148172853</v>
          </cell>
          <cell r="AM15">
            <v>4.7636873409265396E-2</v>
          </cell>
          <cell r="AN15">
            <v>2.4512311121035558E-2</v>
          </cell>
          <cell r="AO15">
            <v>6.3587776377947929</v>
          </cell>
          <cell r="AP15">
            <v>3.3537383530181213</v>
          </cell>
          <cell r="AQ15">
            <v>6.4391776377947929</v>
          </cell>
          <cell r="AR15">
            <v>2.1676594647458729</v>
          </cell>
          <cell r="AS15">
            <v>6</v>
          </cell>
          <cell r="AT15">
            <v>0.63872342254235459</v>
          </cell>
          <cell r="AU15">
            <v>1.5</v>
          </cell>
          <cell r="AV15">
            <v>525</v>
          </cell>
          <cell r="AW15">
            <v>3330.9183333333331</v>
          </cell>
          <cell r="AX15">
            <v>0.15761419148172853</v>
          </cell>
          <cell r="AY15">
            <v>3150</v>
          </cell>
          <cell r="AZ15">
            <v>1.777865938169202E-2</v>
          </cell>
          <cell r="BA15">
            <v>952.04720988960764</v>
          </cell>
          <cell r="BB15">
            <v>4.7636873409265396E-2</v>
          </cell>
          <cell r="BC15">
            <v>952.04720988960753</v>
          </cell>
          <cell r="BD15">
            <v>-0.34938870055747506</v>
          </cell>
        </row>
        <row r="16">
          <cell r="A16" t="str">
            <v>FEB0006</v>
          </cell>
          <cell r="B16" t="str">
            <v>FEB0006</v>
          </cell>
          <cell r="C16" t="str">
            <v>ECB Crunch'ems Ginger Crunch</v>
          </cell>
          <cell r="D16" t="str">
            <v>Brand</v>
          </cell>
          <cell r="F16">
            <v>16560.129999999997</v>
          </cell>
          <cell r="G16" t="e">
            <v>#VALUE!</v>
          </cell>
          <cell r="H16">
            <v>262</v>
          </cell>
          <cell r="I16">
            <v>26</v>
          </cell>
          <cell r="J16">
            <v>1.625</v>
          </cell>
          <cell r="K16">
            <v>6998.5315581395353</v>
          </cell>
          <cell r="M16">
            <v>0.215</v>
          </cell>
          <cell r="N16">
            <v>12</v>
          </cell>
          <cell r="O16">
            <v>160</v>
          </cell>
          <cell r="P16">
            <v>2.58</v>
          </cell>
          <cell r="Q16">
            <v>1317</v>
          </cell>
          <cell r="R16">
            <v>896.9</v>
          </cell>
          <cell r="S16">
            <v>0.87</v>
          </cell>
          <cell r="T16">
            <v>0.89</v>
          </cell>
          <cell r="AA16">
            <v>694.46967000000006</v>
          </cell>
          <cell r="AB16">
            <v>269.17429069767445</v>
          </cell>
          <cell r="AC16">
            <v>3230.0914883720934</v>
          </cell>
          <cell r="AD16">
            <v>4.8927406721736304</v>
          </cell>
          <cell r="AE16">
            <v>0.38639999999999997</v>
          </cell>
          <cell r="AF16">
            <v>9.3599999999999989E-2</v>
          </cell>
          <cell r="AH16">
            <v>8.4000000000000005E-2</v>
          </cell>
          <cell r="AI16">
            <v>353.125</v>
          </cell>
          <cell r="AJ16">
            <v>1.0091402662585791</v>
          </cell>
          <cell r="AK16">
            <v>0</v>
          </cell>
          <cell r="AL16">
            <v>0.1902158980636022</v>
          </cell>
          <cell r="AM16">
            <v>5.7490322231142373E-2</v>
          </cell>
          <cell r="AN16">
            <v>4.0365610650343164E-2</v>
          </cell>
          <cell r="AO16">
            <v>6.2126735945559997</v>
          </cell>
          <cell r="AP16">
            <v>2.4442920909131782</v>
          </cell>
          <cell r="AQ16">
            <v>6.306273594556</v>
          </cell>
          <cell r="AR16">
            <v>2.9577865482259615</v>
          </cell>
          <cell r="AS16">
            <v>6</v>
          </cell>
          <cell r="AT16">
            <v>0.507035575295673</v>
          </cell>
          <cell r="AU16">
            <v>1.5</v>
          </cell>
          <cell r="AV16">
            <v>525</v>
          </cell>
          <cell r="AW16">
            <v>2760.0216666666661</v>
          </cell>
          <cell r="AX16">
            <v>0.1902158980636022</v>
          </cell>
          <cell r="AY16">
            <v>3150</v>
          </cell>
          <cell r="AZ16">
            <v>1.777865938169202E-2</v>
          </cell>
          <cell r="BA16">
            <v>952.04720988960764</v>
          </cell>
          <cell r="BB16">
            <v>5.7490322231142373E-2</v>
          </cell>
          <cell r="BC16">
            <v>952.04720988960764</v>
          </cell>
          <cell r="BD16">
            <v>-0.44767917482129205</v>
          </cell>
        </row>
        <row r="17">
          <cell r="A17" t="str">
            <v>FEB0007</v>
          </cell>
          <cell r="B17" t="str">
            <v>FEB0007</v>
          </cell>
          <cell r="C17" t="str">
            <v>ECB Crunch'ems Coconut Crunch</v>
          </cell>
          <cell r="D17" t="str">
            <v>Brand</v>
          </cell>
          <cell r="F17">
            <v>12182.199999999999</v>
          </cell>
          <cell r="G17" t="e">
            <v>#VALUE!</v>
          </cell>
          <cell r="H17">
            <v>262</v>
          </cell>
          <cell r="I17">
            <v>26</v>
          </cell>
          <cell r="J17">
            <v>1.625</v>
          </cell>
          <cell r="K17">
            <v>6974.8883976744182</v>
          </cell>
          <cell r="M17">
            <v>0.215</v>
          </cell>
          <cell r="N17">
            <v>12</v>
          </cell>
          <cell r="O17">
            <v>160</v>
          </cell>
          <cell r="P17">
            <v>2.58</v>
          </cell>
          <cell r="Q17">
            <v>1402</v>
          </cell>
          <cell r="R17">
            <v>893.87</v>
          </cell>
          <cell r="S17">
            <v>0.87</v>
          </cell>
          <cell r="T17">
            <v>0.89</v>
          </cell>
          <cell r="AA17">
            <v>692.12354100000005</v>
          </cell>
          <cell r="AB17">
            <v>268.26493837209301</v>
          </cell>
          <cell r="AC17">
            <v>3219.1792604651164</v>
          </cell>
          <cell r="AD17">
            <v>5.2261768105356214</v>
          </cell>
          <cell r="AE17">
            <v>0.38639999999999997</v>
          </cell>
          <cell r="AF17">
            <v>9.3599999999999989E-2</v>
          </cell>
          <cell r="AH17">
            <v>8.4000000000000005E-2</v>
          </cell>
          <cell r="AI17">
            <v>353.125</v>
          </cell>
          <cell r="AJ17">
            <v>1.0125610041810551</v>
          </cell>
          <cell r="AK17">
            <v>0</v>
          </cell>
          <cell r="AL17">
            <v>0.25857398499450018</v>
          </cell>
          <cell r="AM17">
            <v>7.8150679671127363E-2</v>
          </cell>
          <cell r="AN17">
            <v>4.0502440167242207E-2</v>
          </cell>
          <cell r="AO17">
            <v>6.6145020978369944</v>
          </cell>
          <cell r="AP17">
            <v>2.6000395728050365</v>
          </cell>
          <cell r="AQ17">
            <v>6.7081020978369947</v>
          </cell>
          <cell r="AR17">
            <v>2.1832248964839733</v>
          </cell>
          <cell r="AS17">
            <v>6</v>
          </cell>
          <cell r="AT17">
            <v>0.6361291839193377</v>
          </cell>
          <cell r="AU17">
            <v>1.5</v>
          </cell>
          <cell r="AV17">
            <v>525</v>
          </cell>
          <cell r="AW17">
            <v>2030.3666666666666</v>
          </cell>
          <cell r="AX17">
            <v>0.25857398499450018</v>
          </cell>
          <cell r="AY17">
            <v>3150</v>
          </cell>
          <cell r="AZ17">
            <v>1.777865938169202E-2</v>
          </cell>
          <cell r="BA17">
            <v>952.04720988960764</v>
          </cell>
          <cell r="BB17">
            <v>7.8150679671127363E-2</v>
          </cell>
          <cell r="BC17">
            <v>952.04720988960764</v>
          </cell>
          <cell r="BD17">
            <v>-0.47186282171255317</v>
          </cell>
        </row>
        <row r="18">
          <cell r="A18" t="str">
            <v>FEB0008</v>
          </cell>
          <cell r="B18" t="str">
            <v>FEB0008</v>
          </cell>
          <cell r="C18" t="str">
            <v>ECB Milk Chocolate Enrobed Butter Crunch</v>
          </cell>
          <cell r="D18" t="str">
            <v>Brand</v>
          </cell>
          <cell r="F18">
            <v>3753.8500000000004</v>
          </cell>
          <cell r="G18" t="e">
            <v>#VALUE!</v>
          </cell>
          <cell r="H18">
            <v>310</v>
          </cell>
          <cell r="I18">
            <v>26</v>
          </cell>
          <cell r="J18">
            <v>1.625</v>
          </cell>
          <cell r="K18">
            <v>9279.1960088023061</v>
          </cell>
          <cell r="M18">
            <v>0.22500000000000001</v>
          </cell>
          <cell r="N18">
            <v>12</v>
          </cell>
          <cell r="O18">
            <v>140</v>
          </cell>
          <cell r="P18">
            <v>2.7</v>
          </cell>
          <cell r="Q18">
            <v>1277</v>
          </cell>
          <cell r="R18">
            <v>898.05</v>
          </cell>
          <cell r="S18">
            <v>0.87</v>
          </cell>
          <cell r="T18">
            <v>0.89</v>
          </cell>
          <cell r="U18">
            <v>0.23</v>
          </cell>
          <cell r="V18">
            <v>2.95</v>
          </cell>
          <cell r="W18">
            <v>0.93</v>
          </cell>
          <cell r="X18">
            <v>3.172043010752688</v>
          </cell>
          <cell r="Y18">
            <v>268.24870129870123</v>
          </cell>
          <cell r="Z18">
            <v>850.89641809803072</v>
          </cell>
          <cell r="AA18">
            <v>963.60881629870119</v>
          </cell>
          <cell r="AB18">
            <v>356.89215418470411</v>
          </cell>
          <cell r="AC18">
            <v>4282.7058502164491</v>
          </cell>
          <cell r="AD18">
            <v>5.9622953128769822</v>
          </cell>
          <cell r="AE18">
            <v>0.38639999999999997</v>
          </cell>
          <cell r="AF18">
            <v>9.3599999999999989E-2</v>
          </cell>
          <cell r="AH18">
            <v>9.6000000000000002E-2</v>
          </cell>
          <cell r="AI18">
            <v>353.125</v>
          </cell>
          <cell r="AJ18">
            <v>0.76111119899832547</v>
          </cell>
          <cell r="AK18">
            <v>0</v>
          </cell>
          <cell r="AL18">
            <v>0.27971282816308585</v>
          </cell>
          <cell r="AM18">
            <v>8.4539624642221312E-2</v>
          </cell>
          <cell r="AN18">
            <v>3.0444447959933018E-2</v>
          </cell>
          <cell r="AO18">
            <v>7.2290625807835012</v>
          </cell>
          <cell r="AP18">
            <v>2.7120972521420375</v>
          </cell>
          <cell r="AQ18">
            <v>7.3226625807835015</v>
          </cell>
          <cell r="AR18">
            <v>0.5056809335150203</v>
          </cell>
          <cell r="AS18">
            <v>2</v>
          </cell>
          <cell r="AT18">
            <v>0.74715953324248985</v>
          </cell>
          <cell r="AU18">
            <v>1.5</v>
          </cell>
          <cell r="AV18">
            <v>525</v>
          </cell>
          <cell r="AW18">
            <v>1876.9250000000002</v>
          </cell>
          <cell r="AX18">
            <v>0.27971282816308585</v>
          </cell>
          <cell r="AY18">
            <v>1050</v>
          </cell>
          <cell r="AZ18">
            <v>5.9262197938973393E-3</v>
          </cell>
          <cell r="BA18">
            <v>317.34906996320251</v>
          </cell>
          <cell r="BB18">
            <v>8.4539624642221312E-2</v>
          </cell>
          <cell r="BC18">
            <v>317.34906996320251</v>
          </cell>
          <cell r="BD18">
            <v>-0.37144083185707089</v>
          </cell>
        </row>
        <row r="19">
          <cell r="A19" t="str">
            <v>FEB0009</v>
          </cell>
          <cell r="B19" t="str">
            <v>FEB0009</v>
          </cell>
          <cell r="C19" t="str">
            <v>ECB Milk Chocolate Enrobed Oat Biscuits</v>
          </cell>
          <cell r="D19" t="str">
            <v>Brand</v>
          </cell>
          <cell r="F19">
            <v>0</v>
          </cell>
          <cell r="G19" t="e">
            <v>#VALUE!</v>
          </cell>
          <cell r="H19">
            <v>248</v>
          </cell>
          <cell r="I19">
            <v>26</v>
          </cell>
          <cell r="J19">
            <v>1.625</v>
          </cell>
          <cell r="K19">
            <v>8560.9564124317712</v>
          </cell>
          <cell r="M19">
            <v>0.23</v>
          </cell>
          <cell r="N19">
            <v>12</v>
          </cell>
          <cell r="O19">
            <v>140</v>
          </cell>
          <cell r="P19">
            <v>2.7600000000000002</v>
          </cell>
          <cell r="Q19">
            <v>1190</v>
          </cell>
          <cell r="R19">
            <v>846.95</v>
          </cell>
          <cell r="S19">
            <v>0.87</v>
          </cell>
          <cell r="T19">
            <v>0.89</v>
          </cell>
          <cell r="U19">
            <v>0.23</v>
          </cell>
          <cell r="V19">
            <v>2.95</v>
          </cell>
          <cell r="W19">
            <v>0.93</v>
          </cell>
          <cell r="X19">
            <v>3.172043010752688</v>
          </cell>
          <cell r="Y19">
            <v>252.98506493506488</v>
          </cell>
          <cell r="Z19">
            <v>802.47950705208746</v>
          </cell>
          <cell r="AA19">
            <v>908.77844993506494</v>
          </cell>
          <cell r="AB19">
            <v>329.26755432429889</v>
          </cell>
          <cell r="AC19">
            <v>3951.2106518915866</v>
          </cell>
          <cell r="AD19">
            <v>6.05124762790832</v>
          </cell>
          <cell r="AE19">
            <v>0.38639999999999997</v>
          </cell>
          <cell r="AF19">
            <v>9.3599999999999989E-2</v>
          </cell>
          <cell r="AH19">
            <v>9.6000000000000002E-2</v>
          </cell>
          <cell r="AI19">
            <v>353.125</v>
          </cell>
          <cell r="AJ19">
            <v>0.82496623738723962</v>
          </cell>
          <cell r="AK19">
            <v>0</v>
          </cell>
          <cell r="AL19">
            <v>0</v>
          </cell>
          <cell r="AM19">
            <v>0</v>
          </cell>
          <cell r="AN19">
            <v>3.2998649495489585E-2</v>
          </cell>
          <cell r="AO19">
            <v>7.3916125147910439</v>
          </cell>
          <cell r="AP19">
            <v>2.7120335198518273</v>
          </cell>
          <cell r="AQ19">
            <v>7.4852125147910442</v>
          </cell>
          <cell r="AR19">
            <v>0</v>
          </cell>
          <cell r="AS19">
            <v>0</v>
          </cell>
          <cell r="AT19">
            <v>0</v>
          </cell>
          <cell r="AU19">
            <v>0</v>
          </cell>
          <cell r="AV19">
            <v>0</v>
          </cell>
          <cell r="AW19">
            <v>0</v>
          </cell>
          <cell r="AX19">
            <v>0</v>
          </cell>
          <cell r="AY19">
            <v>0</v>
          </cell>
          <cell r="AZ19">
            <v>0</v>
          </cell>
          <cell r="BA19">
            <v>0</v>
          </cell>
          <cell r="BB19">
            <v>0</v>
          </cell>
          <cell r="BC19">
            <v>0</v>
          </cell>
          <cell r="BD19">
            <v>0</v>
          </cell>
        </row>
        <row r="20">
          <cell r="A20" t="str">
            <v>FEB0010</v>
          </cell>
          <cell r="B20" t="str">
            <v>FEB0004+</v>
          </cell>
          <cell r="C20" t="str">
            <v>Milk Chocolate Chunk Cookie Half Coated 45g ( 2 X 24 ) SRP</v>
          </cell>
          <cell r="D20" t="str">
            <v>Brand</v>
          </cell>
          <cell r="F20">
            <v>4483.2840000000006</v>
          </cell>
          <cell r="G20" t="e">
            <v>#VALUE!</v>
          </cell>
          <cell r="H20">
            <v>1428.5714285714287</v>
          </cell>
          <cell r="I20">
            <v>31</v>
          </cell>
          <cell r="J20">
            <v>1.9375</v>
          </cell>
          <cell r="K20">
            <v>24256.964860039683</v>
          </cell>
          <cell r="M20">
            <v>1.08</v>
          </cell>
          <cell r="N20">
            <v>1</v>
          </cell>
          <cell r="O20">
            <v>360</v>
          </cell>
          <cell r="P20">
            <v>1.08</v>
          </cell>
          <cell r="Q20">
            <v>1682</v>
          </cell>
          <cell r="R20">
            <v>860.06700000000001</v>
          </cell>
          <cell r="S20">
            <v>0.89</v>
          </cell>
          <cell r="T20">
            <v>0.89</v>
          </cell>
          <cell r="U20">
            <v>0.16</v>
          </cell>
          <cell r="V20">
            <v>2.95</v>
          </cell>
          <cell r="W20">
            <v>0.93</v>
          </cell>
          <cell r="X20">
            <v>3.172043010752688</v>
          </cell>
          <cell r="Y20">
            <v>163.82228571428573</v>
          </cell>
          <cell r="Z20">
            <v>519.65133640552995</v>
          </cell>
          <cell r="AA20">
            <v>845.08135641428578</v>
          </cell>
          <cell r="AB20">
            <v>782.48273742063498</v>
          </cell>
          <cell r="AC20">
            <v>782.48273742063498</v>
          </cell>
          <cell r="AD20">
            <v>2.813674003420219</v>
          </cell>
          <cell r="AE20">
            <v>0.56879999999999997</v>
          </cell>
          <cell r="AF20">
            <v>0.1069</v>
          </cell>
          <cell r="AH20">
            <v>0.06</v>
          </cell>
          <cell r="AI20">
            <v>141.25</v>
          </cell>
          <cell r="AJ20">
            <v>0.30444447959933019</v>
          </cell>
          <cell r="AK20">
            <v>0.87</v>
          </cell>
          <cell r="AL20">
            <v>0</v>
          </cell>
          <cell r="AM20">
            <v>0</v>
          </cell>
          <cell r="AN20">
            <v>4.6977779183973216E-2</v>
          </cell>
          <cell r="AO20">
            <v>4.6488568179033276</v>
          </cell>
          <cell r="AP20">
            <v>4.4034785350956733</v>
          </cell>
          <cell r="AQ20">
            <v>4.7557568179033272</v>
          </cell>
          <cell r="AR20">
            <v>0.2310307588906996</v>
          </cell>
          <cell r="AS20">
            <v>0</v>
          </cell>
          <cell r="AT20">
            <v>0</v>
          </cell>
          <cell r="AU20">
            <v>0</v>
          </cell>
          <cell r="AV20">
            <v>0</v>
          </cell>
          <cell r="AW20">
            <v>0</v>
          </cell>
          <cell r="AX20">
            <v>0</v>
          </cell>
          <cell r="AY20">
            <v>0</v>
          </cell>
          <cell r="AZ20">
            <v>0</v>
          </cell>
          <cell r="BA20">
            <v>0</v>
          </cell>
          <cell r="BB20">
            <v>0</v>
          </cell>
          <cell r="BC20">
            <v>0</v>
          </cell>
          <cell r="BD20">
            <v>-1.5039444300204945E-2</v>
          </cell>
        </row>
        <row r="21">
          <cell r="A21" t="str">
            <v>FEB0011</v>
          </cell>
          <cell r="B21" t="str">
            <v>FEB0001+</v>
          </cell>
          <cell r="C21" t="str">
            <v>Milk Chocolate Chunk Cookie 40g Twin Pack SRP</v>
          </cell>
          <cell r="D21" t="str">
            <v>Brand</v>
          </cell>
          <cell r="F21">
            <v>5091.2040000000006</v>
          </cell>
          <cell r="G21" t="e">
            <v>#VALUE!</v>
          </cell>
          <cell r="H21">
            <v>1428.5714285714287</v>
          </cell>
          <cell r="I21">
            <v>31</v>
          </cell>
          <cell r="J21">
            <v>1.9375</v>
          </cell>
          <cell r="K21">
            <v>22726.921648541665</v>
          </cell>
          <cell r="M21">
            <v>0.96</v>
          </cell>
          <cell r="N21">
            <v>1</v>
          </cell>
          <cell r="O21">
            <v>286</v>
          </cell>
          <cell r="P21">
            <v>0.96</v>
          </cell>
          <cell r="Q21">
            <v>1789.45</v>
          </cell>
          <cell r="R21">
            <v>888.52599999999995</v>
          </cell>
          <cell r="S21">
            <v>0.89</v>
          </cell>
          <cell r="T21">
            <v>0.89</v>
          </cell>
          <cell r="U21">
            <v>0</v>
          </cell>
          <cell r="V21">
            <v>0</v>
          </cell>
          <cell r="W21">
            <v>0</v>
          </cell>
          <cell r="X21">
            <v>0</v>
          </cell>
          <cell r="Y21">
            <v>0</v>
          </cell>
          <cell r="Z21">
            <v>0</v>
          </cell>
          <cell r="AA21">
            <v>703.80144459999997</v>
          </cell>
          <cell r="AB21">
            <v>733.12650479166666</v>
          </cell>
          <cell r="AC21">
            <v>733.12650479166666</v>
          </cell>
          <cell r="AD21">
            <v>2.4408475049043683</v>
          </cell>
          <cell r="AE21">
            <v>0.56879999999999997</v>
          </cell>
          <cell r="AF21">
            <v>0.1069</v>
          </cell>
          <cell r="AH21">
            <v>0.06</v>
          </cell>
          <cell r="AI21">
            <v>176.5625</v>
          </cell>
          <cell r="AJ21">
            <v>0.31075480037364339</v>
          </cell>
          <cell r="AK21">
            <v>0.87</v>
          </cell>
          <cell r="AL21">
            <v>0</v>
          </cell>
          <cell r="AM21">
            <v>0</v>
          </cell>
          <cell r="AN21">
            <v>4.7230192014945736E-2</v>
          </cell>
          <cell r="AO21">
            <v>4.2823717652539397</v>
          </cell>
          <cell r="AP21">
            <v>4.5721580888061872</v>
          </cell>
          <cell r="AQ21">
            <v>4.3892717652539393</v>
          </cell>
          <cell r="AR21">
            <v>0.28002054560734424</v>
          </cell>
          <cell r="AS21">
            <v>0</v>
          </cell>
          <cell r="AT21">
            <v>0</v>
          </cell>
          <cell r="AU21">
            <v>0</v>
          </cell>
          <cell r="AV21">
            <v>0</v>
          </cell>
          <cell r="AW21">
            <v>0</v>
          </cell>
          <cell r="AX21">
            <v>0</v>
          </cell>
          <cell r="AY21">
            <v>0</v>
          </cell>
          <cell r="AZ21">
            <v>0</v>
          </cell>
          <cell r="BA21">
            <v>0</v>
          </cell>
          <cell r="BB21">
            <v>0</v>
          </cell>
          <cell r="BC21">
            <v>0</v>
          </cell>
          <cell r="BD21">
            <v>-1.5260732039022614E-2</v>
          </cell>
        </row>
        <row r="22">
          <cell r="A22" t="str">
            <v>FEB0012</v>
          </cell>
          <cell r="B22" t="str">
            <v>FEB0012</v>
          </cell>
          <cell r="C22" t="str">
            <v>ECB Granola Crunchy with Nuts &amp; Seeds 160g</v>
          </cell>
          <cell r="D22" t="str">
            <v>Brand</v>
          </cell>
          <cell r="F22">
            <v>14027.57</v>
          </cell>
          <cell r="G22" t="e">
            <v>#VALUE!</v>
          </cell>
          <cell r="H22">
            <v>353</v>
          </cell>
          <cell r="I22">
            <v>31</v>
          </cell>
          <cell r="J22">
            <v>1.9375</v>
          </cell>
          <cell r="K22">
            <v>9830.7458333333343</v>
          </cell>
          <cell r="M22">
            <v>0.16</v>
          </cell>
          <cell r="N22">
            <v>12</v>
          </cell>
          <cell r="O22">
            <v>160</v>
          </cell>
          <cell r="P22">
            <v>1.92</v>
          </cell>
          <cell r="Q22">
            <v>1487</v>
          </cell>
          <cell r="R22">
            <v>814</v>
          </cell>
          <cell r="S22">
            <v>0.88</v>
          </cell>
          <cell r="T22">
            <v>0.85</v>
          </cell>
          <cell r="AA22">
            <v>608.87200000000007</v>
          </cell>
          <cell r="AB22">
            <v>317.12083333333339</v>
          </cell>
          <cell r="AC22">
            <v>3805.4500000000007</v>
          </cell>
          <cell r="AD22">
            <v>4.6890643682087525</v>
          </cell>
          <cell r="AE22">
            <v>0.59040000000000004</v>
          </cell>
          <cell r="AF22">
            <v>9.8400000000000015E-2</v>
          </cell>
          <cell r="AH22">
            <v>0.10799999999999998</v>
          </cell>
          <cell r="AI22">
            <v>353.125</v>
          </cell>
          <cell r="AJ22">
            <v>0.71840937806092187</v>
          </cell>
          <cell r="AK22">
            <v>0</v>
          </cell>
          <cell r="AL22">
            <v>0</v>
          </cell>
          <cell r="AM22">
            <v>2.0175800706236841E-2</v>
          </cell>
          <cell r="AN22">
            <v>2.8736375122436875E-2</v>
          </cell>
          <cell r="AO22">
            <v>5.9625903359360866</v>
          </cell>
          <cell r="AP22">
            <v>3.1567657999667116</v>
          </cell>
          <cell r="AQ22">
            <v>6.0609903359360864</v>
          </cell>
          <cell r="AR22">
            <v>1.7836350158240788</v>
          </cell>
          <cell r="AS22">
            <v>1.7836350158240788</v>
          </cell>
          <cell r="AT22">
            <v>0</v>
          </cell>
          <cell r="AU22">
            <v>0</v>
          </cell>
          <cell r="AV22">
            <v>0</v>
          </cell>
          <cell r="AW22">
            <v>7864.5966666666682</v>
          </cell>
          <cell r="AX22">
            <v>0</v>
          </cell>
          <cell r="AY22">
            <v>0</v>
          </cell>
          <cell r="AZ22">
            <v>5.2851065679325251E-3</v>
          </cell>
          <cell r="BA22">
            <v>283.01745671278672</v>
          </cell>
          <cell r="BB22">
            <v>2.0175800706236841E-2</v>
          </cell>
          <cell r="BC22">
            <v>283.01745671278672</v>
          </cell>
          <cell r="BD22">
            <v>-0.19219558616225296</v>
          </cell>
        </row>
        <row r="23">
          <cell r="A23" t="str">
            <v>FEB0013</v>
          </cell>
          <cell r="B23" t="str">
            <v>FEB0013</v>
          </cell>
          <cell r="C23" t="str">
            <v>ECB Granola Crunchy with Choc Chips</v>
          </cell>
          <cell r="D23" t="str">
            <v>Brand</v>
          </cell>
          <cell r="F23">
            <v>14425.559999999998</v>
          </cell>
          <cell r="G23" t="e">
            <v>#VALUE!</v>
          </cell>
          <cell r="H23">
            <v>353</v>
          </cell>
          <cell r="I23">
            <v>31</v>
          </cell>
          <cell r="J23">
            <v>1.9375</v>
          </cell>
          <cell r="K23">
            <v>10889.752307500001</v>
          </cell>
          <cell r="M23">
            <v>0.16</v>
          </cell>
          <cell r="N23">
            <v>12</v>
          </cell>
          <cell r="O23">
            <v>160</v>
          </cell>
          <cell r="P23">
            <v>1.92</v>
          </cell>
          <cell r="Q23">
            <v>1594</v>
          </cell>
          <cell r="R23">
            <v>861.16200000000003</v>
          </cell>
          <cell r="S23">
            <v>0.88</v>
          </cell>
          <cell r="T23">
            <v>0.89</v>
          </cell>
          <cell r="AA23">
            <v>674.46207840000011</v>
          </cell>
          <cell r="AB23">
            <v>351.28233250000005</v>
          </cell>
          <cell r="AC23">
            <v>4215.3879900000011</v>
          </cell>
          <cell r="AD23">
            <v>4.5376606009640401</v>
          </cell>
          <cell r="AE23">
            <v>0.59040000000000004</v>
          </cell>
          <cell r="AF23">
            <v>9.8400000000000015E-2</v>
          </cell>
          <cell r="AH23">
            <v>0.10799999999999998</v>
          </cell>
          <cell r="AI23">
            <v>353.125</v>
          </cell>
          <cell r="AJ23">
            <v>0.64854551330207089</v>
          </cell>
          <cell r="AK23">
            <v>0</v>
          </cell>
          <cell r="AL23">
            <v>0.21836240672805771</v>
          </cell>
          <cell r="AM23">
            <v>6.5997244466738741E-2</v>
          </cell>
          <cell r="AN23">
            <v>2.5941820532082837E-2</v>
          </cell>
          <cell r="AO23">
            <v>5.9080223886661427</v>
          </cell>
          <cell r="AP23">
            <v>3.1283449940969494</v>
          </cell>
          <cell r="AQ23">
            <v>6.0064223886661425</v>
          </cell>
          <cell r="AR23">
            <v>1.6558641088265171</v>
          </cell>
          <cell r="AS23">
            <v>6</v>
          </cell>
          <cell r="AT23">
            <v>0.72402264852891385</v>
          </cell>
          <cell r="AU23">
            <v>1.5</v>
          </cell>
          <cell r="AV23">
            <v>525</v>
          </cell>
          <cell r="AW23">
            <v>2404.2599999999998</v>
          </cell>
          <cell r="AX23">
            <v>0.21836240672805771</v>
          </cell>
          <cell r="AY23">
            <v>3150</v>
          </cell>
          <cell r="AZ23">
            <v>1.777865938169202E-2</v>
          </cell>
          <cell r="BA23">
            <v>952.04720988960764</v>
          </cell>
          <cell r="BB23">
            <v>6.5997244466738741E-2</v>
          </cell>
          <cell r="BC23">
            <v>952.04720988960753</v>
          </cell>
          <cell r="BD23">
            <v>-0.28688519732683471</v>
          </cell>
        </row>
        <row r="24">
          <cell r="A24" t="str">
            <v>FEB0018</v>
          </cell>
          <cell r="B24" t="str">
            <v>FEB0006</v>
          </cell>
          <cell r="C24" t="str">
            <v>ECB (USA) Ginger Crunch</v>
          </cell>
          <cell r="D24" t="str">
            <v>Brand</v>
          </cell>
          <cell r="F24">
            <v>0</v>
          </cell>
          <cell r="G24" t="e">
            <v>#VALUE!</v>
          </cell>
          <cell r="H24">
            <v>262</v>
          </cell>
          <cell r="I24">
            <v>26</v>
          </cell>
          <cell r="J24">
            <v>1.625</v>
          </cell>
          <cell r="K24">
            <v>6998.5315581395353</v>
          </cell>
          <cell r="M24">
            <v>0.215</v>
          </cell>
          <cell r="N24">
            <v>12</v>
          </cell>
          <cell r="O24">
            <v>140</v>
          </cell>
          <cell r="P24">
            <v>2.58</v>
          </cell>
          <cell r="Q24">
            <v>1317</v>
          </cell>
          <cell r="R24">
            <v>896.9</v>
          </cell>
          <cell r="S24">
            <v>0.87</v>
          </cell>
          <cell r="T24">
            <v>0.89</v>
          </cell>
          <cell r="AA24">
            <v>694.46967000000006</v>
          </cell>
          <cell r="AB24">
            <v>269.17429069767445</v>
          </cell>
          <cell r="AC24">
            <v>3230.0914883720934</v>
          </cell>
          <cell r="AD24">
            <v>4.8927406721736304</v>
          </cell>
          <cell r="AE24">
            <v>0.38639999999999997</v>
          </cell>
          <cell r="AF24">
            <v>0.13598901098901098</v>
          </cell>
          <cell r="AH24">
            <v>8.4000000000000005E-2</v>
          </cell>
          <cell r="AI24">
            <v>353.125</v>
          </cell>
          <cell r="AJ24">
            <v>1.0091402662585791</v>
          </cell>
          <cell r="AK24">
            <v>0</v>
          </cell>
          <cell r="AL24">
            <v>0</v>
          </cell>
          <cell r="AM24">
            <v>0</v>
          </cell>
          <cell r="AN24">
            <v>4.0365610650343164E-2</v>
          </cell>
          <cell r="AO24">
            <v>6.4126465490825346</v>
          </cell>
          <cell r="AP24">
            <v>2.538230837237033</v>
          </cell>
          <cell r="AQ24">
            <v>6.5486355600715456</v>
          </cell>
          <cell r="AR24">
            <v>0</v>
          </cell>
          <cell r="AS24">
            <v>0</v>
          </cell>
          <cell r="AT24">
            <v>0</v>
          </cell>
          <cell r="AU24">
            <v>0</v>
          </cell>
          <cell r="AV24">
            <v>0</v>
          </cell>
          <cell r="AW24">
            <v>0</v>
          </cell>
          <cell r="AX24">
            <v>0</v>
          </cell>
          <cell r="AY24">
            <v>0</v>
          </cell>
          <cell r="AZ24">
            <v>0</v>
          </cell>
          <cell r="BA24">
            <v>0</v>
          </cell>
          <cell r="BB24">
            <v>0</v>
          </cell>
          <cell r="BC24">
            <v>0</v>
          </cell>
          <cell r="BD24">
            <v>0</v>
          </cell>
        </row>
        <row r="25">
          <cell r="A25" t="str">
            <v>FEB0019</v>
          </cell>
          <cell r="B25" t="str">
            <v>FEB0019</v>
          </cell>
          <cell r="C25" t="str">
            <v>ECB (UK) Milk Choc Chunk 160g</v>
          </cell>
          <cell r="D25" t="str">
            <v>Brand</v>
          </cell>
          <cell r="F25">
            <v>58593.75</v>
          </cell>
          <cell r="G25" t="e">
            <v>#VALUE!</v>
          </cell>
          <cell r="H25">
            <v>353</v>
          </cell>
          <cell r="I25">
            <v>31</v>
          </cell>
          <cell r="J25">
            <v>1.9375</v>
          </cell>
          <cell r="K25">
            <v>12369.158427760418</v>
          </cell>
          <cell r="M25">
            <v>0.16</v>
          </cell>
          <cell r="N25">
            <v>12</v>
          </cell>
          <cell r="O25">
            <v>160</v>
          </cell>
          <cell r="P25">
            <v>1.92</v>
          </cell>
          <cell r="Q25">
            <v>1135</v>
          </cell>
          <cell r="R25">
            <v>967.16300000000001</v>
          </cell>
          <cell r="S25">
            <v>0.89</v>
          </cell>
          <cell r="T25">
            <v>0.89</v>
          </cell>
          <cell r="AA25">
            <v>766.08981230000006</v>
          </cell>
          <cell r="AB25">
            <v>399.00511057291669</v>
          </cell>
          <cell r="AC25">
            <v>4788.0613268750003</v>
          </cell>
          <cell r="AD25">
            <v>2.8445750942144463</v>
          </cell>
          <cell r="AE25">
            <v>0.59040000000000004</v>
          </cell>
          <cell r="AF25">
            <v>0.28125</v>
          </cell>
          <cell r="AH25">
            <v>8.4000000000000005E-2</v>
          </cell>
          <cell r="AI25">
            <v>353.125</v>
          </cell>
          <cell r="AJ25">
            <v>0.57097659806421841</v>
          </cell>
          <cell r="AK25">
            <v>0</v>
          </cell>
          <cell r="AL25">
            <v>0</v>
          </cell>
          <cell r="AM25">
            <v>1.6035300209418853E-2</v>
          </cell>
          <cell r="AN25">
            <v>2.2839063922568736E-2</v>
          </cell>
          <cell r="AO25">
            <v>4.0871014282624687</v>
          </cell>
          <cell r="AP25">
            <v>2.2751830355533693</v>
          </cell>
          <cell r="AQ25">
            <v>4.3683514282624687</v>
          </cell>
          <cell r="AR25">
            <v>5.9213557597920881</v>
          </cell>
          <cell r="AS25">
            <v>5.9213557597920881</v>
          </cell>
          <cell r="AT25">
            <v>0</v>
          </cell>
          <cell r="AU25">
            <v>0</v>
          </cell>
          <cell r="AV25">
            <v>0</v>
          </cell>
          <cell r="AW25">
            <v>9895.3267422083336</v>
          </cell>
          <cell r="AX25">
            <v>0</v>
          </cell>
          <cell r="AY25">
            <v>0</v>
          </cell>
          <cell r="AZ25">
            <v>1.7545627855193948E-2</v>
          </cell>
          <cell r="BA25">
            <v>939.56837164563592</v>
          </cell>
          <cell r="BB25">
            <v>1.6035300209418853E-2</v>
          </cell>
          <cell r="BC25">
            <v>939.56837164563592</v>
          </cell>
          <cell r="BD25">
            <v>-4.1724628148147834E-2</v>
          </cell>
        </row>
        <row r="26">
          <cell r="A26" t="str">
            <v>FEB0020</v>
          </cell>
          <cell r="B26" t="str">
            <v>FEB0020</v>
          </cell>
          <cell r="C26" t="str">
            <v>ECB (UK) Chocolate Enrobed Milk Chocolate Chunk Cookie 160g</v>
          </cell>
          <cell r="D26" t="str">
            <v>Brand</v>
          </cell>
          <cell r="F26">
            <v>63281.25</v>
          </cell>
          <cell r="G26" t="e">
            <v>#VALUE!</v>
          </cell>
          <cell r="H26">
            <v>362.7</v>
          </cell>
          <cell r="I26">
            <v>31</v>
          </cell>
          <cell r="J26">
            <v>1.9375</v>
          </cell>
          <cell r="K26">
            <v>14279.123190121531</v>
          </cell>
          <cell r="M26">
            <v>0.16</v>
          </cell>
          <cell r="N26">
            <v>12</v>
          </cell>
          <cell r="O26">
            <v>160</v>
          </cell>
          <cell r="P26">
            <v>1.92</v>
          </cell>
          <cell r="Q26">
            <v>1189</v>
          </cell>
          <cell r="R26">
            <v>900.06700000000001</v>
          </cell>
          <cell r="S26">
            <v>0.89</v>
          </cell>
          <cell r="T26">
            <v>0.89</v>
          </cell>
          <cell r="U26">
            <v>0.16</v>
          </cell>
          <cell r="V26">
            <v>2.95</v>
          </cell>
          <cell r="W26">
            <v>0.93</v>
          </cell>
          <cell r="X26">
            <v>3.172043010752688</v>
          </cell>
          <cell r="Y26">
            <v>171.44133333333343</v>
          </cell>
          <cell r="Z26">
            <v>543.8192831541221</v>
          </cell>
          <cell r="AA26">
            <v>884.38440403333345</v>
          </cell>
          <cell r="AB26">
            <v>460.61687710069452</v>
          </cell>
          <cell r="AC26">
            <v>5527.4025252083338</v>
          </cell>
          <cell r="AD26">
            <v>3.7619535221140281</v>
          </cell>
          <cell r="AE26">
            <v>0.59040000000000004</v>
          </cell>
          <cell r="AF26">
            <v>0.28125</v>
          </cell>
          <cell r="AH26">
            <v>8.4000000000000005E-2</v>
          </cell>
          <cell r="AI26">
            <v>353.125</v>
          </cell>
          <cell r="AJ26">
            <v>0.49460319838727368</v>
          </cell>
          <cell r="AK26">
            <v>0</v>
          </cell>
          <cell r="AL26">
            <v>0</v>
          </cell>
          <cell r="AM26">
            <v>1.3890430531772271E-2</v>
          </cell>
          <cell r="AN26">
            <v>1.9784127935490947E-2</v>
          </cell>
          <cell r="AO26">
            <v>4.9199036911496385</v>
          </cell>
          <cell r="AP26">
            <v>2.7089342141404367</v>
          </cell>
          <cell r="AQ26">
            <v>5.2011536911496385</v>
          </cell>
          <cell r="AR26">
            <v>5.5396652474238337</v>
          </cell>
          <cell r="AS26">
            <v>5.5396652474238337</v>
          </cell>
          <cell r="AT26">
            <v>0</v>
          </cell>
          <cell r="AU26">
            <v>0</v>
          </cell>
          <cell r="AV26">
            <v>0</v>
          </cell>
          <cell r="AW26">
            <v>11423.298552097225</v>
          </cell>
          <cell r="AX26">
            <v>0</v>
          </cell>
          <cell r="AY26">
            <v>0</v>
          </cell>
          <cell r="AZ26">
            <v>1.6414636920424164E-2</v>
          </cell>
          <cell r="BA26">
            <v>879.00380708871398</v>
          </cell>
          <cell r="BB26">
            <v>1.3890430531772271E-2</v>
          </cell>
          <cell r="BC26">
            <v>879.00380708871398</v>
          </cell>
          <cell r="BD26">
            <v>-4.4727587818929347E-2</v>
          </cell>
        </row>
        <row r="27">
          <cell r="A27" t="str">
            <v>FEB0021</v>
          </cell>
          <cell r="B27" t="str">
            <v>FEB0021</v>
          </cell>
          <cell r="C27" t="str">
            <v>ECB (UK) Stem Ginger &amp; Chocolate Chunk Cookie 160g</v>
          </cell>
          <cell r="D27" t="str">
            <v>Brand</v>
          </cell>
          <cell r="F27">
            <v>46875</v>
          </cell>
          <cell r="G27" t="e">
            <v>#VALUE!</v>
          </cell>
          <cell r="H27">
            <v>353</v>
          </cell>
          <cell r="I27">
            <v>31</v>
          </cell>
          <cell r="J27">
            <v>1.9375</v>
          </cell>
          <cell r="K27">
            <v>11574.519582239584</v>
          </cell>
          <cell r="M27">
            <v>0.16</v>
          </cell>
          <cell r="N27">
            <v>12</v>
          </cell>
          <cell r="O27">
            <v>160</v>
          </cell>
          <cell r="P27">
            <v>1.92</v>
          </cell>
          <cell r="Q27">
            <v>1389</v>
          </cell>
          <cell r="R27">
            <v>905.029</v>
          </cell>
          <cell r="S27">
            <v>0.89</v>
          </cell>
          <cell r="T27">
            <v>0.89</v>
          </cell>
          <cell r="AA27">
            <v>716.87347090000003</v>
          </cell>
          <cell r="AB27">
            <v>373.37159942708337</v>
          </cell>
          <cell r="AC27">
            <v>4480.4591931250006</v>
          </cell>
          <cell r="AD27">
            <v>3.7201544041682291</v>
          </cell>
          <cell r="AE27">
            <v>0.59040000000000004</v>
          </cell>
          <cell r="AF27">
            <v>0.28125</v>
          </cell>
          <cell r="AH27">
            <v>8.4000000000000005E-2</v>
          </cell>
          <cell r="AI27">
            <v>353.125</v>
          </cell>
          <cell r="AJ27">
            <v>0.61017651314331767</v>
          </cell>
          <cell r="AK27">
            <v>0</v>
          </cell>
          <cell r="AL27">
            <v>0</v>
          </cell>
          <cell r="AM27">
            <v>1.7136190173400151E-2</v>
          </cell>
          <cell r="AN27">
            <v>2.4407060525732709E-2</v>
          </cell>
          <cell r="AO27">
            <v>4.9419740826773211</v>
          </cell>
          <cell r="AP27">
            <v>2.7204292097277714</v>
          </cell>
          <cell r="AQ27">
            <v>5.2232240826773211</v>
          </cell>
          <cell r="AR27">
            <v>5.062305142228853</v>
          </cell>
          <cell r="AS27">
            <v>5.062305142228853</v>
          </cell>
          <cell r="AT27">
            <v>0</v>
          </cell>
          <cell r="AU27">
            <v>0</v>
          </cell>
          <cell r="AV27">
            <v>0</v>
          </cell>
          <cell r="AW27">
            <v>9259.6156657916672</v>
          </cell>
          <cell r="AX27">
            <v>0</v>
          </cell>
          <cell r="AY27">
            <v>0</v>
          </cell>
          <cell r="AZ27">
            <v>1.5000166468312457E-2</v>
          </cell>
          <cell r="BA27">
            <v>803.25891437813209</v>
          </cell>
          <cell r="BB27">
            <v>1.7136190173400151E-2</v>
          </cell>
          <cell r="BC27">
            <v>803.25891437813209</v>
          </cell>
          <cell r="BD27">
            <v>-0.10430008533333358</v>
          </cell>
        </row>
        <row r="28">
          <cell r="A28" t="str">
            <v>FEB0022</v>
          </cell>
          <cell r="B28" t="str">
            <v>FEB0022</v>
          </cell>
          <cell r="C28" t="str">
            <v>ECB (UK) Granola Crunchy with Nuts &amp; Seeds 160g</v>
          </cell>
          <cell r="D28" t="str">
            <v>Brand</v>
          </cell>
          <cell r="F28">
            <v>42187.5</v>
          </cell>
          <cell r="G28" t="e">
            <v>#VALUE!</v>
          </cell>
          <cell r="H28">
            <v>353</v>
          </cell>
          <cell r="I28">
            <v>31</v>
          </cell>
          <cell r="J28">
            <v>1.9375</v>
          </cell>
          <cell r="K28">
            <v>10504.793929687499</v>
          </cell>
          <cell r="M28">
            <v>0.16</v>
          </cell>
          <cell r="N28">
            <v>12</v>
          </cell>
          <cell r="O28">
            <v>160</v>
          </cell>
          <cell r="P28">
            <v>1.92</v>
          </cell>
          <cell r="Q28">
            <v>1118</v>
          </cell>
          <cell r="R28">
            <v>879.81</v>
          </cell>
          <cell r="S28">
            <v>0.87</v>
          </cell>
          <cell r="T28">
            <v>0.85</v>
          </cell>
          <cell r="AA28">
            <v>650.61949499999992</v>
          </cell>
          <cell r="AB28">
            <v>338.86432031249996</v>
          </cell>
          <cell r="AC28">
            <v>4066.3718437499992</v>
          </cell>
          <cell r="AD28">
            <v>3.2992555810212854</v>
          </cell>
          <cell r="AE28">
            <v>0.59040000000000004</v>
          </cell>
          <cell r="AF28">
            <v>0.28125</v>
          </cell>
          <cell r="AH28">
            <v>8.4000000000000005E-2</v>
          </cell>
          <cell r="AI28">
            <v>353.125</v>
          </cell>
          <cell r="AJ28">
            <v>0.67231209362810385</v>
          </cell>
          <cell r="AK28">
            <v>0</v>
          </cell>
          <cell r="AL28">
            <v>0</v>
          </cell>
          <cell r="AM28">
            <v>1.8881205100698437E-2</v>
          </cell>
          <cell r="AN28">
            <v>2.6892483745124155E-2</v>
          </cell>
          <cell r="AO28">
            <v>4.5967607050589541</v>
          </cell>
          <cell r="AP28">
            <v>2.5406305755515386</v>
          </cell>
          <cell r="AQ28">
            <v>4.8780107050589541</v>
          </cell>
          <cell r="AR28">
            <v>5.020029460165599</v>
          </cell>
          <cell r="AS28">
            <v>5.020029460165599</v>
          </cell>
          <cell r="AT28">
            <v>0</v>
          </cell>
          <cell r="AU28">
            <v>0</v>
          </cell>
          <cell r="AV28">
            <v>0</v>
          </cell>
          <cell r="AW28">
            <v>8403.8351437500005</v>
          </cell>
          <cell r="AX28">
            <v>0</v>
          </cell>
          <cell r="AY28">
            <v>0</v>
          </cell>
          <cell r="AZ28">
            <v>1.4874898976390575E-2</v>
          </cell>
          <cell r="BA28">
            <v>796.55084018571529</v>
          </cell>
          <cell r="BB28">
            <v>1.8881205100698437E-2</v>
          </cell>
          <cell r="BC28">
            <v>796.55084018571529</v>
          </cell>
          <cell r="BD28">
            <v>-9.4980658436214241E-2</v>
          </cell>
        </row>
        <row r="29">
          <cell r="A29" t="str">
            <v>FEB0023</v>
          </cell>
          <cell r="B29" t="str">
            <v>FEB0023</v>
          </cell>
          <cell r="C29" t="str">
            <v>ECB (UK) Triple Chocolate Chunk 160g</v>
          </cell>
          <cell r="D29" t="str">
            <v>Brand</v>
          </cell>
          <cell r="F29">
            <v>43125</v>
          </cell>
          <cell r="G29" t="e">
            <v>#VALUE!</v>
          </cell>
          <cell r="H29">
            <v>353</v>
          </cell>
          <cell r="I29">
            <v>31</v>
          </cell>
          <cell r="J29">
            <v>1.9375</v>
          </cell>
          <cell r="K29">
            <v>11507.005846354168</v>
          </cell>
          <cell r="M29">
            <v>0.16</v>
          </cell>
          <cell r="N29">
            <v>12</v>
          </cell>
          <cell r="O29">
            <v>160</v>
          </cell>
          <cell r="P29">
            <v>1.92</v>
          </cell>
          <cell r="Q29">
            <v>1359</v>
          </cell>
          <cell r="R29">
            <v>899.75</v>
          </cell>
          <cell r="S29">
            <v>0.89</v>
          </cell>
          <cell r="T29">
            <v>0.89</v>
          </cell>
          <cell r="AA29">
            <v>712.69197500000007</v>
          </cell>
          <cell r="AB29">
            <v>371.19373697916672</v>
          </cell>
          <cell r="AC29">
            <v>4454.3248437500006</v>
          </cell>
          <cell r="AD29">
            <v>3.6611609103638352</v>
          </cell>
          <cell r="AE29">
            <v>0.59040000000000004</v>
          </cell>
          <cell r="AF29">
            <v>0.28125</v>
          </cell>
          <cell r="AH29">
            <v>8.4000000000000005E-2</v>
          </cell>
          <cell r="AI29">
            <v>353.125</v>
          </cell>
          <cell r="AJ29">
            <v>0.61375653182948997</v>
          </cell>
          <cell r="AK29">
            <v>0</v>
          </cell>
          <cell r="AL29">
            <v>0</v>
          </cell>
          <cell r="AM29">
            <v>1.7236731376984896E-2</v>
          </cell>
          <cell r="AN29">
            <v>2.4550261273179601E-2</v>
          </cell>
          <cell r="AO29">
            <v>4.9427540178386904</v>
          </cell>
          <cell r="AP29">
            <v>2.7208354259576515</v>
          </cell>
          <cell r="AQ29">
            <v>5.2240040178386904</v>
          </cell>
          <cell r="AR29">
            <v>4.6846460947162401</v>
          </cell>
          <cell r="AS29">
            <v>4.6846460947162401</v>
          </cell>
          <cell r="AT29">
            <v>0</v>
          </cell>
          <cell r="AU29">
            <v>0</v>
          </cell>
          <cell r="AV29">
            <v>0</v>
          </cell>
          <cell r="AW29">
            <v>9205.6046770833345</v>
          </cell>
          <cell r="AX29">
            <v>0</v>
          </cell>
          <cell r="AY29">
            <v>0</v>
          </cell>
          <cell r="AZ29">
            <v>1.3881121206955626E-2</v>
          </cell>
          <cell r="BA29">
            <v>743.33404063247372</v>
          </cell>
          <cell r="BB29">
            <v>1.7236731376984896E-2</v>
          </cell>
          <cell r="BC29">
            <v>743.3340406324736</v>
          </cell>
          <cell r="BD29">
            <v>-4.8350417004830622E-2</v>
          </cell>
        </row>
        <row r="30">
          <cell r="A30" t="str">
            <v>FEB0024</v>
          </cell>
          <cell r="B30" t="str">
            <v>FEB0001</v>
          </cell>
          <cell r="C30" t="str">
            <v>ECB Milk Chocolate Chunk 160g (USA)</v>
          </cell>
          <cell r="D30" t="str">
            <v>Brand</v>
          </cell>
          <cell r="F30">
            <v>4128</v>
          </cell>
          <cell r="G30" t="e">
            <v>#VALUE!</v>
          </cell>
          <cell r="H30">
            <v>353</v>
          </cell>
          <cell r="I30">
            <v>31</v>
          </cell>
          <cell r="J30">
            <v>1.9375</v>
          </cell>
          <cell r="K30">
            <v>11363.460824270833</v>
          </cell>
          <cell r="M30">
            <v>0.16</v>
          </cell>
          <cell r="N30">
            <v>12</v>
          </cell>
          <cell r="O30">
            <v>160</v>
          </cell>
          <cell r="P30">
            <v>1.92</v>
          </cell>
          <cell r="Q30">
            <v>1789.45</v>
          </cell>
          <cell r="R30">
            <v>888.52599999999995</v>
          </cell>
          <cell r="S30">
            <v>0.89</v>
          </cell>
          <cell r="T30">
            <v>0.89</v>
          </cell>
          <cell r="AA30">
            <v>703.80144459999997</v>
          </cell>
          <cell r="AB30">
            <v>366.56325239583333</v>
          </cell>
          <cell r="AC30">
            <v>4398.7590287499997</v>
          </cell>
          <cell r="AD30">
            <v>4.8816950098087366</v>
          </cell>
          <cell r="AE30">
            <v>0.59040000000000004</v>
          </cell>
          <cell r="AF30">
            <v>0.11899038461538461</v>
          </cell>
          <cell r="AH30">
            <v>0.10799999999999998</v>
          </cell>
          <cell r="AI30">
            <v>353.125</v>
          </cell>
          <cell r="AJ30">
            <v>0.62150960074728678</v>
          </cell>
          <cell r="AK30">
            <v>0</v>
          </cell>
          <cell r="AL30">
            <v>0</v>
          </cell>
          <cell r="AM30">
            <v>0</v>
          </cell>
          <cell r="AN30">
            <v>2.4860384029891471E-2</v>
          </cell>
          <cell r="AO30">
            <v>5.9326324256797687</v>
          </cell>
          <cell r="AP30">
            <v>3.1518868803620594</v>
          </cell>
          <cell r="AQ30">
            <v>6.0516228102951537</v>
          </cell>
          <cell r="AR30">
            <v>0.45408701449288497</v>
          </cell>
          <cell r="AT30">
            <v>0</v>
          </cell>
          <cell r="AU30">
            <v>0</v>
          </cell>
          <cell r="AV30">
            <v>0</v>
          </cell>
          <cell r="AW30">
            <v>9090.7686594166662</v>
          </cell>
          <cell r="AX30">
            <v>0</v>
          </cell>
          <cell r="AY30">
            <v>0</v>
          </cell>
          <cell r="AZ30">
            <v>0</v>
          </cell>
          <cell r="BA30">
            <v>0</v>
          </cell>
          <cell r="BB30">
            <v>0</v>
          </cell>
          <cell r="BC30">
            <v>0</v>
          </cell>
          <cell r="BD30">
            <v>-0.29383256890611498</v>
          </cell>
        </row>
        <row r="31">
          <cell r="A31" t="str">
            <v>FEB0025</v>
          </cell>
          <cell r="B31" t="str">
            <v>FEB0004</v>
          </cell>
          <cell r="C31" t="str">
            <v>Chocolate Enrobed Milk Chocolate Chunk 160g (USA)</v>
          </cell>
          <cell r="D31" t="str">
            <v>Brand</v>
          </cell>
          <cell r="F31">
            <v>4074</v>
          </cell>
          <cell r="G31" t="e">
            <v>#VALUE!</v>
          </cell>
          <cell r="H31">
            <v>403</v>
          </cell>
          <cell r="I31">
            <v>31</v>
          </cell>
          <cell r="J31">
            <v>1.9375</v>
          </cell>
          <cell r="K31">
            <v>13644.542733772323</v>
          </cell>
          <cell r="M31">
            <v>0.16</v>
          </cell>
          <cell r="N31">
            <v>12</v>
          </cell>
          <cell r="O31">
            <v>160</v>
          </cell>
          <cell r="P31">
            <v>1.92</v>
          </cell>
          <cell r="Q31">
            <v>1682</v>
          </cell>
          <cell r="R31">
            <v>860.06700000000001</v>
          </cell>
          <cell r="S31">
            <v>0.89</v>
          </cell>
          <cell r="T31">
            <v>0.89</v>
          </cell>
          <cell r="U31">
            <v>0.16</v>
          </cell>
          <cell r="V31">
            <v>2.95</v>
          </cell>
          <cell r="W31">
            <v>0.93</v>
          </cell>
          <cell r="X31">
            <v>3.172043010752688</v>
          </cell>
          <cell r="Y31">
            <v>163.82228571428573</v>
          </cell>
          <cell r="Z31">
            <v>519.65133640552995</v>
          </cell>
          <cell r="AA31">
            <v>845.08135641428578</v>
          </cell>
          <cell r="AB31">
            <v>440.14653979910719</v>
          </cell>
          <cell r="AC31">
            <v>5281.7584775892865</v>
          </cell>
          <cell r="AD31">
            <v>5.0020871171915005</v>
          </cell>
          <cell r="AE31">
            <v>0.59040000000000004</v>
          </cell>
          <cell r="AF31">
            <v>0.11899038461538461</v>
          </cell>
          <cell r="AH31">
            <v>0.10799999999999998</v>
          </cell>
          <cell r="AI31">
            <v>353.125</v>
          </cell>
          <cell r="AJ31">
            <v>0.51760620621746711</v>
          </cell>
          <cell r="AK31">
            <v>0</v>
          </cell>
          <cell r="AL31">
            <v>0.38659793814432991</v>
          </cell>
          <cell r="AM31">
            <v>0.11684428201885219</v>
          </cell>
          <cell r="AN31">
            <v>2.0704248248698685E-2</v>
          </cell>
          <cell r="AO31">
            <v>6.4923205751078488</v>
          </cell>
          <cell r="AP31">
            <v>3.4433911248558511</v>
          </cell>
          <cell r="AQ31">
            <v>6.6113109597232338</v>
          </cell>
          <cell r="AR31">
            <v>0.37322613878406391</v>
          </cell>
          <cell r="AS31">
            <v>3</v>
          </cell>
          <cell r="AT31">
            <v>0.87559128707197864</v>
          </cell>
          <cell r="AU31">
            <v>1.5</v>
          </cell>
          <cell r="AV31">
            <v>525</v>
          </cell>
          <cell r="AW31">
            <v>1358</v>
          </cell>
          <cell r="AX31">
            <v>0.38659793814432991</v>
          </cell>
          <cell r="AY31">
            <v>1575</v>
          </cell>
          <cell r="AZ31">
            <v>8.8893296908460102E-3</v>
          </cell>
          <cell r="BA31">
            <v>476.02360494480382</v>
          </cell>
          <cell r="BB31">
            <v>0.11684428201885219</v>
          </cell>
          <cell r="BC31">
            <v>476.02360494480382</v>
          </cell>
          <cell r="BD31">
            <v>-0.24991921671303147</v>
          </cell>
        </row>
        <row r="32">
          <cell r="A32" t="str">
            <v>FEB0026</v>
          </cell>
          <cell r="B32" t="str">
            <v>FEB0011</v>
          </cell>
          <cell r="C32" t="str">
            <v>Milk Chocolate Chunk Cookie - 2 Cookie Minipack (USA)</v>
          </cell>
          <cell r="D32" t="str">
            <v>Brand</v>
          </cell>
          <cell r="F32">
            <v>3810</v>
          </cell>
          <cell r="G32" t="e">
            <v>#VALUE!</v>
          </cell>
          <cell r="H32">
            <v>1428.5714285714287</v>
          </cell>
          <cell r="I32">
            <v>31</v>
          </cell>
          <cell r="J32">
            <v>1.9375</v>
          </cell>
          <cell r="K32">
            <v>22726.921648541665</v>
          </cell>
          <cell r="M32">
            <v>0.96</v>
          </cell>
          <cell r="N32">
            <v>1</v>
          </cell>
          <cell r="O32">
            <v>286</v>
          </cell>
          <cell r="P32">
            <v>0.96</v>
          </cell>
          <cell r="Q32">
            <v>1789.45</v>
          </cell>
          <cell r="R32">
            <v>888.52599999999995</v>
          </cell>
          <cell r="S32">
            <v>0.89</v>
          </cell>
          <cell r="T32">
            <v>0.89</v>
          </cell>
          <cell r="U32">
            <v>0</v>
          </cell>
          <cell r="V32">
            <v>0</v>
          </cell>
          <cell r="W32">
            <v>0</v>
          </cell>
          <cell r="X32">
            <v>0</v>
          </cell>
          <cell r="Y32">
            <v>0</v>
          </cell>
          <cell r="Z32">
            <v>0</v>
          </cell>
          <cell r="AA32">
            <v>703.80144459999997</v>
          </cell>
          <cell r="AB32">
            <v>733.12650479166666</v>
          </cell>
          <cell r="AC32">
            <v>733.12650479166666</v>
          </cell>
          <cell r="AD32">
            <v>2.4408475049043683</v>
          </cell>
          <cell r="AE32">
            <v>0.56879999999999997</v>
          </cell>
          <cell r="AF32">
            <v>6.6568047337278113E-2</v>
          </cell>
          <cell r="AH32">
            <v>0.06</v>
          </cell>
          <cell r="AI32">
            <v>176.5625</v>
          </cell>
          <cell r="AJ32">
            <v>0.31075480037364339</v>
          </cell>
          <cell r="AK32">
            <v>0.87</v>
          </cell>
          <cell r="AL32">
            <v>0.41338582677165353</v>
          </cell>
          <cell r="AM32">
            <v>0.1249405787256703</v>
          </cell>
          <cell r="AN32">
            <v>4.7230192014945736E-2</v>
          </cell>
          <cell r="AO32">
            <v>4.8359589027902876</v>
          </cell>
          <cell r="AP32">
            <v>5.1067989063828811</v>
          </cell>
          <cell r="AQ32">
            <v>4.9025269501275659</v>
          </cell>
          <cell r="AR32">
            <v>0.20955323706612058</v>
          </cell>
          <cell r="AS32">
            <v>3</v>
          </cell>
          <cell r="AT32">
            <v>0.93014892097795976</v>
          </cell>
          <cell r="AU32">
            <v>1.5</v>
          </cell>
          <cell r="AV32">
            <v>525</v>
          </cell>
          <cell r="AW32">
            <v>1270</v>
          </cell>
          <cell r="AX32">
            <v>0.41338582677165353</v>
          </cell>
          <cell r="AY32">
            <v>1575</v>
          </cell>
          <cell r="AZ32">
            <v>8.8893296908460102E-3</v>
          </cell>
          <cell r="BA32">
            <v>476.02360494480382</v>
          </cell>
          <cell r="BB32">
            <v>0.1249405787256703</v>
          </cell>
          <cell r="BC32">
            <v>476.02360494480382</v>
          </cell>
          <cell r="BD32">
            <v>0</v>
          </cell>
        </row>
        <row r="33">
          <cell r="A33" t="str">
            <v>FEB0027</v>
          </cell>
          <cell r="B33" t="str">
            <v>FEB0010</v>
          </cell>
          <cell r="C33" t="str">
            <v>Chocolate Enrobed Milk Choc Chunk - 2 Cookie Minipack (USA)</v>
          </cell>
          <cell r="D33" t="str">
            <v>Brand</v>
          </cell>
          <cell r="F33">
            <v>3474</v>
          </cell>
          <cell r="G33" t="e">
            <v>#VALUE!</v>
          </cell>
          <cell r="H33">
            <v>1428.5714285714287</v>
          </cell>
          <cell r="I33">
            <v>31</v>
          </cell>
          <cell r="J33">
            <v>1.9375</v>
          </cell>
          <cell r="K33">
            <v>24256.964860039683</v>
          </cell>
          <cell r="M33">
            <v>1.08</v>
          </cell>
          <cell r="N33">
            <v>1</v>
          </cell>
          <cell r="O33">
            <v>360</v>
          </cell>
          <cell r="P33">
            <v>1.08</v>
          </cell>
          <cell r="Q33">
            <v>1682</v>
          </cell>
          <cell r="R33">
            <v>860.06700000000001</v>
          </cell>
          <cell r="S33">
            <v>0.89</v>
          </cell>
          <cell r="T33">
            <v>0.89</v>
          </cell>
          <cell r="U33">
            <v>0.16</v>
          </cell>
          <cell r="V33">
            <v>2.95</v>
          </cell>
          <cell r="W33">
            <v>0.93</v>
          </cell>
          <cell r="X33">
            <v>3.172043010752688</v>
          </cell>
          <cell r="Y33">
            <v>163.82228571428573</v>
          </cell>
          <cell r="Z33">
            <v>519.65133640552995</v>
          </cell>
          <cell r="AA33">
            <v>845.08135641428578</v>
          </cell>
          <cell r="AB33">
            <v>782.48273742063498</v>
          </cell>
          <cell r="AC33">
            <v>782.48273742063498</v>
          </cell>
          <cell r="AD33">
            <v>2.813674003420219</v>
          </cell>
          <cell r="AE33">
            <v>0.56879999999999997</v>
          </cell>
          <cell r="AF33">
            <v>5.2884615384615384E-2</v>
          </cell>
          <cell r="AH33">
            <v>0.06</v>
          </cell>
          <cell r="AI33">
            <v>141.25</v>
          </cell>
          <cell r="AJ33">
            <v>0.30444447959933019</v>
          </cell>
          <cell r="AK33">
            <v>0.87</v>
          </cell>
          <cell r="AL33">
            <v>0.45336787564766839</v>
          </cell>
          <cell r="AM33">
            <v>0.13702464160760042</v>
          </cell>
          <cell r="AN33">
            <v>4.6977779183973216E-2</v>
          </cell>
          <cell r="AO33">
            <v>5.2542887794588164</v>
          </cell>
          <cell r="AP33">
            <v>4.914049439669844</v>
          </cell>
          <cell r="AQ33">
            <v>5.3071733948434314</v>
          </cell>
          <cell r="AR33">
            <v>0.17902074826985984</v>
          </cell>
          <cell r="AS33">
            <v>3</v>
          </cell>
          <cell r="AT33">
            <v>0.94032641724338006</v>
          </cell>
          <cell r="AU33">
            <v>1.5</v>
          </cell>
          <cell r="AV33">
            <v>525</v>
          </cell>
          <cell r="AW33">
            <v>1158</v>
          </cell>
          <cell r="AX33">
            <v>0.45336787564766839</v>
          </cell>
          <cell r="AY33">
            <v>1575</v>
          </cell>
          <cell r="AZ33">
            <v>8.8893296908460102E-3</v>
          </cell>
          <cell r="BA33">
            <v>476.02360494480382</v>
          </cell>
          <cell r="BB33">
            <v>0.13702464160760042</v>
          </cell>
          <cell r="BC33">
            <v>476.02360494480382</v>
          </cell>
          <cell r="BD33">
            <v>0</v>
          </cell>
        </row>
        <row r="34">
          <cell r="A34" t="str">
            <v>FEB0028</v>
          </cell>
          <cell r="B34" t="str">
            <v>FEB0028</v>
          </cell>
          <cell r="C34" t="str">
            <v>ECB Milk Chocolate Chunk 50% Extra Free 240g</v>
          </cell>
          <cell r="D34" t="str">
            <v>Brand</v>
          </cell>
          <cell r="F34">
            <v>3109.9319999999998</v>
          </cell>
          <cell r="G34" t="e">
            <v>#VALUE!</v>
          </cell>
          <cell r="H34">
            <v>233</v>
          </cell>
          <cell r="I34">
            <v>31</v>
          </cell>
          <cell r="J34">
            <v>1.9375</v>
          </cell>
          <cell r="K34">
            <v>7575.6405495138888</v>
          </cell>
          <cell r="M34">
            <v>0.24</v>
          </cell>
          <cell r="N34">
            <v>12</v>
          </cell>
          <cell r="O34">
            <v>120</v>
          </cell>
          <cell r="P34">
            <v>2.88</v>
          </cell>
          <cell r="Q34">
            <v>1789.45</v>
          </cell>
          <cell r="R34">
            <v>888.52599999999995</v>
          </cell>
          <cell r="S34">
            <v>0.89</v>
          </cell>
          <cell r="T34">
            <v>0.89</v>
          </cell>
          <cell r="AA34">
            <v>703.80144459999997</v>
          </cell>
          <cell r="AB34">
            <v>244.37550159722221</v>
          </cell>
          <cell r="AC34">
            <v>2932.5060191666666</v>
          </cell>
          <cell r="AD34">
            <v>7.3225425147131054</v>
          </cell>
          <cell r="AE34">
            <v>0.91920000000000002</v>
          </cell>
          <cell r="AF34">
            <v>8.0399999999999999E-2</v>
          </cell>
          <cell r="AH34">
            <v>0.13200000000000001</v>
          </cell>
          <cell r="AI34">
            <v>353.125</v>
          </cell>
          <cell r="AJ34">
            <v>0.93226440112093023</v>
          </cell>
          <cell r="AK34">
            <v>0</v>
          </cell>
          <cell r="AL34">
            <v>0</v>
          </cell>
          <cell r="AM34">
            <v>0</v>
          </cell>
          <cell r="AN34">
            <v>3.7290576044837209E-2</v>
          </cell>
          <cell r="AO34">
            <v>8.935854856834446</v>
          </cell>
          <cell r="AP34">
            <v>3.1306440475119603</v>
          </cell>
          <cell r="AQ34">
            <v>9.0162548568344452</v>
          </cell>
          <cell r="AR34">
            <v>0.51314670681536578</v>
          </cell>
          <cell r="AT34">
            <v>0</v>
          </cell>
          <cell r="AU34">
            <v>0</v>
          </cell>
          <cell r="AV34">
            <v>0</v>
          </cell>
          <cell r="AW34">
            <v>9090.7686594166662</v>
          </cell>
          <cell r="AX34">
            <v>0</v>
          </cell>
          <cell r="AY34">
            <v>0</v>
          </cell>
          <cell r="AZ34">
            <v>0</v>
          </cell>
          <cell r="BA34">
            <v>0</v>
          </cell>
          <cell r="BB34">
            <v>0</v>
          </cell>
          <cell r="BC34">
            <v>0</v>
          </cell>
          <cell r="BD34">
            <v>-0.40744263504439482</v>
          </cell>
        </row>
        <row r="35">
          <cell r="A35" t="str">
            <v>FEB0029</v>
          </cell>
          <cell r="B35" t="str">
            <v>FEB0029</v>
          </cell>
          <cell r="C35" t="str">
            <v>ECB Chocolate Enrobed Milk Chocolate Chunk 50% Extra Free 250g</v>
          </cell>
          <cell r="D35" t="str">
            <v>Brand</v>
          </cell>
          <cell r="F35">
            <v>3653.7330000000002</v>
          </cell>
          <cell r="G35" t="e">
            <v>#VALUE!</v>
          </cell>
          <cell r="H35">
            <v>256</v>
          </cell>
          <cell r="I35">
            <v>31</v>
          </cell>
          <cell r="J35">
            <v>1.9375</v>
          </cell>
          <cell r="K35">
            <v>8732.5073496142868</v>
          </cell>
          <cell r="M35">
            <v>0.25</v>
          </cell>
          <cell r="N35">
            <v>12</v>
          </cell>
          <cell r="O35">
            <v>120</v>
          </cell>
          <cell r="P35">
            <v>3</v>
          </cell>
          <cell r="Q35">
            <v>1682</v>
          </cell>
          <cell r="R35">
            <v>860.06700000000001</v>
          </cell>
          <cell r="S35">
            <v>0.89</v>
          </cell>
          <cell r="T35">
            <v>0.89</v>
          </cell>
          <cell r="U35">
            <v>0.16</v>
          </cell>
          <cell r="V35">
            <v>2.95</v>
          </cell>
          <cell r="W35">
            <v>0.93</v>
          </cell>
          <cell r="X35">
            <v>3.172043010752688</v>
          </cell>
          <cell r="Y35">
            <v>163.82228571428573</v>
          </cell>
          <cell r="Z35">
            <v>519.65133640552995</v>
          </cell>
          <cell r="AA35">
            <v>845.08135641428578</v>
          </cell>
          <cell r="AB35">
            <v>281.69378547142861</v>
          </cell>
          <cell r="AC35">
            <v>3380.3254256571436</v>
          </cell>
          <cell r="AD35">
            <v>7.815761120611719</v>
          </cell>
          <cell r="AE35">
            <v>0.91920000000000002</v>
          </cell>
          <cell r="AF35">
            <v>8.0399999999999999E-2</v>
          </cell>
          <cell r="AH35">
            <v>0.13200000000000001</v>
          </cell>
          <cell r="AI35">
            <v>353.125</v>
          </cell>
          <cell r="AJ35">
            <v>0.80875969721479235</v>
          </cell>
          <cell r="AK35">
            <v>0</v>
          </cell>
          <cell r="AL35">
            <v>0</v>
          </cell>
          <cell r="AM35">
            <v>0</v>
          </cell>
          <cell r="AN35">
            <v>3.2350387888591695E-2</v>
          </cell>
          <cell r="AO35">
            <v>9.3263458731731639</v>
          </cell>
          <cell r="AP35">
            <v>3.1355819577243875</v>
          </cell>
          <cell r="AQ35">
            <v>9.406745873173163</v>
          </cell>
          <cell r="AR35">
            <v>0.52300743270507877</v>
          </cell>
          <cell r="AT35">
            <v>0</v>
          </cell>
          <cell r="AU35">
            <v>0</v>
          </cell>
          <cell r="AV35">
            <v>0</v>
          </cell>
          <cell r="AW35">
            <v>10915.634187017858</v>
          </cell>
          <cell r="AX35">
            <v>0</v>
          </cell>
          <cell r="AY35">
            <v>0</v>
          </cell>
          <cell r="AZ35">
            <v>0</v>
          </cell>
          <cell r="BA35">
            <v>0</v>
          </cell>
          <cell r="BB35">
            <v>0</v>
          </cell>
          <cell r="BC35">
            <v>0</v>
          </cell>
          <cell r="BD35">
            <v>-0.38172533254193541</v>
          </cell>
        </row>
        <row r="36">
          <cell r="A36" t="str">
            <v>FEB0030</v>
          </cell>
          <cell r="B36" t="str">
            <v>FEB0030</v>
          </cell>
          <cell r="C36" t="str">
            <v>ECB Crunch'ems Coconut Crunch 50% Extra Free 335g</v>
          </cell>
          <cell r="D36" t="str">
            <v>Brand</v>
          </cell>
          <cell r="F36">
            <v>842.17399999999998</v>
          </cell>
          <cell r="G36" t="e">
            <v>#VALUE!</v>
          </cell>
          <cell r="H36">
            <v>171</v>
          </cell>
          <cell r="I36">
            <v>26</v>
          </cell>
          <cell r="J36">
            <v>1.625</v>
          </cell>
          <cell r="K36">
            <v>4476.4209119402985</v>
          </cell>
          <cell r="M36">
            <v>0.33500000000000002</v>
          </cell>
          <cell r="N36">
            <v>12</v>
          </cell>
          <cell r="O36">
            <v>120</v>
          </cell>
          <cell r="P36">
            <v>4.0200000000000005</v>
          </cell>
          <cell r="Q36">
            <v>1402</v>
          </cell>
          <cell r="R36">
            <v>893.87</v>
          </cell>
          <cell r="S36">
            <v>0.87</v>
          </cell>
          <cell r="T36">
            <v>0.89</v>
          </cell>
          <cell r="AA36">
            <v>692.12354100000005</v>
          </cell>
          <cell r="AB36">
            <v>172.17003507462687</v>
          </cell>
          <cell r="AC36">
            <v>2066.0404208955224</v>
          </cell>
          <cell r="AD36">
            <v>8.1431127047880612</v>
          </cell>
          <cell r="AE36">
            <v>0.91920000000000002</v>
          </cell>
          <cell r="AF36">
            <v>8.0399999999999999E-2</v>
          </cell>
          <cell r="AH36">
            <v>0.13200000000000001</v>
          </cell>
          <cell r="AI36">
            <v>353.125</v>
          </cell>
          <cell r="AJ36">
            <v>1.5777113320960625</v>
          </cell>
          <cell r="AK36">
            <v>0</v>
          </cell>
          <cell r="AL36">
            <v>0.25857398499450018</v>
          </cell>
          <cell r="AM36">
            <v>0</v>
          </cell>
          <cell r="AN36">
            <v>6.31084532838425E-2</v>
          </cell>
          <cell r="AO36">
            <v>10.387183700639458</v>
          </cell>
          <cell r="AP36">
            <v>2.603876542447626</v>
          </cell>
          <cell r="AQ36">
            <v>10.467583700639457</v>
          </cell>
          <cell r="AR36">
            <v>0.2351694625480831</v>
          </cell>
          <cell r="AT36">
            <v>0.6361291839193377</v>
          </cell>
          <cell r="AU36">
            <v>1.5</v>
          </cell>
          <cell r="AV36">
            <v>525</v>
          </cell>
          <cell r="AW36">
            <v>2030.3666666666666</v>
          </cell>
          <cell r="AX36">
            <v>0.25857398499450018</v>
          </cell>
          <cell r="AY36">
            <v>0</v>
          </cell>
          <cell r="AZ36">
            <v>0</v>
          </cell>
          <cell r="BA36">
            <v>0</v>
          </cell>
          <cell r="BB36">
            <v>0</v>
          </cell>
          <cell r="BC36">
            <v>0</v>
          </cell>
          <cell r="BD36">
            <v>-0.70652277452297441</v>
          </cell>
        </row>
        <row r="37">
          <cell r="A37" t="str">
            <v>FEB0031</v>
          </cell>
          <cell r="B37" t="str">
            <v>FEB0031</v>
          </cell>
          <cell r="C37" t="str">
            <v>ECB Crunch'ems Ginger Crunch 50% Extra Free 335g</v>
          </cell>
          <cell r="D37" t="str">
            <v>Brand</v>
          </cell>
          <cell r="F37">
            <v>842.17399999999998</v>
          </cell>
          <cell r="G37" t="e">
            <v>#VALUE!</v>
          </cell>
          <cell r="H37">
            <v>171</v>
          </cell>
          <cell r="I37">
            <v>31</v>
          </cell>
          <cell r="J37">
            <v>1.9375</v>
          </cell>
          <cell r="K37">
            <v>5355.3631268656718</v>
          </cell>
          <cell r="M37">
            <v>0.33500000000000002</v>
          </cell>
          <cell r="N37">
            <v>12</v>
          </cell>
          <cell r="O37">
            <v>120</v>
          </cell>
          <cell r="P37">
            <v>4.0200000000000005</v>
          </cell>
          <cell r="Q37">
            <v>1317</v>
          </cell>
          <cell r="R37">
            <v>896.9</v>
          </cell>
          <cell r="S37">
            <v>0.87</v>
          </cell>
          <cell r="T37">
            <v>0.89</v>
          </cell>
          <cell r="AA37">
            <v>694.46967000000006</v>
          </cell>
          <cell r="AB37">
            <v>172.75364925373134</v>
          </cell>
          <cell r="AC37">
            <v>2073.0437910447763</v>
          </cell>
          <cell r="AD37">
            <v>7.6235726752472868</v>
          </cell>
          <cell r="AE37">
            <v>0.91920000000000002</v>
          </cell>
          <cell r="AF37">
            <v>8.0399999999999999E-2</v>
          </cell>
          <cell r="AH37">
            <v>0.13200000000000001</v>
          </cell>
          <cell r="AI37">
            <v>353.125</v>
          </cell>
          <cell r="AJ37">
            <v>1.3187714507295161</v>
          </cell>
          <cell r="AK37">
            <v>0</v>
          </cell>
          <cell r="AL37">
            <v>0.1902158980636022</v>
          </cell>
          <cell r="AM37">
            <v>0</v>
          </cell>
          <cell r="AN37">
            <v>5.2750858029180642E-2</v>
          </cell>
          <cell r="AO37">
            <v>9.5198575802842829</v>
          </cell>
          <cell r="AP37">
            <v>2.3881237761901195</v>
          </cell>
          <cell r="AQ37">
            <v>9.600257580284282</v>
          </cell>
          <cell r="AR37">
            <v>0.19657257128259811</v>
          </cell>
          <cell r="AT37">
            <v>0.507035575295673</v>
          </cell>
          <cell r="AU37">
            <v>1.5</v>
          </cell>
          <cell r="AV37">
            <v>525</v>
          </cell>
          <cell r="AW37">
            <v>2760.0216666666661</v>
          </cell>
          <cell r="AX37">
            <v>0.1902158980636022</v>
          </cell>
          <cell r="AY37">
            <v>0</v>
          </cell>
          <cell r="AZ37">
            <v>0</v>
          </cell>
          <cell r="BA37">
            <v>0</v>
          </cell>
          <cell r="BB37">
            <v>0</v>
          </cell>
          <cell r="BC37">
            <v>0</v>
          </cell>
          <cell r="BD37">
            <v>-0.7166533017853528</v>
          </cell>
        </row>
        <row r="38">
          <cell r="A38" t="str">
            <v>FEB0032</v>
          </cell>
          <cell r="B38" t="str">
            <v>FEB0032</v>
          </cell>
          <cell r="C38" t="str">
            <v>ECB Granola Crunchy with Nuts &amp; Seeds 50% Extra Free 240g</v>
          </cell>
          <cell r="D38" t="str">
            <v>Brand</v>
          </cell>
          <cell r="F38">
            <v>2282.652</v>
          </cell>
          <cell r="G38" t="e">
            <v>#VALUE!</v>
          </cell>
          <cell r="H38">
            <v>233</v>
          </cell>
          <cell r="I38">
            <v>31</v>
          </cell>
          <cell r="J38">
            <v>1.9375</v>
          </cell>
          <cell r="K38">
            <v>6553.8305555555562</v>
          </cell>
          <cell r="M38">
            <v>0.24</v>
          </cell>
          <cell r="N38">
            <v>12</v>
          </cell>
          <cell r="O38">
            <v>120</v>
          </cell>
          <cell r="P38">
            <v>2.88</v>
          </cell>
          <cell r="Q38">
            <v>1487</v>
          </cell>
          <cell r="R38">
            <v>814</v>
          </cell>
          <cell r="S38">
            <v>0.88</v>
          </cell>
          <cell r="T38">
            <v>0.85</v>
          </cell>
          <cell r="AA38">
            <v>608.87200000000007</v>
          </cell>
          <cell r="AB38">
            <v>211.41388888888892</v>
          </cell>
          <cell r="AC38">
            <v>2536.9666666666672</v>
          </cell>
          <cell r="AD38">
            <v>7.0335965523131287</v>
          </cell>
          <cell r="AE38">
            <v>0.91920000000000002</v>
          </cell>
          <cell r="AF38">
            <v>8.0399999999999999E-2</v>
          </cell>
          <cell r="AH38">
            <v>0.13200000000000001</v>
          </cell>
          <cell r="AI38">
            <v>353.125</v>
          </cell>
          <cell r="AJ38">
            <v>1.0776140670913827</v>
          </cell>
          <cell r="AK38">
            <v>0</v>
          </cell>
          <cell r="AL38">
            <v>0.91998254661682988</v>
          </cell>
          <cell r="AM38">
            <v>0.27805295766783766</v>
          </cell>
          <cell r="AN38">
            <v>4.3104562683655312E-2</v>
          </cell>
          <cell r="AO38">
            <v>9.9142298827150412</v>
          </cell>
          <cell r="AP38">
            <v>3.4703575981649446</v>
          </cell>
          <cell r="AQ38">
            <v>9.9946298827150404</v>
          </cell>
          <cell r="AR38">
            <v>0.43536600096889899</v>
          </cell>
          <cell r="AS38">
            <v>4</v>
          </cell>
          <cell r="AT38">
            <v>0.89115849975777528</v>
          </cell>
          <cell r="AU38">
            <v>1.5</v>
          </cell>
          <cell r="AV38">
            <v>525</v>
          </cell>
          <cell r="AW38">
            <v>570.66300000000001</v>
          </cell>
          <cell r="AX38">
            <v>0.91998254661682988</v>
          </cell>
          <cell r="AY38">
            <v>2100</v>
          </cell>
          <cell r="AZ38">
            <v>1.1852439587794679E-2</v>
          </cell>
          <cell r="BA38">
            <v>634.69813992640502</v>
          </cell>
          <cell r="BB38">
            <v>0.27805295766783766</v>
          </cell>
          <cell r="BC38">
            <v>634.69813992640502</v>
          </cell>
          <cell r="BD38">
            <v>-0.48932080365781033</v>
          </cell>
        </row>
        <row r="39">
          <cell r="A39" t="str">
            <v>FGR0001</v>
          </cell>
          <cell r="B39" t="str">
            <v>FGR0001</v>
          </cell>
          <cell r="C39" t="str">
            <v>Grenade Carb Killa -  Double Chocolate Biscuit</v>
          </cell>
          <cell r="D39" t="str">
            <v>CM</v>
          </cell>
          <cell r="F39">
            <v>29025.000000000007</v>
          </cell>
          <cell r="G39" t="e">
            <v>#VALUE!</v>
          </cell>
          <cell r="H39">
            <v>284</v>
          </cell>
          <cell r="I39">
            <v>16</v>
          </cell>
          <cell r="J39">
            <v>1</v>
          </cell>
          <cell r="K39">
            <v>4971.8881693333324</v>
          </cell>
          <cell r="M39">
            <v>0.60000000000000009</v>
          </cell>
          <cell r="N39">
            <v>4</v>
          </cell>
          <cell r="O39">
            <v>135</v>
          </cell>
          <cell r="P39">
            <v>2.4000000000000004</v>
          </cell>
          <cell r="Q39">
            <v>1774</v>
          </cell>
          <cell r="R39">
            <v>523.06299999999999</v>
          </cell>
          <cell r="S39">
            <v>0.97</v>
          </cell>
          <cell r="T39">
            <v>0.89</v>
          </cell>
          <cell r="U39">
            <v>0.36</v>
          </cell>
          <cell r="V39">
            <v>4.5999999999999996</v>
          </cell>
          <cell r="W39">
            <v>0.93</v>
          </cell>
          <cell r="X39">
            <v>4.9462365591397841</v>
          </cell>
          <cell r="Y39">
            <v>294.22293749999994</v>
          </cell>
          <cell r="Z39">
            <v>1455.2962499999994</v>
          </cell>
          <cell r="AA39">
            <v>745.78322539999999</v>
          </cell>
          <cell r="AB39">
            <v>310.74301058333327</v>
          </cell>
          <cell r="AC39">
            <v>1242.9720423333331</v>
          </cell>
          <cell r="AD39">
            <v>10.392176621890536</v>
          </cell>
          <cell r="AE39">
            <v>1.38</v>
          </cell>
          <cell r="AF39">
            <v>0.26800000000000002</v>
          </cell>
          <cell r="AH39">
            <v>0.29199999999999998</v>
          </cell>
          <cell r="AI39">
            <v>353.125</v>
          </cell>
          <cell r="AJ39">
            <v>1.4204864951632636</v>
          </cell>
          <cell r="AK39">
            <v>1.32</v>
          </cell>
          <cell r="AL39">
            <v>0</v>
          </cell>
          <cell r="AM39">
            <v>3.2800937463896895E-2</v>
          </cell>
          <cell r="AN39">
            <v>0.10961945980653055</v>
          </cell>
          <cell r="AO39">
            <v>13.913614889575468</v>
          </cell>
          <cell r="AP39">
            <v>5.9090062039897777</v>
          </cell>
          <cell r="AQ39">
            <v>14.181614889575469</v>
          </cell>
          <cell r="AR39">
            <v>7.2972779685157052</v>
          </cell>
          <cell r="AS39">
            <v>6</v>
          </cell>
          <cell r="AT39">
            <v>0</v>
          </cell>
          <cell r="AU39">
            <v>0</v>
          </cell>
          <cell r="AV39">
            <v>0</v>
          </cell>
          <cell r="AW39">
            <v>4837.5000000000009</v>
          </cell>
          <cell r="AX39">
            <v>0</v>
          </cell>
          <cell r="AY39">
            <v>0</v>
          </cell>
          <cell r="AZ39">
            <v>1.777865938169202E-2</v>
          </cell>
          <cell r="BA39">
            <v>952.04720988960764</v>
          </cell>
          <cell r="BB39">
            <v>3.2800937463896895E-2</v>
          </cell>
          <cell r="BC39">
            <v>952.04720988960764</v>
          </cell>
          <cell r="BD39">
            <v>-1.0334686247487792</v>
          </cell>
        </row>
        <row r="40">
          <cell r="A40" t="str">
            <v>FGR0002</v>
          </cell>
          <cell r="B40" t="str">
            <v>FGR0002</v>
          </cell>
          <cell r="C40" t="str">
            <v>Grenade Carb Killa - Salted Caramel Biscuit</v>
          </cell>
          <cell r="D40" t="str">
            <v>CM</v>
          </cell>
          <cell r="F40">
            <v>29025.000000000007</v>
          </cell>
          <cell r="G40" t="e">
            <v>#VALUE!</v>
          </cell>
          <cell r="H40">
            <v>284</v>
          </cell>
          <cell r="I40">
            <v>16</v>
          </cell>
          <cell r="J40">
            <v>1</v>
          </cell>
          <cell r="K40">
            <v>4985.9750733333321</v>
          </cell>
          <cell r="M40">
            <v>0.60000000000000009</v>
          </cell>
          <cell r="N40">
            <v>4</v>
          </cell>
          <cell r="O40">
            <v>135</v>
          </cell>
          <cell r="P40">
            <v>2.4000000000000004</v>
          </cell>
          <cell r="Q40">
            <v>2272</v>
          </cell>
          <cell r="R40">
            <v>524.54499999999996</v>
          </cell>
          <cell r="S40">
            <v>0.97</v>
          </cell>
          <cell r="T40">
            <v>0.89</v>
          </cell>
          <cell r="U40">
            <v>0.36</v>
          </cell>
          <cell r="V40">
            <v>4.5999999999999996</v>
          </cell>
          <cell r="W40">
            <v>0.93</v>
          </cell>
          <cell r="X40">
            <v>4.9462365591397841</v>
          </cell>
          <cell r="Y40">
            <v>295.05656249999993</v>
          </cell>
          <cell r="Z40">
            <v>1459.4195564516124</v>
          </cell>
          <cell r="AA40">
            <v>747.89626099999987</v>
          </cell>
          <cell r="AB40">
            <v>311.62344208333326</v>
          </cell>
          <cell r="AC40">
            <v>1246.493768333333</v>
          </cell>
          <cell r="AD40">
            <v>11.974129839223613</v>
          </cell>
          <cell r="AE40">
            <v>1.38</v>
          </cell>
          <cell r="AF40">
            <v>0.26800000000000002</v>
          </cell>
          <cell r="AH40">
            <v>0.29199999999999998</v>
          </cell>
          <cell r="AI40">
            <v>353.125</v>
          </cell>
          <cell r="AJ40">
            <v>1.4164731865132298</v>
          </cell>
          <cell r="AK40">
            <v>1.32</v>
          </cell>
          <cell r="AL40">
            <v>0</v>
          </cell>
          <cell r="AM40">
            <v>3.2800937463896895E-2</v>
          </cell>
          <cell r="AN40">
            <v>0.1094589274605292</v>
          </cell>
          <cell r="AO40">
            <v>15.263587224090333</v>
          </cell>
          <cell r="AP40">
            <v>6.4714946767043049</v>
          </cell>
          <cell r="AQ40">
            <v>15.531587224090334</v>
          </cell>
          <cell r="AR40">
            <v>7.2766609271763727</v>
          </cell>
          <cell r="AS40">
            <v>6</v>
          </cell>
          <cell r="AT40">
            <v>0</v>
          </cell>
          <cell r="AU40">
            <v>0</v>
          </cell>
          <cell r="AV40">
            <v>0</v>
          </cell>
          <cell r="AW40">
            <v>4837.5000000000009</v>
          </cell>
          <cell r="AX40">
            <v>0</v>
          </cell>
          <cell r="AY40">
            <v>0</v>
          </cell>
          <cell r="AZ40">
            <v>1.777865938169202E-2</v>
          </cell>
          <cell r="BA40">
            <v>952.04720988960764</v>
          </cell>
          <cell r="BB40">
            <v>3.2800937463896895E-2</v>
          </cell>
          <cell r="BC40">
            <v>952.04720988960764</v>
          </cell>
          <cell r="BD40">
            <v>-1.2612756665709632</v>
          </cell>
        </row>
        <row r="41">
          <cell r="A41" t="str">
            <v>NFGR9901</v>
          </cell>
          <cell r="B41" t="str">
            <v>NFGR9901</v>
          </cell>
          <cell r="C41" t="str">
            <v>Grenade Carb Killa -  Double Chocolate Biscuit SINGLE</v>
          </cell>
          <cell r="D41" t="str">
            <v>CM</v>
          </cell>
          <cell r="F41">
            <v>4339.4315181366337</v>
          </cell>
          <cell r="G41" t="e">
            <v>#VALUE!</v>
          </cell>
          <cell r="H41">
            <v>284</v>
          </cell>
          <cell r="I41">
            <v>16</v>
          </cell>
          <cell r="J41">
            <v>1</v>
          </cell>
          <cell r="K41">
            <v>4971.8881693333324</v>
          </cell>
          <cell r="M41">
            <v>0.60000000000000009</v>
          </cell>
          <cell r="N41">
            <v>4</v>
          </cell>
          <cell r="O41">
            <v>135</v>
          </cell>
          <cell r="P41">
            <v>2.4000000000000004</v>
          </cell>
          <cell r="Q41">
            <v>1774</v>
          </cell>
          <cell r="R41">
            <v>523.06299999999999</v>
          </cell>
          <cell r="S41">
            <v>0.97</v>
          </cell>
          <cell r="T41">
            <v>0.89</v>
          </cell>
          <cell r="U41">
            <v>0.36</v>
          </cell>
          <cell r="V41">
            <v>4.5999999999999996</v>
          </cell>
          <cell r="W41">
            <v>0.93</v>
          </cell>
          <cell r="X41">
            <v>4.9462365591397841</v>
          </cell>
          <cell r="Y41">
            <v>294.22293749999994</v>
          </cell>
          <cell r="Z41">
            <v>1455.2962499999994</v>
          </cell>
          <cell r="AA41">
            <v>745.78322539999999</v>
          </cell>
          <cell r="AB41">
            <v>310.74301058333327</v>
          </cell>
          <cell r="AC41">
            <v>1242.9720423333331</v>
          </cell>
          <cell r="AD41">
            <v>10.392176621890536</v>
          </cell>
          <cell r="AE41">
            <v>1.5760000000000001</v>
          </cell>
          <cell r="AF41">
            <v>0.26800000000000002</v>
          </cell>
          <cell r="AH41">
            <v>0.29199999999999998</v>
          </cell>
          <cell r="AI41">
            <v>353.125</v>
          </cell>
          <cell r="AJ41">
            <v>1.4204864951632636</v>
          </cell>
          <cell r="AK41">
            <v>2.992</v>
          </cell>
          <cell r="AL41">
            <v>0</v>
          </cell>
          <cell r="AM41">
            <v>0</v>
          </cell>
          <cell r="AN41">
            <v>0.17649945980653056</v>
          </cell>
          <cell r="AO41">
            <v>16.336421440860228</v>
          </cell>
          <cell r="AP41">
            <v>6.9185089336917613</v>
          </cell>
          <cell r="AQ41">
            <v>16.604421440860229</v>
          </cell>
          <cell r="AR41">
            <v>1.0909918350794525</v>
          </cell>
          <cell r="AT41">
            <v>0</v>
          </cell>
          <cell r="AU41">
            <v>0</v>
          </cell>
          <cell r="AV41">
            <v>0</v>
          </cell>
          <cell r="AW41">
            <v>4837.5000000000009</v>
          </cell>
          <cell r="AX41">
            <v>0</v>
          </cell>
          <cell r="AY41">
            <v>0</v>
          </cell>
          <cell r="AZ41">
            <v>0</v>
          </cell>
          <cell r="BA41">
            <v>0</v>
          </cell>
          <cell r="BB41">
            <v>0</v>
          </cell>
          <cell r="BC41">
            <v>0</v>
          </cell>
          <cell r="BD41">
            <v>-0.51274113600015159</v>
          </cell>
        </row>
        <row r="42">
          <cell r="A42" t="str">
            <v>NFGR9902</v>
          </cell>
          <cell r="B42" t="str">
            <v>NFGR9902</v>
          </cell>
          <cell r="C42" t="str">
            <v>Grenade Carb Killa - Salted Caramel Biscuit SINGLE</v>
          </cell>
          <cell r="D42" t="str">
            <v>CM</v>
          </cell>
          <cell r="F42">
            <v>3987.8678162573119</v>
          </cell>
          <cell r="G42" t="e">
            <v>#VALUE!</v>
          </cell>
          <cell r="H42">
            <v>284</v>
          </cell>
          <cell r="I42">
            <v>16</v>
          </cell>
          <cell r="J42">
            <v>1</v>
          </cell>
          <cell r="K42">
            <v>4985.9750733333321</v>
          </cell>
          <cell r="M42">
            <v>0.60000000000000009</v>
          </cell>
          <cell r="N42">
            <v>4</v>
          </cell>
          <cell r="O42">
            <v>135</v>
          </cell>
          <cell r="P42">
            <v>2.4000000000000004</v>
          </cell>
          <cell r="Q42">
            <v>2272</v>
          </cell>
          <cell r="R42">
            <v>524.54499999999996</v>
          </cell>
          <cell r="S42">
            <v>0.97</v>
          </cell>
          <cell r="T42">
            <v>0.89</v>
          </cell>
          <cell r="U42">
            <v>0.36</v>
          </cell>
          <cell r="V42">
            <v>4.5999999999999996</v>
          </cell>
          <cell r="W42">
            <v>0.93</v>
          </cell>
          <cell r="X42">
            <v>4.9462365591397841</v>
          </cell>
          <cell r="Y42">
            <v>295.05656249999993</v>
          </cell>
          <cell r="Z42">
            <v>1459.4195564516124</v>
          </cell>
          <cell r="AA42">
            <v>747.89626099999987</v>
          </cell>
          <cell r="AB42">
            <v>311.62344208333326</v>
          </cell>
          <cell r="AC42">
            <v>1246.493768333333</v>
          </cell>
          <cell r="AD42">
            <v>11.974129839223613</v>
          </cell>
          <cell r="AE42">
            <v>1.5760000000000001</v>
          </cell>
          <cell r="AF42">
            <v>0.26800000000000002</v>
          </cell>
          <cell r="AH42">
            <v>0.29199999999999998</v>
          </cell>
          <cell r="AI42">
            <v>353.125</v>
          </cell>
          <cell r="AJ42">
            <v>1.4164731865132298</v>
          </cell>
          <cell r="AK42">
            <v>2.992</v>
          </cell>
          <cell r="AL42">
            <v>0</v>
          </cell>
          <cell r="AM42">
            <v>0</v>
          </cell>
          <cell r="AN42">
            <v>0.17633892746052918</v>
          </cell>
          <cell r="AO42">
            <v>17.811266000396799</v>
          </cell>
          <cell r="AP42">
            <v>7.533027500165332</v>
          </cell>
          <cell r="AQ42">
            <v>18.0792660003968</v>
          </cell>
          <cell r="AR42">
            <v>0.9997712978916018</v>
          </cell>
          <cell r="AT42">
            <v>0</v>
          </cell>
          <cell r="AU42">
            <v>0</v>
          </cell>
          <cell r="AV42">
            <v>0</v>
          </cell>
          <cell r="AW42">
            <v>4837.5000000000009</v>
          </cell>
          <cell r="AX42">
            <v>0</v>
          </cell>
          <cell r="AY42">
            <v>0</v>
          </cell>
          <cell r="AZ42">
            <v>0</v>
          </cell>
          <cell r="BA42">
            <v>0</v>
          </cell>
          <cell r="BB42">
            <v>0</v>
          </cell>
          <cell r="BC42">
            <v>0</v>
          </cell>
          <cell r="BD42">
            <v>-0.61567595280057186</v>
          </cell>
        </row>
        <row r="43">
          <cell r="A43" t="str">
            <v>NFHU9901</v>
          </cell>
          <cell r="B43" t="str">
            <v>NFHU9901</v>
          </cell>
          <cell r="C43" t="str">
            <v>My Protein - Milk Choc Chunk</v>
          </cell>
          <cell r="D43" t="str">
            <v>CM</v>
          </cell>
          <cell r="F43">
            <v>15240</v>
          </cell>
          <cell r="G43" t="e">
            <v>#VALUE!</v>
          </cell>
          <cell r="H43">
            <v>353</v>
          </cell>
          <cell r="I43">
            <v>31</v>
          </cell>
          <cell r="J43">
            <v>1.9375</v>
          </cell>
          <cell r="K43">
            <v>11744.623284375</v>
          </cell>
          <cell r="M43">
            <v>0.16</v>
          </cell>
          <cell r="N43">
            <v>12</v>
          </cell>
          <cell r="O43">
            <v>160</v>
          </cell>
          <cell r="P43">
            <v>1.92</v>
          </cell>
          <cell r="Q43">
            <v>1781.08</v>
          </cell>
          <cell r="R43">
            <v>908.12599999999998</v>
          </cell>
          <cell r="S43">
            <v>0.9</v>
          </cell>
          <cell r="T43">
            <v>0.89</v>
          </cell>
          <cell r="AA43">
            <v>727.40892600000006</v>
          </cell>
          <cell r="AB43">
            <v>378.85881562500003</v>
          </cell>
          <cell r="AC43">
            <v>4546.3057875000004</v>
          </cell>
          <cell r="AD43">
            <v>4.7011707964661404</v>
          </cell>
          <cell r="AE43">
            <v>0.59040000000000004</v>
          </cell>
          <cell r="AF43">
            <v>0.18028846153846154</v>
          </cell>
          <cell r="AH43">
            <v>0.14400000000000002</v>
          </cell>
          <cell r="AI43">
            <v>353.125</v>
          </cell>
          <cell r="AJ43">
            <v>0.60133899819468206</v>
          </cell>
          <cell r="AK43">
            <v>0</v>
          </cell>
          <cell r="AL43">
            <v>0.20669291338582677</v>
          </cell>
          <cell r="AM43">
            <v>6.2470289362835149E-2</v>
          </cell>
          <cell r="AN43">
            <v>2.4053559927787283E-2</v>
          </cell>
          <cell r="AO43">
            <v>6.0405992460949269</v>
          </cell>
          <cell r="AP43">
            <v>3.2400456810590565</v>
          </cell>
          <cell r="AQ43">
            <v>6.2208877076333886</v>
          </cell>
          <cell r="AR43">
            <v>1.6220188199091956</v>
          </cell>
          <cell r="AS43">
            <v>6</v>
          </cell>
          <cell r="AT43">
            <v>0.72966353001513407</v>
          </cell>
          <cell r="AU43">
            <v>1.5</v>
          </cell>
          <cell r="AV43">
            <v>525</v>
          </cell>
          <cell r="AW43">
            <v>2540</v>
          </cell>
          <cell r="AX43">
            <v>0.20669291338582677</v>
          </cell>
          <cell r="AY43">
            <v>3150</v>
          </cell>
          <cell r="AZ43">
            <v>1.777865938169202E-2</v>
          </cell>
          <cell r="BA43">
            <v>952.04720988960764</v>
          </cell>
          <cell r="BB43">
            <v>6.2470289362835149E-2</v>
          </cell>
          <cell r="BC43">
            <v>952.04720988960764</v>
          </cell>
          <cell r="BD43">
            <v>-0.2895273112423446</v>
          </cell>
        </row>
        <row r="44">
          <cell r="A44" t="str">
            <v>NFHU9902</v>
          </cell>
          <cell r="B44" t="str">
            <v>NFHU9902</v>
          </cell>
          <cell r="C44" t="str">
            <v>My Protein - HC Milk Choc Chunk</v>
          </cell>
          <cell r="D44" t="str">
            <v>CM</v>
          </cell>
          <cell r="F44">
            <v>14264</v>
          </cell>
          <cell r="G44" t="e">
            <v>#VALUE!</v>
          </cell>
          <cell r="H44">
            <v>353</v>
          </cell>
          <cell r="I44">
            <v>31</v>
          </cell>
          <cell r="J44">
            <v>1.9375</v>
          </cell>
          <cell r="K44">
            <v>14537.471101835321</v>
          </cell>
          <cell r="M44">
            <v>0.16</v>
          </cell>
          <cell r="N44">
            <v>12</v>
          </cell>
          <cell r="O44">
            <v>160</v>
          </cell>
          <cell r="P44">
            <v>1.92</v>
          </cell>
          <cell r="Q44">
            <v>1781.08</v>
          </cell>
          <cell r="R44">
            <v>908.12599999999998</v>
          </cell>
          <cell r="S44">
            <v>0.9</v>
          </cell>
          <cell r="T44">
            <v>0.89</v>
          </cell>
          <cell r="U44">
            <v>0.16</v>
          </cell>
          <cell r="V44">
            <v>4.5999999999999996</v>
          </cell>
          <cell r="W44">
            <v>0.93</v>
          </cell>
          <cell r="X44">
            <v>4.9462365591397841</v>
          </cell>
          <cell r="Y44">
            <v>172.97638095238108</v>
          </cell>
          <cell r="Z44">
            <v>855.58209933435785</v>
          </cell>
          <cell r="AA44">
            <v>900.38530695238114</v>
          </cell>
          <cell r="AB44">
            <v>468.9506807043652</v>
          </cell>
          <cell r="AC44">
            <v>5627.4081684523826</v>
          </cell>
          <cell r="AD44">
            <v>5.6224720590533828</v>
          </cell>
          <cell r="AE44">
            <v>0.59040000000000004</v>
          </cell>
          <cell r="AF44">
            <v>0.18028846153846154</v>
          </cell>
          <cell r="AH44">
            <v>0.14400000000000002</v>
          </cell>
          <cell r="AI44">
            <v>353.125</v>
          </cell>
          <cell r="AJ44">
            <v>0.48581351945789086</v>
          </cell>
          <cell r="AK44">
            <v>0</v>
          </cell>
          <cell r="AL44">
            <v>0.22083567021873246</v>
          </cell>
          <cell r="AM44">
            <v>6.6744756722490722E-2</v>
          </cell>
          <cell r="AN44">
            <v>1.9432540778315636E-2</v>
          </cell>
          <cell r="AO44">
            <v>6.9035098053446537</v>
          </cell>
          <cell r="AP44">
            <v>3.6894782640016226</v>
          </cell>
          <cell r="AQ44">
            <v>7.0837982668831154</v>
          </cell>
          <cell r="AR44">
            <v>1.2264856710703282</v>
          </cell>
          <cell r="AS44">
            <v>6</v>
          </cell>
          <cell r="AT44">
            <v>0.79558572148827866</v>
          </cell>
          <cell r="AU44">
            <v>1.5</v>
          </cell>
          <cell r="AV44">
            <v>525</v>
          </cell>
          <cell r="AW44">
            <v>2377.3333333333335</v>
          </cell>
          <cell r="AX44">
            <v>0.22083567021873246</v>
          </cell>
          <cell r="AY44">
            <v>3150</v>
          </cell>
          <cell r="AZ44">
            <v>1.777865938169202E-2</v>
          </cell>
          <cell r="BA44">
            <v>952.04720988960764</v>
          </cell>
          <cell r="BB44">
            <v>6.6744756722490722E-2</v>
          </cell>
          <cell r="BC44">
            <v>952.04720988960764</v>
          </cell>
          <cell r="BD44">
            <v>-0.24618874088614623</v>
          </cell>
        </row>
        <row r="45">
          <cell r="A45" t="str">
            <v>NFHU9903</v>
          </cell>
          <cell r="B45" t="str">
            <v>NFHU9903</v>
          </cell>
          <cell r="C45" t="str">
            <v>My Protein - Oatie</v>
          </cell>
          <cell r="D45" t="str">
            <v>CM</v>
          </cell>
          <cell r="F45">
            <v>19359</v>
          </cell>
          <cell r="G45" t="e">
            <v>#VALUE!</v>
          </cell>
          <cell r="H45">
            <v>353</v>
          </cell>
          <cell r="I45">
            <v>31</v>
          </cell>
          <cell r="J45">
            <v>1.9375</v>
          </cell>
          <cell r="K45">
            <v>10931.819010416668</v>
          </cell>
          <cell r="M45">
            <v>0.16</v>
          </cell>
          <cell r="N45">
            <v>12</v>
          </cell>
          <cell r="O45">
            <v>160</v>
          </cell>
          <cell r="P45">
            <v>1.92</v>
          </cell>
          <cell r="Q45">
            <v>973.06015037593988</v>
          </cell>
          <cell r="R45">
            <v>895</v>
          </cell>
          <cell r="S45">
            <v>0.85</v>
          </cell>
          <cell r="T45">
            <v>0.89</v>
          </cell>
          <cell r="AA45">
            <v>677.0675</v>
          </cell>
          <cell r="AB45">
            <v>352.63932291666669</v>
          </cell>
          <cell r="AC45">
            <v>4231.671875</v>
          </cell>
          <cell r="AD45">
            <v>2.7593637100020376</v>
          </cell>
          <cell r="AE45">
            <v>0.59040000000000004</v>
          </cell>
          <cell r="AF45">
            <v>0.18028846153846154</v>
          </cell>
          <cell r="AH45">
            <v>0.14400000000000002</v>
          </cell>
          <cell r="AI45">
            <v>353.125</v>
          </cell>
          <cell r="AJ45">
            <v>0.64604984708128754</v>
          </cell>
          <cell r="AK45">
            <v>0</v>
          </cell>
          <cell r="AL45">
            <v>0.16271501627150162</v>
          </cell>
          <cell r="AM45">
            <v>4.9178532459817535E-2</v>
          </cell>
          <cell r="AN45">
            <v>2.5841993883251504E-2</v>
          </cell>
          <cell r="AO45">
            <v>4.0431679677523578</v>
          </cell>
          <cell r="AP45">
            <v>2.199716890255635</v>
          </cell>
          <cell r="AQ45">
            <v>4.2234564292908194</v>
          </cell>
          <cell r="AR45">
            <v>2.2136069008224148</v>
          </cell>
          <cell r="AS45">
            <v>6</v>
          </cell>
          <cell r="AT45">
            <v>0.63106551652959753</v>
          </cell>
          <cell r="AU45">
            <v>1.5</v>
          </cell>
          <cell r="AV45">
            <v>525</v>
          </cell>
          <cell r="AW45">
            <v>3226.5</v>
          </cell>
          <cell r="AX45">
            <v>0.16271501627150162</v>
          </cell>
          <cell r="AY45">
            <v>3150</v>
          </cell>
          <cell r="AZ45">
            <v>1.777865938169202E-2</v>
          </cell>
          <cell r="BA45">
            <v>952.04720988960764</v>
          </cell>
          <cell r="BB45">
            <v>4.9178532459817535E-2</v>
          </cell>
          <cell r="BC45">
            <v>952.04720988960764</v>
          </cell>
          <cell r="BD45">
            <v>-0.33438113194552049</v>
          </cell>
        </row>
        <row r="46">
          <cell r="A46" t="str">
            <v>NFHU9904</v>
          </cell>
          <cell r="B46" t="str">
            <v>NFHU9904</v>
          </cell>
          <cell r="C46" t="str">
            <v>My Protein - HC Oatie</v>
          </cell>
          <cell r="D46" t="str">
            <v>CM</v>
          </cell>
          <cell r="F46">
            <v>19920</v>
          </cell>
          <cell r="G46" t="e">
            <v>#VALUE!</v>
          </cell>
          <cell r="H46">
            <v>353</v>
          </cell>
          <cell r="I46">
            <v>31</v>
          </cell>
          <cell r="J46">
            <v>1.9375</v>
          </cell>
          <cell r="K46">
            <v>13684.299169146827</v>
          </cell>
          <cell r="M46">
            <v>0.16</v>
          </cell>
          <cell r="N46">
            <v>12</v>
          </cell>
          <cell r="O46">
            <v>160</v>
          </cell>
          <cell r="P46">
            <v>1.92</v>
          </cell>
          <cell r="Q46">
            <v>973.06015037593988</v>
          </cell>
          <cell r="R46">
            <v>895</v>
          </cell>
          <cell r="S46">
            <v>0.85</v>
          </cell>
          <cell r="T46">
            <v>0.89</v>
          </cell>
          <cell r="U46">
            <v>0.16</v>
          </cell>
          <cell r="V46">
            <v>4.5999999999999996</v>
          </cell>
          <cell r="W46">
            <v>0.93</v>
          </cell>
          <cell r="X46">
            <v>4.9462365591397841</v>
          </cell>
          <cell r="Y46">
            <v>170.4761904761906</v>
          </cell>
          <cell r="Z46">
            <v>843.21556579621142</v>
          </cell>
          <cell r="AA46">
            <v>847.54369047619059</v>
          </cell>
          <cell r="AB46">
            <v>441.42900545634927</v>
          </cell>
          <cell r="AC46">
            <v>5297.1480654761908</v>
          </cell>
          <cell r="AD46">
            <v>4.1145364117939769</v>
          </cell>
          <cell r="AE46">
            <v>0.59040000000000004</v>
          </cell>
          <cell r="AF46">
            <v>0.18028846153846154</v>
          </cell>
          <cell r="AH46">
            <v>0.14400000000000002</v>
          </cell>
          <cell r="AI46">
            <v>353.125</v>
          </cell>
          <cell r="AJ46">
            <v>0.51610242605068124</v>
          </cell>
          <cell r="AK46">
            <v>0</v>
          </cell>
          <cell r="AL46">
            <v>0.15813253012048192</v>
          </cell>
          <cell r="AM46">
            <v>4.7793534633012433E-2</v>
          </cell>
          <cell r="AN46">
            <v>2.064409704202725E-2</v>
          </cell>
          <cell r="AO46">
            <v>5.2572804353831497</v>
          </cell>
          <cell r="AP46">
            <v>2.8320671338133394</v>
          </cell>
          <cell r="AQ46">
            <v>5.4375688969216114</v>
          </cell>
          <cell r="AR46">
            <v>1.8196035976866498</v>
          </cell>
          <cell r="AS46">
            <v>6</v>
          </cell>
          <cell r="AT46">
            <v>0.69673273371889177</v>
          </cell>
          <cell r="AU46">
            <v>1.5</v>
          </cell>
          <cell r="AV46">
            <v>525</v>
          </cell>
          <cell r="AW46">
            <v>3320</v>
          </cell>
          <cell r="AX46">
            <v>0.15813253012048192</v>
          </cell>
          <cell r="AY46">
            <v>3150</v>
          </cell>
          <cell r="AZ46">
            <v>1.777865938169202E-2</v>
          </cell>
          <cell r="BA46">
            <v>952.04720988960764</v>
          </cell>
          <cell r="BB46">
            <v>4.7793534633012433E-2</v>
          </cell>
          <cell r="BC46">
            <v>952.04720988960764</v>
          </cell>
          <cell r="BD46">
            <v>-0.33432856425702795</v>
          </cell>
        </row>
        <row r="47">
          <cell r="A47" t="str">
            <v>NFHU9905</v>
          </cell>
          <cell r="B47" t="str">
            <v>NFHU9905</v>
          </cell>
          <cell r="C47" t="str">
            <v>My Protein - All Day Golden Oat</v>
          </cell>
          <cell r="D47" t="str">
            <v>CM</v>
          </cell>
          <cell r="F47">
            <v>15232.941176470589</v>
          </cell>
          <cell r="G47" t="e">
            <v>#VALUE!</v>
          </cell>
          <cell r="H47">
            <v>353</v>
          </cell>
          <cell r="I47">
            <v>31</v>
          </cell>
          <cell r="J47">
            <v>1.9375</v>
          </cell>
          <cell r="K47">
            <v>11617.375905208335</v>
          </cell>
          <cell r="M47">
            <v>0.16</v>
          </cell>
          <cell r="N47">
            <v>12</v>
          </cell>
          <cell r="O47">
            <v>160</v>
          </cell>
          <cell r="P47">
            <v>1.92</v>
          </cell>
          <cell r="Q47">
            <v>817.29244505494512</v>
          </cell>
          <cell r="R47">
            <v>908.38</v>
          </cell>
          <cell r="S47">
            <v>0.89</v>
          </cell>
          <cell r="T47">
            <v>0.89</v>
          </cell>
          <cell r="AA47">
            <v>719.52779800000008</v>
          </cell>
          <cell r="AB47">
            <v>374.75406145833341</v>
          </cell>
          <cell r="AC47">
            <v>4497.0487375000012</v>
          </cell>
          <cell r="AD47">
            <v>2.1808768179175955</v>
          </cell>
          <cell r="AE47">
            <v>0.59040000000000004</v>
          </cell>
          <cell r="AF47">
            <v>0.18028846153846154</v>
          </cell>
          <cell r="AH47">
            <v>0.14400000000000002</v>
          </cell>
          <cell r="AI47">
            <v>353.125</v>
          </cell>
          <cell r="AJ47">
            <v>0.6079255812694947</v>
          </cell>
          <cell r="AK47">
            <v>0</v>
          </cell>
          <cell r="AL47">
            <v>0.20678869323447635</v>
          </cell>
          <cell r="AM47">
            <v>6.2499237597016255E-2</v>
          </cell>
          <cell r="AN47">
            <v>2.4317023250779789E-2</v>
          </cell>
          <cell r="AO47">
            <v>3.4818935235917459</v>
          </cell>
          <cell r="AP47">
            <v>1.9073864505886498</v>
          </cell>
          <cell r="AQ47">
            <v>3.6621819851302075</v>
          </cell>
          <cell r="AR47">
            <v>1.6390255963097173</v>
          </cell>
          <cell r="AS47">
            <v>6</v>
          </cell>
          <cell r="AT47">
            <v>0.7268290672817137</v>
          </cell>
          <cell r="AU47">
            <v>1.5</v>
          </cell>
          <cell r="AV47">
            <v>525</v>
          </cell>
          <cell r="AW47">
            <v>2538.8235294117649</v>
          </cell>
          <cell r="AX47">
            <v>0.20678869323447635</v>
          </cell>
          <cell r="AY47">
            <v>3150</v>
          </cell>
          <cell r="AZ47">
            <v>1.777865938169202E-2</v>
          </cell>
          <cell r="BA47">
            <v>952.04720988960764</v>
          </cell>
          <cell r="BB47">
            <v>6.2499237597016255E-2</v>
          </cell>
          <cell r="BC47">
            <v>952.04720988960764</v>
          </cell>
          <cell r="BD47">
            <v>-0.33491382967768457</v>
          </cell>
        </row>
        <row r="48">
          <cell r="A48" t="str">
            <v>NFHU9906</v>
          </cell>
          <cell r="B48" t="str">
            <v>NFHU9906</v>
          </cell>
          <cell r="C48" t="str">
            <v>My Protein - All Day Cocoa</v>
          </cell>
          <cell r="D48" t="str">
            <v>CM</v>
          </cell>
          <cell r="F48">
            <v>9788.2352941176468</v>
          </cell>
          <cell r="G48" t="e">
            <v>#VALUE!</v>
          </cell>
          <cell r="H48">
            <v>353</v>
          </cell>
          <cell r="I48">
            <v>31</v>
          </cell>
          <cell r="J48">
            <v>1.9375</v>
          </cell>
          <cell r="K48">
            <v>11610.879035</v>
          </cell>
          <cell r="M48">
            <v>0.16</v>
          </cell>
          <cell r="N48">
            <v>12</v>
          </cell>
          <cell r="O48">
            <v>160</v>
          </cell>
          <cell r="P48">
            <v>1.92</v>
          </cell>
          <cell r="Q48">
            <v>804.7319841479524</v>
          </cell>
          <cell r="R48">
            <v>907.87199999999996</v>
          </cell>
          <cell r="S48">
            <v>0.89</v>
          </cell>
          <cell r="T48">
            <v>0.89</v>
          </cell>
          <cell r="AA48">
            <v>719.12541120000003</v>
          </cell>
          <cell r="AB48">
            <v>374.54448500000001</v>
          </cell>
          <cell r="AC48">
            <v>4494.5338200000006</v>
          </cell>
          <cell r="AD48">
            <v>2.1485618301066491</v>
          </cell>
          <cell r="AE48">
            <v>0.59040000000000004</v>
          </cell>
          <cell r="AF48">
            <v>0.18028846153846154</v>
          </cell>
          <cell r="AH48">
            <v>0.14400000000000002</v>
          </cell>
          <cell r="AI48">
            <v>353.125</v>
          </cell>
          <cell r="AJ48">
            <v>0.6082657461774168</v>
          </cell>
          <cell r="AK48">
            <v>0</v>
          </cell>
          <cell r="AL48">
            <v>0.32181490384615385</v>
          </cell>
          <cell r="AM48">
            <v>9.7264438510356557E-2</v>
          </cell>
          <cell r="AN48">
            <v>2.4330629847096674E-2</v>
          </cell>
          <cell r="AO48">
            <v>3.5994846144598855</v>
          </cell>
          <cell r="AP48">
            <v>1.9686318104158058</v>
          </cell>
          <cell r="AQ48">
            <v>3.7797730759983472</v>
          </cell>
          <cell r="AR48">
            <v>1.053778450431256</v>
          </cell>
          <cell r="AS48">
            <v>6</v>
          </cell>
          <cell r="AT48">
            <v>0.82437025826145738</v>
          </cell>
          <cell r="AU48">
            <v>1.5</v>
          </cell>
          <cell r="AV48">
            <v>525</v>
          </cell>
          <cell r="AW48">
            <v>1631.3725490196077</v>
          </cell>
          <cell r="AX48">
            <v>0.32181490384615385</v>
          </cell>
          <cell r="AY48">
            <v>3150</v>
          </cell>
          <cell r="AZ48">
            <v>1.777865938169202E-2</v>
          </cell>
          <cell r="BA48">
            <v>952.04720988960764</v>
          </cell>
          <cell r="BB48">
            <v>9.7264438510356557E-2</v>
          </cell>
          <cell r="BC48">
            <v>952.04720988960764</v>
          </cell>
          <cell r="BD48">
            <v>-0.33515293402777713</v>
          </cell>
        </row>
        <row r="49">
          <cell r="A49" t="str">
            <v>FHL0001</v>
          </cell>
          <cell r="B49" t="str">
            <v>FOM0005</v>
          </cell>
          <cell r="C49" t="str">
            <v>Hills Chocolate Chip (14%) Cookie</v>
          </cell>
          <cell r="D49" t="str">
            <v>CM</v>
          </cell>
          <cell r="F49">
            <v>20356</v>
          </cell>
          <cell r="G49" t="e">
            <v>#VALUE!</v>
          </cell>
          <cell r="H49">
            <v>113</v>
          </cell>
          <cell r="I49">
            <v>31</v>
          </cell>
          <cell r="J49">
            <v>1.9375</v>
          </cell>
          <cell r="K49">
            <v>9265.7749033749988</v>
          </cell>
          <cell r="M49">
            <v>0.2</v>
          </cell>
          <cell r="N49">
            <v>12</v>
          </cell>
          <cell r="O49">
            <v>180</v>
          </cell>
          <cell r="P49">
            <v>2.4000000000000004</v>
          </cell>
          <cell r="Q49">
            <v>641</v>
          </cell>
          <cell r="R49">
            <v>905.63099999999997</v>
          </cell>
          <cell r="S49">
            <v>0.89</v>
          </cell>
          <cell r="T49">
            <v>0.89</v>
          </cell>
          <cell r="AA49">
            <v>717.35031509999999</v>
          </cell>
          <cell r="AB49">
            <v>298.89596462499998</v>
          </cell>
          <cell r="AC49">
            <v>3586.7515754999995</v>
          </cell>
          <cell r="AD49">
            <v>2.1445588962842295</v>
          </cell>
          <cell r="AE49">
            <v>0.36</v>
          </cell>
          <cell r="AF49">
            <v>0.17094017094017094</v>
          </cell>
          <cell r="AH49">
            <v>0.10799999999999998</v>
          </cell>
          <cell r="AI49">
            <v>353.125</v>
          </cell>
          <cell r="AJ49">
            <v>0.76221363821686727</v>
          </cell>
          <cell r="AK49">
            <v>0</v>
          </cell>
          <cell r="AL49">
            <v>0</v>
          </cell>
          <cell r="AM49">
            <v>2.1405999044370957E-2</v>
          </cell>
          <cell r="AN49">
            <v>3.0488545528674693E-2</v>
          </cell>
          <cell r="AO49">
            <v>2.8890598290598293</v>
          </cell>
          <cell r="AP49">
            <v>1.4836588539542799</v>
          </cell>
          <cell r="AQ49">
            <v>3.06</v>
          </cell>
          <cell r="AR49">
            <v>2.7461275786800976</v>
          </cell>
          <cell r="AS49">
            <v>2.7461275786800976</v>
          </cell>
          <cell r="AT49">
            <v>0</v>
          </cell>
          <cell r="AU49">
            <v>0</v>
          </cell>
          <cell r="AV49">
            <v>0</v>
          </cell>
          <cell r="AW49">
            <v>7412.6199226999988</v>
          </cell>
          <cell r="AX49">
            <v>0</v>
          </cell>
          <cell r="AY49">
            <v>0</v>
          </cell>
          <cell r="AZ49">
            <v>8.1370778066706846E-3</v>
          </cell>
          <cell r="BA49">
            <v>435.74051654721518</v>
          </cell>
          <cell r="BB49">
            <v>2.1405999044370957E-2</v>
          </cell>
          <cell r="BC49">
            <v>435.74051654721518</v>
          </cell>
          <cell r="BD49">
            <v>-3.6826000524005663E-2</v>
          </cell>
        </row>
        <row r="50">
          <cell r="A50" t="str">
            <v>FHL0002</v>
          </cell>
          <cell r="B50" t="str">
            <v>FHL0002</v>
          </cell>
          <cell r="C50" t="str">
            <v>Hill Biscuit Ginger Nuts 150g</v>
          </cell>
          <cell r="D50" t="str">
            <v>CM</v>
          </cell>
          <cell r="F50">
            <v>110769.23076923079</v>
          </cell>
          <cell r="G50" t="e">
            <v>#VALUE!</v>
          </cell>
          <cell r="H50">
            <v>107.14285714285714</v>
          </cell>
          <cell r="I50">
            <v>28</v>
          </cell>
          <cell r="J50">
            <v>1.75</v>
          </cell>
          <cell r="K50">
            <v>3895.334542814815</v>
          </cell>
          <cell r="M50">
            <v>0.15</v>
          </cell>
          <cell r="N50">
            <v>36</v>
          </cell>
          <cell r="O50">
            <v>88</v>
          </cell>
          <cell r="P50">
            <v>5.3999999999999995</v>
          </cell>
          <cell r="Q50">
            <v>469</v>
          </cell>
          <cell r="R50">
            <v>959.197</v>
          </cell>
          <cell r="S50">
            <v>0.88</v>
          </cell>
          <cell r="T50">
            <v>0.89</v>
          </cell>
          <cell r="AA50">
            <v>751.24309040000003</v>
          </cell>
          <cell r="AB50">
            <v>139.11909081481483</v>
          </cell>
          <cell r="AC50">
            <v>5008.2872693333338</v>
          </cell>
          <cell r="AD50">
            <v>3.3712123710202975</v>
          </cell>
          <cell r="AE50">
            <v>1.08</v>
          </cell>
          <cell r="AF50">
            <v>0.34965034965034969</v>
          </cell>
          <cell r="AH50">
            <v>0.252</v>
          </cell>
          <cell r="AI50">
            <v>353.125</v>
          </cell>
          <cell r="AJ50">
            <v>1.8130663547312558</v>
          </cell>
          <cell r="AK50">
            <v>0</v>
          </cell>
          <cell r="AL50">
            <v>0</v>
          </cell>
          <cell r="AM50">
            <v>5.0918134642083009E-2</v>
          </cell>
          <cell r="AN50">
            <v>7.2522654189250232E-2</v>
          </cell>
          <cell r="AO50">
            <v>6.5612350524300691</v>
          </cell>
          <cell r="AP50">
            <v>1.2797935929778554</v>
          </cell>
          <cell r="AQ50">
            <v>6.9108854020804191</v>
          </cell>
          <cell r="AR50">
            <v>35.545480610115852</v>
          </cell>
          <cell r="AS50">
            <v>35.545480610115852</v>
          </cell>
          <cell r="AT50">
            <v>0</v>
          </cell>
          <cell r="AU50">
            <v>0</v>
          </cell>
          <cell r="AV50">
            <v>0</v>
          </cell>
          <cell r="AW50">
            <v>3116.2676342518516</v>
          </cell>
          <cell r="AX50">
            <v>0</v>
          </cell>
          <cell r="AY50">
            <v>0</v>
          </cell>
          <cell r="AZ50">
            <v>0.10532516538763133</v>
          </cell>
          <cell r="BA50">
            <v>5640.162606507658</v>
          </cell>
          <cell r="BB50">
            <v>5.0918134642083009E-2</v>
          </cell>
          <cell r="BC50">
            <v>5640.162606507658</v>
          </cell>
          <cell r="BD50">
            <v>-7.8484462152778045E-2</v>
          </cell>
        </row>
        <row r="51">
          <cell r="A51" t="str">
            <v>NFHL9901</v>
          </cell>
          <cell r="B51" t="str">
            <v>NFHL9901</v>
          </cell>
          <cell r="C51" t="str">
            <v>John Hill Milk Choc Chunk 160g</v>
          </cell>
          <cell r="D51" t="str">
            <v>CM</v>
          </cell>
          <cell r="F51">
            <v>57931.03448275863</v>
          </cell>
          <cell r="G51" t="e">
            <v>#VALUE!</v>
          </cell>
          <cell r="H51">
            <v>353</v>
          </cell>
          <cell r="I51">
            <v>31</v>
          </cell>
          <cell r="J51">
            <v>1.9375</v>
          </cell>
          <cell r="K51">
            <v>18553.737641640626</v>
          </cell>
          <cell r="M51">
            <v>0.16</v>
          </cell>
          <cell r="N51">
            <v>8</v>
          </cell>
          <cell r="O51">
            <v>210</v>
          </cell>
          <cell r="P51">
            <v>1.28</v>
          </cell>
          <cell r="Q51">
            <v>1135</v>
          </cell>
          <cell r="R51">
            <v>967.16300000000001</v>
          </cell>
          <cell r="S51">
            <v>0.89</v>
          </cell>
          <cell r="T51">
            <v>0.89</v>
          </cell>
          <cell r="AA51">
            <v>766.08981230000006</v>
          </cell>
          <cell r="AB51">
            <v>598.50766585937504</v>
          </cell>
          <cell r="AC51">
            <v>4788.0613268750003</v>
          </cell>
          <cell r="AD51">
            <v>1.8963833961429641</v>
          </cell>
          <cell r="AE51">
            <v>0.4</v>
          </cell>
          <cell r="AF51">
            <v>0.1465201465201465</v>
          </cell>
          <cell r="AH51">
            <v>5.6000000000000001E-2</v>
          </cell>
          <cell r="AI51">
            <v>353.125</v>
          </cell>
          <cell r="AJ51">
            <v>0.38065106537614563</v>
          </cell>
          <cell r="AK51">
            <v>0</v>
          </cell>
          <cell r="AL51">
            <v>0</v>
          </cell>
          <cell r="AM51">
            <v>1.069020013961257E-2</v>
          </cell>
          <cell r="AN51">
            <v>1.5226042615045825E-2</v>
          </cell>
          <cell r="AO51">
            <v>2.7205458245773291</v>
          </cell>
          <cell r="AP51">
            <v>2.2398952899199025</v>
          </cell>
          <cell r="AQ51">
            <v>2.8670659710974755</v>
          </cell>
          <cell r="AR51">
            <v>3.9029221228680182</v>
          </cell>
          <cell r="AS51">
            <v>3.9029221228680182</v>
          </cell>
          <cell r="AT51">
            <v>0</v>
          </cell>
          <cell r="AU51">
            <v>0</v>
          </cell>
          <cell r="AV51">
            <v>0</v>
          </cell>
          <cell r="AW51">
            <v>14842.9901133125</v>
          </cell>
          <cell r="AX51">
            <v>0</v>
          </cell>
          <cell r="AY51">
            <v>0</v>
          </cell>
          <cell r="AZ51">
            <v>1.1564787169290137E-2</v>
          </cell>
          <cell r="BA51">
            <v>619.29435291548691</v>
          </cell>
          <cell r="BB51">
            <v>1.069020013961257E-2</v>
          </cell>
          <cell r="BC51">
            <v>619.29435291548691</v>
          </cell>
          <cell r="BD51">
            <v>-3.8404879696428522E-2</v>
          </cell>
        </row>
        <row r="52">
          <cell r="A52" t="str">
            <v>NFHL9902</v>
          </cell>
          <cell r="B52" t="str">
            <v>NFHL9902</v>
          </cell>
          <cell r="C52" t="str">
            <v>John Hill Chocolate Enrobed Milk Chocolate Chunk Cookie 160g</v>
          </cell>
          <cell r="D52" t="str">
            <v>CM</v>
          </cell>
          <cell r="F52">
            <v>57931.03448275863</v>
          </cell>
          <cell r="G52" t="e">
            <v>#VALUE!</v>
          </cell>
          <cell r="H52">
            <v>403</v>
          </cell>
          <cell r="I52">
            <v>31</v>
          </cell>
          <cell r="J52">
            <v>1.9375</v>
          </cell>
          <cell r="K52">
            <v>21418.684785182293</v>
          </cell>
          <cell r="M52">
            <v>0.16</v>
          </cell>
          <cell r="N52">
            <v>8</v>
          </cell>
          <cell r="O52">
            <v>210</v>
          </cell>
          <cell r="P52">
            <v>1.28</v>
          </cell>
          <cell r="Q52">
            <v>1189</v>
          </cell>
          <cell r="R52">
            <v>900.06700000000001</v>
          </cell>
          <cell r="S52">
            <v>0.89</v>
          </cell>
          <cell r="T52">
            <v>0.89</v>
          </cell>
          <cell r="U52">
            <v>0.16</v>
          </cell>
          <cell r="V52">
            <v>2.95</v>
          </cell>
          <cell r="W52">
            <v>0.93</v>
          </cell>
          <cell r="X52">
            <v>3.172043010752688</v>
          </cell>
          <cell r="Y52">
            <v>171.44133333333343</v>
          </cell>
          <cell r="Z52">
            <v>543.8192831541221</v>
          </cell>
          <cell r="AA52">
            <v>884.38440403333345</v>
          </cell>
          <cell r="AB52">
            <v>690.92531565104173</v>
          </cell>
          <cell r="AC52">
            <v>5527.4025252083338</v>
          </cell>
          <cell r="AD52">
            <v>2.5079690147426854</v>
          </cell>
          <cell r="AE52">
            <v>0.4</v>
          </cell>
          <cell r="AF52">
            <v>0.1465201465201465</v>
          </cell>
          <cell r="AH52">
            <v>5.6000000000000001E-2</v>
          </cell>
          <cell r="AI52">
            <v>353.125</v>
          </cell>
          <cell r="AJ52">
            <v>0.32973546559151584</v>
          </cell>
          <cell r="AK52">
            <v>0</v>
          </cell>
          <cell r="AL52">
            <v>0</v>
          </cell>
          <cell r="AM52">
            <v>9.2602870211815139E-3</v>
          </cell>
          <cell r="AN52">
            <v>1.3189418623660633E-2</v>
          </cell>
          <cell r="AO52">
            <v>3.2747668146893187</v>
          </cell>
          <cell r="AP52">
            <v>2.6728804384448948</v>
          </cell>
          <cell r="AQ52">
            <v>3.4212869612094652</v>
          </cell>
          <cell r="AR52">
            <v>3.3808701995346149</v>
          </cell>
          <cell r="AS52">
            <v>3.3808701995346149</v>
          </cell>
          <cell r="AT52">
            <v>0</v>
          </cell>
          <cell r="AU52">
            <v>0</v>
          </cell>
          <cell r="AV52">
            <v>0</v>
          </cell>
          <cell r="AW52">
            <v>17134.947828145836</v>
          </cell>
          <cell r="AX52">
            <v>0</v>
          </cell>
          <cell r="AY52">
            <v>0</v>
          </cell>
          <cell r="AZ52">
            <v>1.0017889948539841E-2</v>
          </cell>
          <cell r="BA52">
            <v>536.45800674430848</v>
          </cell>
          <cell r="BB52">
            <v>9.2602870211815139E-3</v>
          </cell>
          <cell r="BC52">
            <v>536.45800674430848</v>
          </cell>
          <cell r="BD52">
            <v>-4.1387371289682784E-2</v>
          </cell>
        </row>
        <row r="53">
          <cell r="A53" t="str">
            <v>NFHL9903</v>
          </cell>
          <cell r="B53" t="str">
            <v>NFHL9903</v>
          </cell>
          <cell r="C53" t="str">
            <v>John Hill Stem Ginger &amp; Chocolate Chunk Cookie 160g</v>
          </cell>
          <cell r="D53" t="str">
            <v>CM</v>
          </cell>
          <cell r="F53">
            <v>57931.03448275863</v>
          </cell>
          <cell r="G53" t="e">
            <v>#VALUE!</v>
          </cell>
          <cell r="H53">
            <v>353</v>
          </cell>
          <cell r="I53">
            <v>31</v>
          </cell>
          <cell r="J53">
            <v>1.9375</v>
          </cell>
          <cell r="K53">
            <v>17361.779373359375</v>
          </cell>
          <cell r="M53">
            <v>0.16</v>
          </cell>
          <cell r="N53">
            <v>8</v>
          </cell>
          <cell r="O53">
            <v>210</v>
          </cell>
          <cell r="P53">
            <v>1.28</v>
          </cell>
          <cell r="Q53">
            <v>1389</v>
          </cell>
          <cell r="R53">
            <v>905.029</v>
          </cell>
          <cell r="S53">
            <v>0.89</v>
          </cell>
          <cell r="T53">
            <v>0.89</v>
          </cell>
          <cell r="AA53">
            <v>716.87347090000003</v>
          </cell>
          <cell r="AB53">
            <v>560.05739914062497</v>
          </cell>
          <cell r="AC53">
            <v>4480.4591931249997</v>
          </cell>
          <cell r="AD53">
            <v>2.4801029361121532</v>
          </cell>
          <cell r="AE53">
            <v>0.4</v>
          </cell>
          <cell r="AF53">
            <v>0.1465201465201465</v>
          </cell>
          <cell r="AH53">
            <v>5.6000000000000001E-2</v>
          </cell>
          <cell r="AI53">
            <v>353.125</v>
          </cell>
          <cell r="AJ53">
            <v>0.40678434209554515</v>
          </cell>
          <cell r="AK53">
            <v>0</v>
          </cell>
          <cell r="AL53">
            <v>0</v>
          </cell>
          <cell r="AM53">
            <v>1.1424126782266768E-2</v>
          </cell>
          <cell r="AN53">
            <v>1.6271373683821807E-2</v>
          </cell>
          <cell r="AO53">
            <v>3.2690001733821537</v>
          </cell>
          <cell r="AP53">
            <v>2.6683752499236717</v>
          </cell>
          <cell r="AQ53">
            <v>3.4155203199023001</v>
          </cell>
          <cell r="AR53">
            <v>4.1708739378731519</v>
          </cell>
          <cell r="AS53">
            <v>4.1708739378731519</v>
          </cell>
          <cell r="AT53">
            <v>0</v>
          </cell>
          <cell r="AU53">
            <v>0</v>
          </cell>
          <cell r="AV53">
            <v>0</v>
          </cell>
          <cell r="AW53">
            <v>13889.423498687502</v>
          </cell>
          <cell r="AX53">
            <v>0</v>
          </cell>
          <cell r="AY53">
            <v>0</v>
          </cell>
          <cell r="AZ53">
            <v>1.2358757844237208E-2</v>
          </cell>
          <cell r="BA53">
            <v>661.81148255890253</v>
          </cell>
          <cell r="BB53">
            <v>1.1424126782266768E-2</v>
          </cell>
          <cell r="BC53">
            <v>661.81148255890253</v>
          </cell>
          <cell r="BD53">
            <v>-0.1015826052916672</v>
          </cell>
        </row>
        <row r="54">
          <cell r="A54" t="str">
            <v>NFHL9904</v>
          </cell>
          <cell r="B54" t="str">
            <v>NFHL9904</v>
          </cell>
          <cell r="C54" t="str">
            <v>John Hill Granola Crunchy with Nuts &amp; Seeds 160g</v>
          </cell>
          <cell r="D54" t="str">
            <v>CM</v>
          </cell>
          <cell r="F54">
            <v>57931.03448275863</v>
          </cell>
          <cell r="G54" t="e">
            <v>#VALUE!</v>
          </cell>
          <cell r="H54">
            <v>353</v>
          </cell>
          <cell r="I54">
            <v>31</v>
          </cell>
          <cell r="J54">
            <v>1.9375</v>
          </cell>
          <cell r="K54">
            <v>15757.190894531246</v>
          </cell>
          <cell r="M54">
            <v>0.16</v>
          </cell>
          <cell r="N54">
            <v>8</v>
          </cell>
          <cell r="O54">
            <v>210</v>
          </cell>
          <cell r="P54">
            <v>1.28</v>
          </cell>
          <cell r="Q54">
            <v>1118</v>
          </cell>
          <cell r="R54">
            <v>879.81</v>
          </cell>
          <cell r="S54">
            <v>0.87</v>
          </cell>
          <cell r="T54">
            <v>0.85</v>
          </cell>
          <cell r="AA54">
            <v>650.61949499999992</v>
          </cell>
          <cell r="AB54">
            <v>508.29648046874991</v>
          </cell>
          <cell r="AC54">
            <v>4066.3718437499992</v>
          </cell>
          <cell r="AD54">
            <v>2.1995037206808572</v>
          </cell>
          <cell r="AE54">
            <v>0.4</v>
          </cell>
          <cell r="AF54">
            <v>0.1465201465201465</v>
          </cell>
          <cell r="AH54">
            <v>5.6000000000000001E-2</v>
          </cell>
          <cell r="AI54">
            <v>353.125</v>
          </cell>
          <cell r="AJ54">
            <v>0.44820806241873601</v>
          </cell>
          <cell r="AK54">
            <v>0</v>
          </cell>
          <cell r="AL54">
            <v>0</v>
          </cell>
          <cell r="AM54">
            <v>1.2587470067132293E-2</v>
          </cell>
          <cell r="AN54">
            <v>1.792832249674944E-2</v>
          </cell>
          <cell r="AO54">
            <v>3.040647178010738</v>
          </cell>
          <cell r="AP54">
            <v>2.4899744722897537</v>
          </cell>
          <cell r="AQ54">
            <v>3.1871673245308845</v>
          </cell>
          <cell r="AR54">
            <v>4.5956029591911909</v>
          </cell>
          <cell r="AS54">
            <v>4.5956029591911909</v>
          </cell>
          <cell r="AT54">
            <v>0</v>
          </cell>
          <cell r="AU54">
            <v>0</v>
          </cell>
          <cell r="AV54">
            <v>0</v>
          </cell>
          <cell r="AW54">
            <v>12605.752715624998</v>
          </cell>
          <cell r="AX54">
            <v>0</v>
          </cell>
          <cell r="AY54">
            <v>0</v>
          </cell>
          <cell r="AZ54">
            <v>1.3617276610826012E-2</v>
          </cell>
          <cell r="BA54">
            <v>729.20516250973299</v>
          </cell>
          <cell r="BB54">
            <v>1.2587470067132293E-2</v>
          </cell>
          <cell r="BC54">
            <v>729.20516250973299</v>
          </cell>
          <cell r="BD54">
            <v>-9.3580397652777633E-2</v>
          </cell>
        </row>
        <row r="55">
          <cell r="A55" t="str">
            <v>FJA0001</v>
          </cell>
          <cell r="B55" t="str">
            <v>FJA0001</v>
          </cell>
          <cell r="C55" t="str">
            <v>Jacobs Goldgrain 300g</v>
          </cell>
          <cell r="D55" t="str">
            <v>CM</v>
          </cell>
          <cell r="F55">
            <v>12212.962962962964</v>
          </cell>
          <cell r="G55" t="e">
            <v>#VALUE!</v>
          </cell>
          <cell r="H55">
            <v>94</v>
          </cell>
          <cell r="I55">
            <v>31</v>
          </cell>
          <cell r="J55">
            <v>1.9375</v>
          </cell>
          <cell r="K55">
            <v>2976.2722079861114</v>
          </cell>
          <cell r="M55">
            <v>0.3</v>
          </cell>
          <cell r="N55">
            <v>24</v>
          </cell>
          <cell r="O55">
            <v>60</v>
          </cell>
          <cell r="P55">
            <v>7.1999999999999993</v>
          </cell>
          <cell r="Q55">
            <v>436</v>
          </cell>
          <cell r="R55">
            <v>913.76499999999999</v>
          </cell>
          <cell r="S55">
            <v>0.89</v>
          </cell>
          <cell r="T55">
            <v>0.85</v>
          </cell>
          <cell r="AA55">
            <v>691.26322249999998</v>
          </cell>
          <cell r="AB55">
            <v>96.008780902777787</v>
          </cell>
          <cell r="AC55">
            <v>2304.2107416666668</v>
          </cell>
          <cell r="AD55">
            <v>4.5412512886869223</v>
          </cell>
          <cell r="AE55">
            <v>0.72</v>
          </cell>
          <cell r="AF55">
            <v>0.16025641025641027</v>
          </cell>
          <cell r="AH55">
            <v>0.33600000000000002</v>
          </cell>
          <cell r="AI55">
            <v>353.125</v>
          </cell>
          <cell r="AJ55">
            <v>2.3729348347404104</v>
          </cell>
          <cell r="AK55">
            <v>0</v>
          </cell>
          <cell r="AL55">
            <v>0.2579226686884003</v>
          </cell>
          <cell r="AM55">
            <v>7.7953827648277199E-2</v>
          </cell>
          <cell r="AN55">
            <v>9.4917393389616425E-2</v>
          </cell>
          <cell r="AO55">
            <v>8.3083380980664963</v>
          </cell>
          <cell r="AP55">
            <v>1.1761936817115151</v>
          </cell>
          <cell r="AQ55">
            <v>8.4685945083229068</v>
          </cell>
          <cell r="AR55">
            <v>5.129303584107836</v>
          </cell>
          <cell r="AS55">
            <v>6</v>
          </cell>
          <cell r="AT55">
            <v>0.1451160693153607</v>
          </cell>
          <cell r="AU55">
            <v>1.5</v>
          </cell>
          <cell r="AV55">
            <v>525</v>
          </cell>
          <cell r="AW55">
            <v>2035.493827160494</v>
          </cell>
          <cell r="AX55">
            <v>0.2579226686884003</v>
          </cell>
          <cell r="AY55">
            <v>3150</v>
          </cell>
          <cell r="AZ55">
            <v>1.777865938169202E-2</v>
          </cell>
          <cell r="BA55">
            <v>952.04720988960764</v>
          </cell>
          <cell r="BB55">
            <v>7.7953827648277199E-2</v>
          </cell>
          <cell r="BC55">
            <v>952.04720988960764</v>
          </cell>
          <cell r="BD55">
            <v>-9.2641915087187346E-2</v>
          </cell>
        </row>
        <row r="56">
          <cell r="A56" t="str">
            <v>FJA0002</v>
          </cell>
          <cell r="B56" t="str">
            <v>FJA0002</v>
          </cell>
          <cell r="C56" t="str">
            <v>Jacob's Ginger Nut 200g</v>
          </cell>
          <cell r="D56" t="str">
            <v>CM</v>
          </cell>
          <cell r="F56">
            <v>8598.9583333333303</v>
          </cell>
          <cell r="G56" t="e">
            <v>#VALUE!</v>
          </cell>
          <cell r="H56">
            <v>141</v>
          </cell>
          <cell r="I56">
            <v>31</v>
          </cell>
          <cell r="J56">
            <v>1.9375</v>
          </cell>
          <cell r="K56">
            <v>4614.7576603333328</v>
          </cell>
          <cell r="M56">
            <v>0.2</v>
          </cell>
          <cell r="N56">
            <v>24</v>
          </cell>
          <cell r="O56">
            <v>90</v>
          </cell>
          <cell r="P56">
            <v>4.8000000000000007</v>
          </cell>
          <cell r="Q56">
            <v>467</v>
          </cell>
          <cell r="R56">
            <v>912.33799999999997</v>
          </cell>
          <cell r="S56">
            <v>0.88</v>
          </cell>
          <cell r="T56">
            <v>0.89</v>
          </cell>
          <cell r="AA56">
            <v>714.54312160000006</v>
          </cell>
          <cell r="AB56">
            <v>148.86315033333332</v>
          </cell>
          <cell r="AC56">
            <v>3572.7156079999995</v>
          </cell>
          <cell r="AD56">
            <v>3.137109479104109</v>
          </cell>
          <cell r="AE56">
            <v>0.72</v>
          </cell>
          <cell r="AF56">
            <v>0.10683760683760683</v>
          </cell>
          <cell r="AH56">
            <v>0.16800000000000001</v>
          </cell>
          <cell r="AI56">
            <v>353.125</v>
          </cell>
          <cell r="AJ56">
            <v>1.5304162254730105</v>
          </cell>
          <cell r="AK56">
            <v>0</v>
          </cell>
          <cell r="AL56">
            <v>0</v>
          </cell>
          <cell r="AM56">
            <v>4.2733696998869586E-2</v>
          </cell>
          <cell r="AN56">
            <v>6.1216649018920419E-2</v>
          </cell>
          <cell r="AO56">
            <v>5.56</v>
          </cell>
          <cell r="AP56">
            <v>1.157366243295169</v>
          </cell>
          <cell r="AQ56">
            <v>5.6668376068376061</v>
          </cell>
          <cell r="AR56">
            <v>2.3292009478760503</v>
          </cell>
          <cell r="AS56">
            <v>2.3292009478760503</v>
          </cell>
          <cell r="AT56">
            <v>0</v>
          </cell>
          <cell r="AU56">
            <v>0</v>
          </cell>
          <cell r="AV56">
            <v>0</v>
          </cell>
          <cell r="AW56">
            <v>3691.8061282666663</v>
          </cell>
          <cell r="AX56">
            <v>0</v>
          </cell>
          <cell r="AY56">
            <v>0</v>
          </cell>
          <cell r="AZ56">
            <v>6.9016783806337472E-3</v>
          </cell>
          <cell r="BA56">
            <v>369.58487728293716</v>
          </cell>
          <cell r="BB56">
            <v>4.2980191664642009E-2</v>
          </cell>
          <cell r="BC56">
            <v>369.58487728293716</v>
          </cell>
          <cell r="BD56">
            <v>-0.10411808277811388</v>
          </cell>
        </row>
        <row r="57">
          <cell r="A57" t="str">
            <v>FJA0003</v>
          </cell>
          <cell r="B57" t="str">
            <v>FJA0003</v>
          </cell>
          <cell r="C57" t="str">
            <v>Jacob's Lincoln 200g</v>
          </cell>
          <cell r="D57" t="str">
            <v>CM</v>
          </cell>
          <cell r="F57">
            <v>30443.981481481467</v>
          </cell>
          <cell r="G57" t="e">
            <v>#VALUE!</v>
          </cell>
          <cell r="H57">
            <v>141</v>
          </cell>
          <cell r="I57">
            <v>31</v>
          </cell>
          <cell r="J57">
            <v>1.9375</v>
          </cell>
          <cell r="K57">
            <v>4763.0732233333329</v>
          </cell>
          <cell r="M57">
            <v>0.2</v>
          </cell>
          <cell r="N57">
            <v>24</v>
          </cell>
          <cell r="O57">
            <v>90</v>
          </cell>
          <cell r="P57">
            <v>4.8000000000000007</v>
          </cell>
          <cell r="Q57">
            <v>430</v>
          </cell>
          <cell r="R57">
            <v>941.66</v>
          </cell>
          <cell r="S57">
            <v>0.88</v>
          </cell>
          <cell r="T57">
            <v>0.89</v>
          </cell>
          <cell r="AA57">
            <v>737.50811199999998</v>
          </cell>
          <cell r="AB57">
            <v>153.64752333333331</v>
          </cell>
          <cell r="AC57">
            <v>3687.5405599999995</v>
          </cell>
          <cell r="AD57">
            <v>2.7986132849478409</v>
          </cell>
          <cell r="AE57">
            <v>0.72</v>
          </cell>
          <cell r="AF57">
            <v>0.10683760683760683</v>
          </cell>
          <cell r="AH57">
            <v>0.18</v>
          </cell>
          <cell r="AI57">
            <v>353.125</v>
          </cell>
          <cell r="AJ57">
            <v>1.4827611646619749</v>
          </cell>
          <cell r="AK57">
            <v>0</v>
          </cell>
          <cell r="AL57">
            <v>0</v>
          </cell>
          <cell r="AM57">
            <v>4.1641847485224134E-2</v>
          </cell>
          <cell r="AN57">
            <v>5.9310446586479E-2</v>
          </cell>
          <cell r="AO57">
            <v>5.2051701196452216</v>
          </cell>
          <cell r="AP57">
            <v>1.1066682763505891</v>
          </cell>
          <cell r="AQ57">
            <v>5.312007726482828</v>
          </cell>
          <cell r="AR57">
            <v>7.9895846793679741</v>
          </cell>
          <cell r="AS57">
            <v>7.9895846793679741</v>
          </cell>
          <cell r="AT57">
            <v>0</v>
          </cell>
          <cell r="AU57">
            <v>0</v>
          </cell>
          <cell r="AV57">
            <v>0</v>
          </cell>
          <cell r="AW57">
            <v>3810.4585786666667</v>
          </cell>
          <cell r="AX57">
            <v>0</v>
          </cell>
          <cell r="AY57">
            <v>0</v>
          </cell>
          <cell r="AZ57">
            <v>2.3674017435944709E-2</v>
          </cell>
          <cell r="BA57">
            <v>1267.7436336948392</v>
          </cell>
          <cell r="BB57">
            <v>4.1641847485224134E-2</v>
          </cell>
          <cell r="BC57">
            <v>1267.7436336948392</v>
          </cell>
          <cell r="BD57">
            <v>-7.7156624036253688E-2</v>
          </cell>
        </row>
        <row r="58">
          <cell r="A58" t="str">
            <v>FJA0004</v>
          </cell>
          <cell r="B58" t="str">
            <v>FJA0004</v>
          </cell>
          <cell r="C58" t="str">
            <v>Jacobs Polo 200g</v>
          </cell>
          <cell r="D58" t="str">
            <v>CM</v>
          </cell>
          <cell r="F58">
            <v>33028.003875968992</v>
          </cell>
          <cell r="G58" t="e">
            <v>#VALUE!</v>
          </cell>
          <cell r="H58">
            <v>141</v>
          </cell>
          <cell r="I58">
            <v>31</v>
          </cell>
          <cell r="J58">
            <v>1.9375</v>
          </cell>
          <cell r="K58">
            <v>4765.3645728333331</v>
          </cell>
          <cell r="M58">
            <v>0.2</v>
          </cell>
          <cell r="N58">
            <v>24</v>
          </cell>
          <cell r="O58">
            <v>90</v>
          </cell>
          <cell r="P58">
            <v>4.8000000000000007</v>
          </cell>
          <cell r="Q58">
            <v>814</v>
          </cell>
          <cell r="R58">
            <v>942.11300000000006</v>
          </cell>
          <cell r="S58">
            <v>0.88</v>
          </cell>
          <cell r="T58">
            <v>0.89</v>
          </cell>
          <cell r="AA58">
            <v>737.8629016000001</v>
          </cell>
          <cell r="AB58">
            <v>153.72143783333334</v>
          </cell>
          <cell r="AC58">
            <v>3689.3145080000004</v>
          </cell>
          <cell r="AD58">
            <v>5.2952926506096611</v>
          </cell>
          <cell r="AE58">
            <v>0.72</v>
          </cell>
          <cell r="AF58">
            <v>0.10683760683760683</v>
          </cell>
          <cell r="AH58">
            <v>0.18</v>
          </cell>
          <cell r="AI58">
            <v>353.125</v>
          </cell>
          <cell r="AJ58">
            <v>1.4820482026206996</v>
          </cell>
          <cell r="AK58">
            <v>0</v>
          </cell>
          <cell r="AL58">
            <v>0</v>
          </cell>
          <cell r="AM58">
            <v>4.1621824667461511E-2</v>
          </cell>
          <cell r="AN58">
            <v>5.9281928104827984E-2</v>
          </cell>
          <cell r="AO58">
            <v>7.7187011212728986</v>
          </cell>
          <cell r="AP58">
            <v>1.6303205683563551</v>
          </cell>
          <cell r="AQ58">
            <v>7.8255387281105051</v>
          </cell>
          <cell r="AR58">
            <v>8.663556421332629</v>
          </cell>
          <cell r="AS58">
            <v>8.663556421332629</v>
          </cell>
          <cell r="AT58">
            <v>0</v>
          </cell>
          <cell r="AU58">
            <v>0</v>
          </cell>
          <cell r="AV58">
            <v>0</v>
          </cell>
          <cell r="AW58">
            <v>3812.2916582666662</v>
          </cell>
          <cell r="AX58">
            <v>0</v>
          </cell>
          <cell r="AY58">
            <v>0</v>
          </cell>
          <cell r="AZ58">
            <v>2.5671069774823915E-2</v>
          </cell>
          <cell r="BA58">
            <v>1374.6857864418207</v>
          </cell>
          <cell r="BB58">
            <v>4.1621824667461511E-2</v>
          </cell>
          <cell r="BC58">
            <v>1374.6857864418207</v>
          </cell>
          <cell r="BD58">
            <v>-5.9543484729797161E-2</v>
          </cell>
        </row>
        <row r="59">
          <cell r="A59" t="str">
            <v>FJA0005</v>
          </cell>
          <cell r="B59" t="str">
            <v>FJA0004</v>
          </cell>
          <cell r="C59" t="str">
            <v>Jacobs Polo (PMP) 200g €1.49</v>
          </cell>
          <cell r="D59" t="str">
            <v>CM</v>
          </cell>
          <cell r="F59">
            <v>0</v>
          </cell>
          <cell r="G59" t="e">
            <v>#VALUE!</v>
          </cell>
          <cell r="H59">
            <v>141</v>
          </cell>
          <cell r="I59">
            <v>31</v>
          </cell>
          <cell r="J59">
            <v>1.9375</v>
          </cell>
          <cell r="K59">
            <v>4765.3645728333331</v>
          </cell>
          <cell r="M59">
            <v>0.2</v>
          </cell>
          <cell r="N59">
            <v>24</v>
          </cell>
          <cell r="O59">
            <v>90</v>
          </cell>
          <cell r="P59">
            <v>4.8000000000000007</v>
          </cell>
          <cell r="Q59">
            <v>814</v>
          </cell>
          <cell r="R59">
            <v>942.11300000000006</v>
          </cell>
          <cell r="S59">
            <v>0.88</v>
          </cell>
          <cell r="T59">
            <v>0.89</v>
          </cell>
          <cell r="AA59">
            <v>737.8629016000001</v>
          </cell>
          <cell r="AB59">
            <v>153.72143783333334</v>
          </cell>
          <cell r="AC59">
            <v>3689.3145080000004</v>
          </cell>
          <cell r="AD59">
            <v>5.2952926506096611</v>
          </cell>
          <cell r="AE59">
            <v>0.72</v>
          </cell>
          <cell r="AF59">
            <v>0.10683760683760683</v>
          </cell>
          <cell r="AH59">
            <v>0.18</v>
          </cell>
          <cell r="AI59">
            <v>353.125</v>
          </cell>
          <cell r="AJ59">
            <v>1.4820482026206996</v>
          </cell>
          <cell r="AK59">
            <v>0</v>
          </cell>
          <cell r="AL59">
            <v>0</v>
          </cell>
          <cell r="AM59">
            <v>0</v>
          </cell>
          <cell r="AN59">
            <v>5.9281928104827984E-2</v>
          </cell>
          <cell r="AO59">
            <v>7.7366227813352371</v>
          </cell>
          <cell r="AP59">
            <v>1.6340542475360089</v>
          </cell>
          <cell r="AQ59">
            <v>7.8434603881728435</v>
          </cell>
          <cell r="AR59">
            <v>0</v>
          </cell>
          <cell r="AS59">
            <v>0</v>
          </cell>
          <cell r="AT59">
            <v>0</v>
          </cell>
          <cell r="AU59">
            <v>0</v>
          </cell>
          <cell r="AV59">
            <v>0</v>
          </cell>
          <cell r="AW59">
            <v>0</v>
          </cell>
          <cell r="AX59">
            <v>0</v>
          </cell>
          <cell r="AY59">
            <v>0</v>
          </cell>
          <cell r="AZ59">
            <v>0</v>
          </cell>
          <cell r="BA59">
            <v>0</v>
          </cell>
          <cell r="BB59">
            <v>0</v>
          </cell>
          <cell r="BC59">
            <v>0</v>
          </cell>
          <cell r="BD59">
            <v>0</v>
          </cell>
        </row>
        <row r="60">
          <cell r="A60" t="str">
            <v>FJA0006</v>
          </cell>
          <cell r="B60" t="str">
            <v>FJA0003</v>
          </cell>
          <cell r="C60" t="str">
            <v>Jacob's Lincoln (PMP €1.49) 200g</v>
          </cell>
          <cell r="D60" t="str">
            <v>CM</v>
          </cell>
          <cell r="F60">
            <v>0</v>
          </cell>
          <cell r="G60" t="e">
            <v>#VALUE!</v>
          </cell>
          <cell r="H60">
            <v>142</v>
          </cell>
          <cell r="I60">
            <v>31</v>
          </cell>
          <cell r="J60">
            <v>1.9375</v>
          </cell>
          <cell r="K60">
            <v>4763.0732233333329</v>
          </cell>
          <cell r="M60">
            <v>0.2</v>
          </cell>
          <cell r="N60">
            <v>24</v>
          </cell>
          <cell r="O60">
            <v>90</v>
          </cell>
          <cell r="P60">
            <v>4.8000000000000007</v>
          </cell>
          <cell r="Q60">
            <v>430</v>
          </cell>
          <cell r="R60">
            <v>941.66</v>
          </cell>
          <cell r="S60">
            <v>0.88</v>
          </cell>
          <cell r="T60">
            <v>0.89</v>
          </cell>
          <cell r="AA60">
            <v>737.50811199999998</v>
          </cell>
          <cell r="AB60">
            <v>153.64752333333331</v>
          </cell>
          <cell r="AC60">
            <v>3687.5405599999995</v>
          </cell>
          <cell r="AD60">
            <v>2.7986132849478409</v>
          </cell>
          <cell r="AE60">
            <v>0.72</v>
          </cell>
          <cell r="AF60">
            <v>0.10683760683760683</v>
          </cell>
          <cell r="AH60">
            <v>0.18</v>
          </cell>
          <cell r="AI60">
            <v>353.125</v>
          </cell>
          <cell r="AJ60">
            <v>1.4827611646619749</v>
          </cell>
          <cell r="AK60">
            <v>0</v>
          </cell>
          <cell r="AL60">
            <v>0</v>
          </cell>
          <cell r="AM60">
            <v>0</v>
          </cell>
          <cell r="AN60">
            <v>5.9310446586479E-2</v>
          </cell>
          <cell r="AO60">
            <v>5.2406848961962655</v>
          </cell>
          <cell r="AP60">
            <v>1.1140671881320565</v>
          </cell>
          <cell r="AQ60">
            <v>5.347522503033872</v>
          </cell>
          <cell r="AR60">
            <v>0</v>
          </cell>
          <cell r="AS60">
            <v>0</v>
          </cell>
          <cell r="AT60">
            <v>0</v>
          </cell>
          <cell r="AU60">
            <v>0</v>
          </cell>
          <cell r="AV60">
            <v>0</v>
          </cell>
          <cell r="AW60">
            <v>0</v>
          </cell>
          <cell r="AX60">
            <v>0</v>
          </cell>
          <cell r="AY60">
            <v>0</v>
          </cell>
          <cell r="AZ60">
            <v>0</v>
          </cell>
          <cell r="BA60">
            <v>0</v>
          </cell>
          <cell r="BB60">
            <v>0</v>
          </cell>
          <cell r="BC60">
            <v>0</v>
          </cell>
          <cell r="BD60">
            <v>0</v>
          </cell>
        </row>
        <row r="61">
          <cell r="A61" t="str">
            <v>NFJA9901</v>
          </cell>
          <cell r="B61" t="str">
            <v>NFJA9901</v>
          </cell>
          <cell r="C61" t="str">
            <v>Jacobs HC Polo</v>
          </cell>
          <cell r="D61" t="str">
            <v>CM</v>
          </cell>
          <cell r="F61">
            <v>8743.7041564987121</v>
          </cell>
          <cell r="G61" t="e">
            <v>#VALUE!</v>
          </cell>
          <cell r="H61">
            <v>183</v>
          </cell>
          <cell r="I61">
            <v>31</v>
          </cell>
          <cell r="J61">
            <v>1.9375</v>
          </cell>
          <cell r="K61">
            <v>8797.0785547521391</v>
          </cell>
          <cell r="M61">
            <v>0.3</v>
          </cell>
          <cell r="N61">
            <v>12</v>
          </cell>
          <cell r="O61">
            <v>105</v>
          </cell>
          <cell r="P61">
            <v>3.5999999999999996</v>
          </cell>
          <cell r="Q61">
            <v>818</v>
          </cell>
          <cell r="R61">
            <v>959.01900000000001</v>
          </cell>
          <cell r="S61">
            <v>0.88</v>
          </cell>
          <cell r="T61">
            <v>0.89</v>
          </cell>
          <cell r="U61">
            <v>0.22</v>
          </cell>
          <cell r="V61">
            <v>2.95</v>
          </cell>
          <cell r="W61">
            <v>0.93</v>
          </cell>
          <cell r="X61">
            <v>3.172043010752688</v>
          </cell>
          <cell r="Y61">
            <v>270.49253846153852</v>
          </cell>
          <cell r="Z61">
            <v>858.01396608767584</v>
          </cell>
          <cell r="AA61">
            <v>1021.5962192615385</v>
          </cell>
          <cell r="AB61">
            <v>283.77672757264963</v>
          </cell>
          <cell r="AC61">
            <v>3405.3207308717956</v>
          </cell>
          <cell r="AD61">
            <v>5.9061008294226651</v>
          </cell>
          <cell r="AE61">
            <v>0.48</v>
          </cell>
          <cell r="AF61">
            <v>9.1575091575091569E-2</v>
          </cell>
          <cell r="AH61">
            <v>0.14400000000000002</v>
          </cell>
          <cell r="AI61">
            <v>353.125</v>
          </cell>
          <cell r="AJ61">
            <v>0.80282334141314116</v>
          </cell>
          <cell r="AK61">
            <v>0</v>
          </cell>
          <cell r="AL61">
            <v>0.24017281033452922</v>
          </cell>
          <cell r="AM61">
            <v>7.2589159990582366E-2</v>
          </cell>
          <cell r="AN61">
            <v>3.211293365652565E-2</v>
          </cell>
          <cell r="AO61">
            <v>7.6341922851320998</v>
          </cell>
          <cell r="AP61">
            <v>2.1460464935297754</v>
          </cell>
          <cell r="AQ61">
            <v>7.725767376707191</v>
          </cell>
          <cell r="AR61">
            <v>1.2424158915483658</v>
          </cell>
          <cell r="AS61">
            <v>4</v>
          </cell>
          <cell r="AT61">
            <v>0.68939602711290848</v>
          </cell>
          <cell r="AU61">
            <v>1.5</v>
          </cell>
          <cell r="AV61">
            <v>525</v>
          </cell>
          <cell r="AW61">
            <v>2185.926039124678</v>
          </cell>
          <cell r="AX61">
            <v>0.24017281033452922</v>
          </cell>
          <cell r="AY61">
            <v>2100</v>
          </cell>
          <cell r="AZ61">
            <v>1.1852439587794679E-2</v>
          </cell>
          <cell r="BA61">
            <v>634.69813992640502</v>
          </cell>
          <cell r="BB61">
            <v>7.2589159990582366E-2</v>
          </cell>
          <cell r="BC61">
            <v>634.69813992640502</v>
          </cell>
          <cell r="BD61">
            <v>-4.3606789685346502E-2</v>
          </cell>
        </row>
        <row r="62">
          <cell r="A62" t="str">
            <v>NFJA9902</v>
          </cell>
          <cell r="B62" t="str">
            <v>NFJA9902</v>
          </cell>
          <cell r="C62" t="str">
            <v>Jacobs HC Goldgrain</v>
          </cell>
          <cell r="D62" t="str">
            <v>CM</v>
          </cell>
          <cell r="F62">
            <v>12111.967341479321</v>
          </cell>
          <cell r="G62" t="e">
            <v>#VALUE!</v>
          </cell>
          <cell r="H62">
            <v>183</v>
          </cell>
          <cell r="I62">
            <v>31</v>
          </cell>
          <cell r="J62">
            <v>1.9375</v>
          </cell>
          <cell r="K62">
            <v>8524.0357187134505</v>
          </cell>
          <cell r="M62">
            <v>0.3</v>
          </cell>
          <cell r="N62">
            <v>12</v>
          </cell>
          <cell r="O62">
            <v>105</v>
          </cell>
          <cell r="P62">
            <v>3.5999999999999996</v>
          </cell>
          <cell r="Q62">
            <v>443</v>
          </cell>
          <cell r="R62">
            <v>930.53</v>
          </cell>
          <cell r="S62">
            <v>0.88</v>
          </cell>
          <cell r="T62">
            <v>0.85</v>
          </cell>
          <cell r="U62">
            <v>0.24</v>
          </cell>
          <cell r="V62">
            <v>2.95</v>
          </cell>
          <cell r="W62">
            <v>0.93</v>
          </cell>
          <cell r="X62">
            <v>3.172043010752688</v>
          </cell>
          <cell r="Y62">
            <v>293.85157894736835</v>
          </cell>
          <cell r="Z62">
            <v>932.10984719864155</v>
          </cell>
          <cell r="AA62">
            <v>989.88801894736832</v>
          </cell>
          <cell r="AB62">
            <v>274.9688941520468</v>
          </cell>
          <cell r="AC62">
            <v>3299.6267298245616</v>
          </cell>
          <cell r="AD62">
            <v>5.0009651143967604</v>
          </cell>
          <cell r="AE62">
            <v>0.48</v>
          </cell>
          <cell r="AF62">
            <v>9.1575091575091569E-2</v>
          </cell>
          <cell r="AH62">
            <v>0.14400000000000002</v>
          </cell>
          <cell r="AI62">
            <v>353.125</v>
          </cell>
          <cell r="AJ62">
            <v>0.8285394657011077</v>
          </cell>
          <cell r="AK62">
            <v>0</v>
          </cell>
          <cell r="AL62">
            <v>0.17338223764922339</v>
          </cell>
          <cell r="AM62">
            <v>5.2402563682019045E-2</v>
          </cell>
          <cell r="AN62">
            <v>3.3141578628044309E-2</v>
          </cell>
          <cell r="AO62">
            <v>6.6455834797972093</v>
          </cell>
          <cell r="AP62">
            <v>1.8714329364923059</v>
          </cell>
          <cell r="AQ62">
            <v>6.7371585713723006</v>
          </cell>
          <cell r="AR62">
            <v>1.7761491946369103</v>
          </cell>
          <cell r="AS62">
            <v>4</v>
          </cell>
          <cell r="AT62">
            <v>0.55596270134077241</v>
          </cell>
          <cell r="AU62">
            <v>1.5</v>
          </cell>
          <cell r="AV62">
            <v>525</v>
          </cell>
          <cell r="AW62">
            <v>3027.9918353698304</v>
          </cell>
          <cell r="AX62">
            <v>0.17338223764922339</v>
          </cell>
          <cell r="AY62">
            <v>2100</v>
          </cell>
          <cell r="AZ62">
            <v>1.1852439587794679E-2</v>
          </cell>
          <cell r="BA62">
            <v>634.69813992640502</v>
          </cell>
          <cell r="BB62">
            <v>5.2402563682019045E-2</v>
          </cell>
          <cell r="BC62">
            <v>634.69813992640502</v>
          </cell>
          <cell r="BD62">
            <v>-6.6847480259899922E-2</v>
          </cell>
        </row>
        <row r="63">
          <cell r="A63" t="str">
            <v>NFJA9903</v>
          </cell>
          <cell r="B63" t="str">
            <v>HC Polo more choc</v>
          </cell>
          <cell r="C63" t="str">
            <v>Jacobs FC 1 200g</v>
          </cell>
          <cell r="D63" t="str">
            <v>CM</v>
          </cell>
          <cell r="F63">
            <v>16286.828452833184</v>
          </cell>
          <cell r="G63" t="e">
            <v>#VALUE!</v>
          </cell>
          <cell r="H63">
            <v>183</v>
          </cell>
          <cell r="I63">
            <v>31</v>
          </cell>
          <cell r="J63">
            <v>1.9375</v>
          </cell>
          <cell r="K63">
            <v>19836.843036090908</v>
          </cell>
          <cell r="M63">
            <v>0.2</v>
          </cell>
          <cell r="N63">
            <v>12</v>
          </cell>
          <cell r="O63">
            <v>105</v>
          </cell>
          <cell r="P63">
            <v>2.4000000000000004</v>
          </cell>
          <cell r="Q63">
            <v>818</v>
          </cell>
          <cell r="R63">
            <v>959.01900000000001</v>
          </cell>
          <cell r="S63">
            <v>0.88</v>
          </cell>
          <cell r="T63">
            <v>0.89</v>
          </cell>
          <cell r="U63">
            <v>0.45</v>
          </cell>
          <cell r="V63">
            <v>2.95</v>
          </cell>
          <cell r="W63">
            <v>0.93</v>
          </cell>
          <cell r="X63">
            <v>3.172043010752688</v>
          </cell>
          <cell r="Y63">
            <v>784.65190909090893</v>
          </cell>
          <cell r="Z63">
            <v>2488.9496041055713</v>
          </cell>
          <cell r="AA63">
            <v>1535.7555898909091</v>
          </cell>
          <cell r="AB63">
            <v>639.8981624545454</v>
          </cell>
          <cell r="AC63">
            <v>7678.7779494545448</v>
          </cell>
          <cell r="AD63">
            <v>5.1679310836284476</v>
          </cell>
          <cell r="AE63">
            <v>0.48</v>
          </cell>
          <cell r="AF63">
            <v>9.1575091575091569E-2</v>
          </cell>
          <cell r="AH63">
            <v>0.14400000000000002</v>
          </cell>
          <cell r="AI63">
            <v>353.125</v>
          </cell>
          <cell r="AJ63">
            <v>0.35602943407630816</v>
          </cell>
          <cell r="AK63">
            <v>0</v>
          </cell>
          <cell r="AL63">
            <v>9.6703910436658408E-2</v>
          </cell>
          <cell r="AM63">
            <v>2.9227520037027031E-2</v>
          </cell>
          <cell r="AN63">
            <v>1.4241177363052327E-2</v>
          </cell>
          <cell r="AO63">
            <v>6.2475671182212302</v>
          </cell>
          <cell r="AP63">
            <v>2.6413092540818002</v>
          </cell>
          <cell r="AQ63">
            <v>6.3391422097963215</v>
          </cell>
          <cell r="AR63">
            <v>1.0262991711433826</v>
          </cell>
          <cell r="AS63">
            <v>3</v>
          </cell>
          <cell r="AT63">
            <v>0.65790027628553904</v>
          </cell>
          <cell r="AU63">
            <v>1.5</v>
          </cell>
          <cell r="AV63">
            <v>525</v>
          </cell>
          <cell r="AW63">
            <v>5428.9428176110614</v>
          </cell>
          <cell r="AX63">
            <v>9.6703910436658408E-2</v>
          </cell>
          <cell r="AY63">
            <v>1575</v>
          </cell>
          <cell r="AZ63">
            <v>8.8893296908460102E-3</v>
          </cell>
          <cell r="BA63">
            <v>476.02360494480382</v>
          </cell>
          <cell r="BB63">
            <v>2.9227520037027031E-2</v>
          </cell>
          <cell r="BC63">
            <v>476.02360494480382</v>
          </cell>
          <cell r="BD63">
            <v>-4.0566007320236672E-2</v>
          </cell>
        </row>
        <row r="64">
          <cell r="A64" t="str">
            <v>NFJA9904</v>
          </cell>
          <cell r="B64" t="str">
            <v>HC Polo more choc</v>
          </cell>
          <cell r="C64" t="str">
            <v>Jacobs FC 2 200g</v>
          </cell>
          <cell r="D64" t="str">
            <v>CM</v>
          </cell>
          <cell r="F64">
            <v>16286.828452833184</v>
          </cell>
          <cell r="G64" t="e">
            <v>#VALUE!</v>
          </cell>
          <cell r="H64">
            <v>183</v>
          </cell>
          <cell r="I64">
            <v>31</v>
          </cell>
          <cell r="J64">
            <v>1.9375</v>
          </cell>
          <cell r="K64">
            <v>19836.843036090908</v>
          </cell>
          <cell r="M64">
            <v>0.2</v>
          </cell>
          <cell r="N64">
            <v>12</v>
          </cell>
          <cell r="O64">
            <v>105</v>
          </cell>
          <cell r="P64">
            <v>2.4000000000000004</v>
          </cell>
          <cell r="Q64">
            <v>818</v>
          </cell>
          <cell r="R64">
            <v>959.01900000000001</v>
          </cell>
          <cell r="S64">
            <v>0.88</v>
          </cell>
          <cell r="T64">
            <v>0.89</v>
          </cell>
          <cell r="U64">
            <v>0.45</v>
          </cell>
          <cell r="V64">
            <v>2.95</v>
          </cell>
          <cell r="W64">
            <v>0.93</v>
          </cell>
          <cell r="X64">
            <v>3.172043010752688</v>
          </cell>
          <cell r="Y64">
            <v>784.65190909090893</v>
          </cell>
          <cell r="Z64">
            <v>2488.9496041055713</v>
          </cell>
          <cell r="AA64">
            <v>1535.7555898909091</v>
          </cell>
          <cell r="AB64">
            <v>639.8981624545454</v>
          </cell>
          <cell r="AC64">
            <v>7678.7779494545448</v>
          </cell>
          <cell r="AD64">
            <v>5.1679310836284476</v>
          </cell>
          <cell r="AE64">
            <v>0.48</v>
          </cell>
          <cell r="AF64">
            <v>9.1575091575091569E-2</v>
          </cell>
          <cell r="AH64">
            <v>0.14400000000000002</v>
          </cell>
          <cell r="AI64">
            <v>353.125</v>
          </cell>
          <cell r="AJ64">
            <v>0.35602943407630816</v>
          </cell>
          <cell r="AK64">
            <v>0</v>
          </cell>
          <cell r="AL64">
            <v>9.6703910436658408E-2</v>
          </cell>
          <cell r="AM64">
            <v>2.9227520037027031E-2</v>
          </cell>
          <cell r="AN64">
            <v>1.4241177363052327E-2</v>
          </cell>
          <cell r="AO64">
            <v>6.2261103282766941</v>
          </cell>
          <cell r="AP64">
            <v>2.6323689249382434</v>
          </cell>
          <cell r="AQ64">
            <v>6.3176854198517853</v>
          </cell>
          <cell r="AR64">
            <v>1.0262991711433826</v>
          </cell>
          <cell r="AS64">
            <v>3</v>
          </cell>
          <cell r="AT64">
            <v>0.65790027628553904</v>
          </cell>
          <cell r="AU64">
            <v>1.5</v>
          </cell>
          <cell r="AV64">
            <v>525</v>
          </cell>
          <cell r="AW64">
            <v>5428.9428176110614</v>
          </cell>
          <cell r="AX64">
            <v>9.6703910436658408E-2</v>
          </cell>
          <cell r="AY64">
            <v>1575</v>
          </cell>
          <cell r="AZ64">
            <v>8.8893296908460102E-3</v>
          </cell>
          <cell r="BA64">
            <v>476.02360494480382</v>
          </cell>
          <cell r="BB64">
            <v>2.9227520037027031E-2</v>
          </cell>
          <cell r="BC64">
            <v>476.02360494480382</v>
          </cell>
          <cell r="BD64">
            <v>-6.2022797264772972E-2</v>
          </cell>
        </row>
        <row r="65">
          <cell r="A65" t="str">
            <v>NFJA9905</v>
          </cell>
          <cell r="B65" t="str">
            <v>HC Polo more choc</v>
          </cell>
          <cell r="C65" t="str">
            <v>Jacobs FC 3 200g</v>
          </cell>
          <cell r="D65" t="str">
            <v>CM</v>
          </cell>
          <cell r="F65">
            <v>16286.828452833184</v>
          </cell>
          <cell r="G65" t="e">
            <v>#VALUE!</v>
          </cell>
          <cell r="H65">
            <v>183</v>
          </cell>
          <cell r="I65">
            <v>31</v>
          </cell>
          <cell r="J65">
            <v>1.9375</v>
          </cell>
          <cell r="K65">
            <v>19836.843036090908</v>
          </cell>
          <cell r="M65">
            <v>0.2</v>
          </cell>
          <cell r="N65">
            <v>12</v>
          </cell>
          <cell r="O65">
            <v>105</v>
          </cell>
          <cell r="P65">
            <v>2.4000000000000004</v>
          </cell>
          <cell r="Q65">
            <v>818</v>
          </cell>
          <cell r="R65">
            <v>959.01900000000001</v>
          </cell>
          <cell r="S65">
            <v>0.88</v>
          </cell>
          <cell r="T65">
            <v>0.89</v>
          </cell>
          <cell r="U65">
            <v>0.45</v>
          </cell>
          <cell r="V65">
            <v>2.95</v>
          </cell>
          <cell r="W65">
            <v>0.93</v>
          </cell>
          <cell r="X65">
            <v>3.172043010752688</v>
          </cell>
          <cell r="Y65">
            <v>784.65190909090893</v>
          </cell>
          <cell r="Z65">
            <v>2488.9496041055713</v>
          </cell>
          <cell r="AA65">
            <v>1535.7555898909091</v>
          </cell>
          <cell r="AB65">
            <v>639.8981624545454</v>
          </cell>
          <cell r="AC65">
            <v>7678.7779494545448</v>
          </cell>
          <cell r="AD65">
            <v>5.1679310836284476</v>
          </cell>
          <cell r="AE65">
            <v>0.48</v>
          </cell>
          <cell r="AF65">
            <v>9.1575091575091569E-2</v>
          </cell>
          <cell r="AH65">
            <v>0.14400000000000002</v>
          </cell>
          <cell r="AI65">
            <v>353.125</v>
          </cell>
          <cell r="AJ65">
            <v>0.35602943407630816</v>
          </cell>
          <cell r="AK65">
            <v>0</v>
          </cell>
          <cell r="AL65">
            <v>9.6703910436658408E-2</v>
          </cell>
          <cell r="AM65">
            <v>2.9227520037027031E-2</v>
          </cell>
          <cell r="AN65">
            <v>1.4241177363052327E-2</v>
          </cell>
          <cell r="AO65">
            <v>6.1722510908085457</v>
          </cell>
          <cell r="AP65">
            <v>2.6099275759931815</v>
          </cell>
          <cell r="AQ65">
            <v>6.263826182383637</v>
          </cell>
          <cell r="AR65">
            <v>1.0262991711433826</v>
          </cell>
          <cell r="AS65">
            <v>3</v>
          </cell>
          <cell r="AT65">
            <v>0.65790027628553904</v>
          </cell>
          <cell r="AU65">
            <v>1.5</v>
          </cell>
          <cell r="AV65">
            <v>525</v>
          </cell>
          <cell r="AW65">
            <v>5428.9428176110614</v>
          </cell>
          <cell r="AX65">
            <v>9.6703910436658408E-2</v>
          </cell>
          <cell r="AY65">
            <v>1575</v>
          </cell>
          <cell r="AZ65">
            <v>8.8893296908460102E-3</v>
          </cell>
          <cell r="BA65">
            <v>476.02360494480382</v>
          </cell>
          <cell r="BB65">
            <v>2.9227520037027031E-2</v>
          </cell>
          <cell r="BC65">
            <v>476.02360494480382</v>
          </cell>
          <cell r="BD65">
            <v>-0.11588203473292173</v>
          </cell>
        </row>
        <row r="66">
          <cell r="A66" t="str">
            <v>NFJA9906</v>
          </cell>
          <cell r="B66" t="str">
            <v>FOM0006</v>
          </cell>
          <cell r="C66" t="str">
            <v>Jacobs Economy 145g Choc Cookie</v>
          </cell>
          <cell r="D66" t="str">
            <v>CM</v>
          </cell>
          <cell r="F66">
            <v>0</v>
          </cell>
          <cell r="G66" t="e">
            <v>#VALUE!</v>
          </cell>
          <cell r="I66">
            <v>31</v>
          </cell>
          <cell r="J66">
            <v>1.9375</v>
          </cell>
          <cell r="K66">
            <v>7668.2275062413792</v>
          </cell>
          <cell r="M66">
            <v>0.14499999999999999</v>
          </cell>
          <cell r="N66">
            <v>20</v>
          </cell>
          <cell r="O66">
            <v>161</v>
          </cell>
          <cell r="P66">
            <v>2.9</v>
          </cell>
          <cell r="Q66">
            <v>641</v>
          </cell>
          <cell r="R66">
            <v>905.63099999999997</v>
          </cell>
          <cell r="S66">
            <v>0.89</v>
          </cell>
          <cell r="T66">
            <v>0.89</v>
          </cell>
          <cell r="U66">
            <v>0</v>
          </cell>
          <cell r="V66">
            <v>0</v>
          </cell>
          <cell r="W66">
            <v>0</v>
          </cell>
          <cell r="X66">
            <v>0</v>
          </cell>
          <cell r="Y66">
            <v>0</v>
          </cell>
          <cell r="Z66">
            <v>0</v>
          </cell>
          <cell r="AA66">
            <v>717.35031509999999</v>
          </cell>
          <cell r="AB66">
            <v>247.36217762068966</v>
          </cell>
          <cell r="AC66">
            <v>4947.2435524137936</v>
          </cell>
          <cell r="AD66">
            <v>2.5913419996767768</v>
          </cell>
          <cell r="AE66">
            <v>0.6</v>
          </cell>
          <cell r="AF66">
            <v>5.9722885809842335E-2</v>
          </cell>
          <cell r="AH66">
            <v>0.14000000000000001</v>
          </cell>
          <cell r="AI66">
            <v>353.125</v>
          </cell>
          <cell r="AJ66">
            <v>0.92100814617871452</v>
          </cell>
          <cell r="AK66">
            <v>0</v>
          </cell>
          <cell r="AL66">
            <v>0</v>
          </cell>
          <cell r="AM66">
            <v>0</v>
          </cell>
          <cell r="AN66">
            <v>3.6840325847148581E-2</v>
          </cell>
          <cell r="AO66">
            <v>4.289190471702673</v>
          </cell>
          <cell r="AP66">
            <v>1.4996252956939709</v>
          </cell>
          <cell r="AQ66">
            <v>4.3489133575125152</v>
          </cell>
          <cell r="AR66">
            <v>0</v>
          </cell>
          <cell r="AS66">
            <v>2.5429605452014061</v>
          </cell>
          <cell r="AT66">
            <v>0</v>
          </cell>
          <cell r="AU66">
            <v>0</v>
          </cell>
          <cell r="AV66">
            <v>0</v>
          </cell>
          <cell r="AW66">
            <v>6134.5820049931044</v>
          </cell>
          <cell r="AX66">
            <v>0</v>
          </cell>
          <cell r="AY66">
            <v>0</v>
          </cell>
          <cell r="AZ66">
            <v>7.5350715590362721E-3</v>
          </cell>
          <cell r="BA66">
            <v>403.50308198639237</v>
          </cell>
          <cell r="BB66">
            <v>0</v>
          </cell>
          <cell r="BC66">
            <v>0</v>
          </cell>
          <cell r="BD66">
            <v>0</v>
          </cell>
        </row>
        <row r="67">
          <cell r="A67" t="str">
            <v>NFJA9907</v>
          </cell>
          <cell r="B67" t="str">
            <v>FOM0006</v>
          </cell>
          <cell r="C67" t="str">
            <v>Jacobs Economy 145g Double Choc Cookie</v>
          </cell>
          <cell r="D67" t="str">
            <v>CM</v>
          </cell>
          <cell r="F67">
            <v>0</v>
          </cell>
          <cell r="G67" t="e">
            <v>#VALUE!</v>
          </cell>
          <cell r="I67">
            <v>31</v>
          </cell>
          <cell r="J67">
            <v>1.9375</v>
          </cell>
          <cell r="K67">
            <v>7668.2275062413792</v>
          </cell>
          <cell r="M67">
            <v>0.14499999999999999</v>
          </cell>
          <cell r="N67">
            <v>20</v>
          </cell>
          <cell r="O67">
            <v>161</v>
          </cell>
          <cell r="P67">
            <v>2.9</v>
          </cell>
          <cell r="Q67">
            <v>641</v>
          </cell>
          <cell r="R67">
            <v>905.63099999999997</v>
          </cell>
          <cell r="S67">
            <v>0.89</v>
          </cell>
          <cell r="T67">
            <v>0.89</v>
          </cell>
          <cell r="U67">
            <v>0</v>
          </cell>
          <cell r="V67">
            <v>0</v>
          </cell>
          <cell r="W67">
            <v>0</v>
          </cell>
          <cell r="X67">
            <v>0</v>
          </cell>
          <cell r="Y67">
            <v>0</v>
          </cell>
          <cell r="Z67">
            <v>0</v>
          </cell>
          <cell r="AA67">
            <v>717.35031509999999</v>
          </cell>
          <cell r="AB67">
            <v>247.36217762068966</v>
          </cell>
          <cell r="AC67">
            <v>4947.2435524137936</v>
          </cell>
          <cell r="AD67">
            <v>2.5913419996767768</v>
          </cell>
          <cell r="AE67">
            <v>0.6</v>
          </cell>
          <cell r="AF67">
            <v>5.9722885809842335E-2</v>
          </cell>
          <cell r="AH67">
            <v>0.14000000000000001</v>
          </cell>
          <cell r="AI67">
            <v>353.125</v>
          </cell>
          <cell r="AJ67">
            <v>0.92100814617871452</v>
          </cell>
          <cell r="AK67">
            <v>0</v>
          </cell>
          <cell r="AL67">
            <v>0</v>
          </cell>
          <cell r="AM67">
            <v>0</v>
          </cell>
          <cell r="AN67">
            <v>3.6840325847148581E-2</v>
          </cell>
          <cell r="AO67">
            <v>4.289190471702673</v>
          </cell>
          <cell r="AP67">
            <v>1.4996252956939709</v>
          </cell>
          <cell r="AQ67">
            <v>4.3489133575125152</v>
          </cell>
          <cell r="AR67">
            <v>0</v>
          </cell>
          <cell r="AS67">
            <v>2.5429605452014061</v>
          </cell>
          <cell r="AT67">
            <v>0</v>
          </cell>
          <cell r="AU67">
            <v>0</v>
          </cell>
          <cell r="AV67">
            <v>0</v>
          </cell>
          <cell r="AW67">
            <v>6134.5820049931044</v>
          </cell>
          <cell r="AX67">
            <v>0</v>
          </cell>
          <cell r="AY67">
            <v>0</v>
          </cell>
          <cell r="AZ67">
            <v>7.5350715590362721E-3</v>
          </cell>
          <cell r="BA67">
            <v>403.50308198639237</v>
          </cell>
          <cell r="BB67">
            <v>0</v>
          </cell>
          <cell r="BC67">
            <v>0</v>
          </cell>
          <cell r="BD67">
            <v>0</v>
          </cell>
        </row>
        <row r="68">
          <cell r="A68" t="str">
            <v>NFJA9908</v>
          </cell>
          <cell r="B68" t="str">
            <v>FEB0019</v>
          </cell>
          <cell r="C68" t="str">
            <v>Jacobs Premium Milk Choc Chunk Cookie</v>
          </cell>
          <cell r="D68" t="str">
            <v>CM</v>
          </cell>
          <cell r="F68">
            <v>0</v>
          </cell>
          <cell r="G68" t="e">
            <v>#VALUE!</v>
          </cell>
          <cell r="I68">
            <v>31</v>
          </cell>
          <cell r="J68">
            <v>1.9375</v>
          </cell>
          <cell r="K68">
            <v>12369.158427760418</v>
          </cell>
          <cell r="M68">
            <v>0.16</v>
          </cell>
          <cell r="N68">
            <v>12</v>
          </cell>
          <cell r="O68">
            <v>160</v>
          </cell>
          <cell r="P68">
            <v>1.92</v>
          </cell>
          <cell r="Q68">
            <v>1135</v>
          </cell>
          <cell r="R68">
            <v>967.16300000000001</v>
          </cell>
          <cell r="S68">
            <v>0.89</v>
          </cell>
          <cell r="T68">
            <v>0.89</v>
          </cell>
          <cell r="U68">
            <v>0</v>
          </cell>
          <cell r="V68">
            <v>0</v>
          </cell>
          <cell r="W68">
            <v>0</v>
          </cell>
          <cell r="X68">
            <v>0</v>
          </cell>
          <cell r="Y68">
            <v>0</v>
          </cell>
          <cell r="Z68">
            <v>0</v>
          </cell>
          <cell r="AA68">
            <v>766.08981230000006</v>
          </cell>
          <cell r="AB68">
            <v>399.00511057291669</v>
          </cell>
          <cell r="AC68">
            <v>4788.0613268750003</v>
          </cell>
          <cell r="AD68">
            <v>2.8445750942144463</v>
          </cell>
          <cell r="AE68">
            <v>0.59040000000000004</v>
          </cell>
          <cell r="AF68">
            <v>6.0096153846153848E-2</v>
          </cell>
          <cell r="AH68">
            <v>8.4000000000000005E-2</v>
          </cell>
          <cell r="AI68">
            <v>353.125</v>
          </cell>
          <cell r="AJ68">
            <v>0.57097659806421841</v>
          </cell>
          <cell r="AK68">
            <v>0</v>
          </cell>
          <cell r="AL68">
            <v>0</v>
          </cell>
          <cell r="AM68">
            <v>0</v>
          </cell>
          <cell r="AN68">
            <v>2.2839063922568736E-2</v>
          </cell>
          <cell r="AO68">
            <v>4.1127907562011847</v>
          </cell>
          <cell r="AP68">
            <v>2.173378598982989</v>
          </cell>
          <cell r="AQ68">
            <v>4.1728869100473389</v>
          </cell>
          <cell r="AR68">
            <v>0</v>
          </cell>
          <cell r="AS68">
            <v>5.9213557597920881</v>
          </cell>
          <cell r="AT68">
            <v>0</v>
          </cell>
          <cell r="AU68">
            <v>0</v>
          </cell>
          <cell r="AV68">
            <v>0</v>
          </cell>
          <cell r="AW68">
            <v>9895.3267422083336</v>
          </cell>
          <cell r="AX68">
            <v>0</v>
          </cell>
          <cell r="AY68">
            <v>0</v>
          </cell>
          <cell r="AZ68">
            <v>1.7545627855193948E-2</v>
          </cell>
          <cell r="BA68">
            <v>939.56837164563592</v>
          </cell>
          <cell r="BB68">
            <v>0</v>
          </cell>
          <cell r="BC68">
            <v>0</v>
          </cell>
          <cell r="BD68">
            <v>0</v>
          </cell>
        </row>
        <row r="69">
          <cell r="A69" t="str">
            <v>NFJA9909</v>
          </cell>
          <cell r="B69" t="str">
            <v>FEB0020</v>
          </cell>
          <cell r="C69" t="str">
            <v>Jacobs Premium Cappuccino Cookie</v>
          </cell>
          <cell r="D69" t="str">
            <v>CM</v>
          </cell>
          <cell r="F69">
            <v>0</v>
          </cell>
          <cell r="G69" t="e">
            <v>#VALUE!</v>
          </cell>
          <cell r="I69">
            <v>31</v>
          </cell>
          <cell r="J69">
            <v>1.9375</v>
          </cell>
          <cell r="K69">
            <v>14279.123190121531</v>
          </cell>
          <cell r="M69">
            <v>0.16</v>
          </cell>
          <cell r="N69">
            <v>12</v>
          </cell>
          <cell r="O69">
            <v>160</v>
          </cell>
          <cell r="P69">
            <v>1.92</v>
          </cell>
          <cell r="Q69">
            <v>1189</v>
          </cell>
          <cell r="R69">
            <v>900.06700000000001</v>
          </cell>
          <cell r="S69">
            <v>0.89</v>
          </cell>
          <cell r="T69">
            <v>0.89</v>
          </cell>
          <cell r="U69">
            <v>0.16</v>
          </cell>
          <cell r="V69">
            <v>2.95</v>
          </cell>
          <cell r="W69">
            <v>0.93</v>
          </cell>
          <cell r="X69">
            <v>3.172043010752688</v>
          </cell>
          <cell r="Y69">
            <v>171.44133333333343</v>
          </cell>
          <cell r="Z69">
            <v>543.8192831541221</v>
          </cell>
          <cell r="AA69">
            <v>884.38440403333345</v>
          </cell>
          <cell r="AB69">
            <v>460.61687710069452</v>
          </cell>
          <cell r="AC69">
            <v>5527.4025252083338</v>
          </cell>
          <cell r="AD69">
            <v>3.7619535221140281</v>
          </cell>
          <cell r="AE69">
            <v>0.59040000000000004</v>
          </cell>
          <cell r="AF69">
            <v>6.0096153846153848E-2</v>
          </cell>
          <cell r="AH69">
            <v>8.4000000000000005E-2</v>
          </cell>
          <cell r="AI69">
            <v>353.125</v>
          </cell>
          <cell r="AJ69">
            <v>0.49460319838727368</v>
          </cell>
          <cell r="AK69">
            <v>0</v>
          </cell>
          <cell r="AL69">
            <v>0</v>
          </cell>
          <cell r="AM69">
            <v>0</v>
          </cell>
          <cell r="AN69">
            <v>1.9784127935490947E-2</v>
          </cell>
          <cell r="AO69">
            <v>4.9507408484368289</v>
          </cell>
          <cell r="AP69">
            <v>2.609810938689054</v>
          </cell>
          <cell r="AQ69">
            <v>5.0108370022829831</v>
          </cell>
          <cell r="AR69">
            <v>0</v>
          </cell>
          <cell r="AS69">
            <v>5.5396652474238337</v>
          </cell>
          <cell r="AT69">
            <v>0</v>
          </cell>
          <cell r="AU69">
            <v>0</v>
          </cell>
          <cell r="AV69">
            <v>0</v>
          </cell>
          <cell r="AW69">
            <v>11423.298552097225</v>
          </cell>
          <cell r="AX69">
            <v>0</v>
          </cell>
          <cell r="AY69">
            <v>0</v>
          </cell>
          <cell r="AZ69">
            <v>1.6414636920424164E-2</v>
          </cell>
          <cell r="BA69">
            <v>879.00380708871398</v>
          </cell>
          <cell r="BB69">
            <v>0</v>
          </cell>
          <cell r="BC69">
            <v>0</v>
          </cell>
          <cell r="BD69">
            <v>0</v>
          </cell>
        </row>
        <row r="70">
          <cell r="A70" t="str">
            <v>NFJA9910</v>
          </cell>
          <cell r="B70" t="str">
            <v>FEB0021</v>
          </cell>
          <cell r="C70" t="str">
            <v>Jacobs Premium Choc Orange Cookie</v>
          </cell>
          <cell r="D70" t="str">
            <v>CM</v>
          </cell>
          <cell r="F70">
            <v>0</v>
          </cell>
          <cell r="G70" t="e">
            <v>#VALUE!</v>
          </cell>
          <cell r="I70">
            <v>31</v>
          </cell>
          <cell r="J70">
            <v>1.9375</v>
          </cell>
          <cell r="K70">
            <v>11574.519582239584</v>
          </cell>
          <cell r="M70">
            <v>0.16</v>
          </cell>
          <cell r="N70">
            <v>12</v>
          </cell>
          <cell r="O70">
            <v>160</v>
          </cell>
          <cell r="P70">
            <v>1.92</v>
          </cell>
          <cell r="Q70">
            <v>1389</v>
          </cell>
          <cell r="R70">
            <v>905.029</v>
          </cell>
          <cell r="S70">
            <v>0.89</v>
          </cell>
          <cell r="T70">
            <v>0.89</v>
          </cell>
          <cell r="U70">
            <v>0</v>
          </cell>
          <cell r="V70">
            <v>0</v>
          </cell>
          <cell r="W70">
            <v>0</v>
          </cell>
          <cell r="X70">
            <v>0</v>
          </cell>
          <cell r="Y70">
            <v>0</v>
          </cell>
          <cell r="Z70">
            <v>0</v>
          </cell>
          <cell r="AA70">
            <v>716.87347090000003</v>
          </cell>
          <cell r="AB70">
            <v>373.37159942708337</v>
          </cell>
          <cell r="AC70">
            <v>4480.4591931250006</v>
          </cell>
          <cell r="AD70">
            <v>3.7201544041682291</v>
          </cell>
          <cell r="AE70">
            <v>0.59040000000000004</v>
          </cell>
          <cell r="AF70">
            <v>6.0096153846153848E-2</v>
          </cell>
          <cell r="AH70">
            <v>8.4000000000000005E-2</v>
          </cell>
          <cell r="AI70">
            <v>353.125</v>
          </cell>
          <cell r="AJ70">
            <v>0.61017651314331767</v>
          </cell>
          <cell r="AK70">
            <v>0</v>
          </cell>
          <cell r="AL70">
            <v>0</v>
          </cell>
          <cell r="AM70">
            <v>0</v>
          </cell>
          <cell r="AN70">
            <v>2.4407060525732709E-2</v>
          </cell>
          <cell r="AO70">
            <v>5.0291379778372862</v>
          </cell>
          <cell r="AP70">
            <v>2.6506427769184588</v>
          </cell>
          <cell r="AQ70">
            <v>5.0892341316834404</v>
          </cell>
          <cell r="AR70">
            <v>0</v>
          </cell>
          <cell r="AS70">
            <v>5.062305142228853</v>
          </cell>
          <cell r="AT70">
            <v>0</v>
          </cell>
          <cell r="AU70">
            <v>0</v>
          </cell>
          <cell r="AV70">
            <v>0</v>
          </cell>
          <cell r="AW70">
            <v>9259.6156657916672</v>
          </cell>
          <cell r="AX70">
            <v>0</v>
          </cell>
          <cell r="AY70">
            <v>0</v>
          </cell>
          <cell r="AZ70">
            <v>1.5000166468312457E-2</v>
          </cell>
          <cell r="BA70">
            <v>803.25891437813209</v>
          </cell>
          <cell r="BB70">
            <v>0</v>
          </cell>
          <cell r="BC70">
            <v>0</v>
          </cell>
          <cell r="BD70">
            <v>0</v>
          </cell>
        </row>
        <row r="71">
          <cell r="A71" t="str">
            <v>FOM0005</v>
          </cell>
          <cell r="B71" t="str">
            <v>FOM0005</v>
          </cell>
          <cell r="C71" t="str">
            <v>Oh My Double Choc Chip Cookie (14%) 145g</v>
          </cell>
          <cell r="D71" t="str">
            <v>Brand</v>
          </cell>
          <cell r="F71">
            <v>22764.579999999998</v>
          </cell>
          <cell r="G71" t="e">
            <v>#VALUE!</v>
          </cell>
          <cell r="H71">
            <v>233</v>
          </cell>
          <cell r="I71">
            <v>31</v>
          </cell>
          <cell r="J71">
            <v>1.9375</v>
          </cell>
          <cell r="K71">
            <v>7600.0574682758634</v>
          </cell>
          <cell r="M71">
            <v>0.14499999999999999</v>
          </cell>
          <cell r="N71">
            <v>20</v>
          </cell>
          <cell r="O71">
            <v>161</v>
          </cell>
          <cell r="P71">
            <v>2.9</v>
          </cell>
          <cell r="Q71">
            <v>674</v>
          </cell>
          <cell r="R71">
            <v>897.58</v>
          </cell>
          <cell r="S71">
            <v>0.89</v>
          </cell>
          <cell r="T71">
            <v>0.89</v>
          </cell>
          <cell r="AA71">
            <v>710.97311800000011</v>
          </cell>
          <cell r="AB71">
            <v>245.16314413793108</v>
          </cell>
          <cell r="AC71">
            <v>4903.2628827586213</v>
          </cell>
          <cell r="AD71">
            <v>2.7491897380007546</v>
          </cell>
          <cell r="AE71">
            <v>0.6</v>
          </cell>
          <cell r="AF71">
            <v>0.16400000000000001</v>
          </cell>
          <cell r="AH71">
            <v>0.14000000000000001</v>
          </cell>
          <cell r="AI71">
            <v>353.125</v>
          </cell>
          <cell r="AJ71">
            <v>0.92926928901265093</v>
          </cell>
          <cell r="AK71">
            <v>0</v>
          </cell>
          <cell r="AL71">
            <v>0</v>
          </cell>
          <cell r="AM71">
            <v>2.6097588018896577E-2</v>
          </cell>
          <cell r="AN71">
            <v>3.7170771560506036E-2</v>
          </cell>
          <cell r="AO71">
            <v>4.4492235138611305</v>
          </cell>
          <cell r="AP71">
            <v>1.590766728917631</v>
          </cell>
          <cell r="AQ71">
            <v>4.6132235138611302</v>
          </cell>
          <cell r="AR71">
            <v>3.7441460303135599</v>
          </cell>
          <cell r="AS71">
            <v>3.7441460303135599</v>
          </cell>
          <cell r="AT71">
            <v>0</v>
          </cell>
          <cell r="AU71">
            <v>0</v>
          </cell>
          <cell r="AV71">
            <v>0</v>
          </cell>
          <cell r="AW71">
            <v>6080.0459746206907</v>
          </cell>
          <cell r="AX71">
            <v>0</v>
          </cell>
          <cell r="AY71">
            <v>0</v>
          </cell>
          <cell r="AZ71">
            <v>1.1094316158043184E-2</v>
          </cell>
          <cell r="BA71">
            <v>594.10063026321257</v>
          </cell>
          <cell r="BB71">
            <v>2.6097588018896577E-2</v>
          </cell>
          <cell r="BC71">
            <v>594.10063026321257</v>
          </cell>
          <cell r="BD71">
            <v>-3.2503872731722179E-2</v>
          </cell>
        </row>
        <row r="72">
          <cell r="A72" t="str">
            <v>FOM0006</v>
          </cell>
          <cell r="B72" t="str">
            <v>FOM0006</v>
          </cell>
          <cell r="C72" t="str">
            <v>Oh My Choc Chip Cookies (14%) 145g</v>
          </cell>
          <cell r="D72" t="str">
            <v>Brand</v>
          </cell>
          <cell r="F72">
            <v>29360.66</v>
          </cell>
          <cell r="G72" t="e">
            <v>#VALUE!</v>
          </cell>
          <cell r="H72">
            <v>233</v>
          </cell>
          <cell r="I72">
            <v>31</v>
          </cell>
          <cell r="J72">
            <v>1.9375</v>
          </cell>
          <cell r="K72">
            <v>7668.2275062413792</v>
          </cell>
          <cell r="M72">
            <v>0.14499999999999999</v>
          </cell>
          <cell r="N72">
            <v>20</v>
          </cell>
          <cell r="O72">
            <v>161</v>
          </cell>
          <cell r="P72">
            <v>2.9</v>
          </cell>
          <cell r="Q72">
            <v>641</v>
          </cell>
          <cell r="R72">
            <v>905.63099999999997</v>
          </cell>
          <cell r="S72">
            <v>0.89</v>
          </cell>
          <cell r="T72">
            <v>0.89</v>
          </cell>
          <cell r="AA72">
            <v>717.35031509999999</v>
          </cell>
          <cell r="AB72">
            <v>247.36217762068966</v>
          </cell>
          <cell r="AC72">
            <v>4947.2435524137936</v>
          </cell>
          <cell r="AD72">
            <v>2.5913419996767768</v>
          </cell>
          <cell r="AE72">
            <v>0.6</v>
          </cell>
          <cell r="AF72">
            <v>0.16400000000000001</v>
          </cell>
          <cell r="AH72">
            <v>0.14000000000000001</v>
          </cell>
          <cell r="AI72">
            <v>353.125</v>
          </cell>
          <cell r="AJ72">
            <v>0.92100814617871452</v>
          </cell>
          <cell r="AK72">
            <v>0</v>
          </cell>
          <cell r="AL72">
            <v>0</v>
          </cell>
          <cell r="AM72">
            <v>2.5865582178614895E-2</v>
          </cell>
          <cell r="AN72">
            <v>3.6840325847148581E-2</v>
          </cell>
          <cell r="AO72">
            <v>4.2867073931601212</v>
          </cell>
          <cell r="AP72">
            <v>1.5347266872965935</v>
          </cell>
          <cell r="AQ72">
            <v>4.4507073931601209</v>
          </cell>
          <cell r="AR72">
            <v>4.7860897410944307</v>
          </cell>
          <cell r="AS72">
            <v>4.7860897410944307</v>
          </cell>
          <cell r="AT72">
            <v>0</v>
          </cell>
          <cell r="AU72">
            <v>0</v>
          </cell>
          <cell r="AV72">
            <v>0</v>
          </cell>
          <cell r="AW72">
            <v>6134.5820049931044</v>
          </cell>
          <cell r="AX72">
            <v>0</v>
          </cell>
          <cell r="AY72">
            <v>0</v>
          </cell>
          <cell r="AZ72">
            <v>1.4181709879521404E-2</v>
          </cell>
          <cell r="BA72">
            <v>759.43056404837125</v>
          </cell>
          <cell r="BB72">
            <v>2.5865582178614895E-2</v>
          </cell>
          <cell r="BC72">
            <v>759.43056404837125</v>
          </cell>
          <cell r="BD72">
            <v>-2.8348660721144926E-2</v>
          </cell>
        </row>
        <row r="73">
          <cell r="A73" t="str">
            <v>FRG0001</v>
          </cell>
          <cell r="B73" t="str">
            <v>FOM0006</v>
          </cell>
          <cell r="C73" t="str">
            <v>Regal Choc Chip Cookie (14%) 145g</v>
          </cell>
          <cell r="D73" t="str">
            <v>CM</v>
          </cell>
          <cell r="F73">
            <v>8652</v>
          </cell>
          <cell r="G73" t="e">
            <v>#VALUE!</v>
          </cell>
          <cell r="H73">
            <v>233</v>
          </cell>
          <cell r="I73">
            <v>31</v>
          </cell>
          <cell r="J73">
            <v>1.9375</v>
          </cell>
          <cell r="K73">
            <v>7668.2275062413792</v>
          </cell>
          <cell r="M73">
            <v>0.14499999999999999</v>
          </cell>
          <cell r="N73">
            <v>20</v>
          </cell>
          <cell r="O73">
            <v>161</v>
          </cell>
          <cell r="P73">
            <v>2.9</v>
          </cell>
          <cell r="Q73">
            <v>641</v>
          </cell>
          <cell r="R73">
            <v>905.63099999999997</v>
          </cell>
          <cell r="S73">
            <v>0.89</v>
          </cell>
          <cell r="T73">
            <v>0.89</v>
          </cell>
          <cell r="AA73">
            <v>717.35031509999999</v>
          </cell>
          <cell r="AB73">
            <v>247.36217762068966</v>
          </cell>
          <cell r="AC73">
            <v>4947.2435524137936</v>
          </cell>
          <cell r="AD73">
            <v>2.5913419996767768</v>
          </cell>
          <cell r="AE73">
            <v>0.6</v>
          </cell>
          <cell r="AF73">
            <v>0.19111323459149546</v>
          </cell>
          <cell r="AH73">
            <v>0.14000000000000001</v>
          </cell>
          <cell r="AI73">
            <v>353.125</v>
          </cell>
          <cell r="AJ73">
            <v>0.92100814617871452</v>
          </cell>
          <cell r="AK73">
            <v>0</v>
          </cell>
          <cell r="AL73">
            <v>0</v>
          </cell>
          <cell r="AM73">
            <v>2.5865582178614895E-2</v>
          </cell>
          <cell r="AN73">
            <v>3.6840325847148581E-2</v>
          </cell>
          <cell r="AO73">
            <v>4.2648467124316056</v>
          </cell>
          <cell r="AP73">
            <v>1.5365379127665866</v>
          </cell>
          <cell r="AQ73">
            <v>4.4559599470231008</v>
          </cell>
          <cell r="AR73">
            <v>1.4103650408386261</v>
          </cell>
          <cell r="AS73">
            <v>1.4103650408386261</v>
          </cell>
          <cell r="AT73">
            <v>0</v>
          </cell>
          <cell r="AU73">
            <v>0</v>
          </cell>
          <cell r="AV73">
            <v>0</v>
          </cell>
          <cell r="AW73">
            <v>6134.5820049931035</v>
          </cell>
          <cell r="AX73">
            <v>0</v>
          </cell>
          <cell r="AY73">
            <v>0</v>
          </cell>
          <cell r="AZ73">
            <v>4.1790666108193477E-3</v>
          </cell>
          <cell r="BA73">
            <v>223.78901700937607</v>
          </cell>
          <cell r="BB73">
            <v>2.5865582178614895E-2</v>
          </cell>
          <cell r="BC73">
            <v>223.78901700937607</v>
          </cell>
          <cell r="BD73">
            <v>-5.0209341449632482E-2</v>
          </cell>
        </row>
        <row r="74">
          <cell r="A74" t="str">
            <v>FRG0002</v>
          </cell>
          <cell r="B74" t="str">
            <v>FOM0005</v>
          </cell>
          <cell r="C74" t="str">
            <v>Regal Double Choc Chip Cookies (14%) 145g</v>
          </cell>
          <cell r="D74" t="str">
            <v>CM</v>
          </cell>
          <cell r="F74">
            <v>8652</v>
          </cell>
          <cell r="G74" t="e">
            <v>#VALUE!</v>
          </cell>
          <cell r="H74">
            <v>233</v>
          </cell>
          <cell r="I74">
            <v>31</v>
          </cell>
          <cell r="J74">
            <v>1.9375</v>
          </cell>
          <cell r="K74">
            <v>7600.0574682758634</v>
          </cell>
          <cell r="M74">
            <v>0.14499999999999999</v>
          </cell>
          <cell r="N74">
            <v>20</v>
          </cell>
          <cell r="O74">
            <v>161</v>
          </cell>
          <cell r="P74">
            <v>2.9</v>
          </cell>
          <cell r="Q74">
            <v>674</v>
          </cell>
          <cell r="R74">
            <v>897.58</v>
          </cell>
          <cell r="S74">
            <v>0.89</v>
          </cell>
          <cell r="T74">
            <v>0.89</v>
          </cell>
          <cell r="AA74">
            <v>710.97311800000011</v>
          </cell>
          <cell r="AB74">
            <v>245.16314413793108</v>
          </cell>
          <cell r="AC74">
            <v>4903.2628827586213</v>
          </cell>
          <cell r="AD74">
            <v>2.7491897380007546</v>
          </cell>
          <cell r="AE74">
            <v>0.6</v>
          </cell>
          <cell r="AF74">
            <v>0.19111323459149546</v>
          </cell>
          <cell r="AH74">
            <v>0.14000000000000001</v>
          </cell>
          <cell r="AI74">
            <v>353.125</v>
          </cell>
          <cell r="AJ74">
            <v>0.92926928901265093</v>
          </cell>
          <cell r="AK74">
            <v>0</v>
          </cell>
          <cell r="AL74">
            <v>0</v>
          </cell>
          <cell r="AM74">
            <v>2.609758801889657E-2</v>
          </cell>
          <cell r="AN74">
            <v>3.7170771560506036E-2</v>
          </cell>
          <cell r="AO74">
            <v>4.4306739756923275</v>
          </cell>
          <cell r="AP74">
            <v>1.5937197276840769</v>
          </cell>
          <cell r="AQ74">
            <v>4.6217872102838227</v>
          </cell>
          <cell r="AR74">
            <v>1.423015555493355</v>
          </cell>
          <cell r="AS74">
            <v>1.423015555493355</v>
          </cell>
          <cell r="AT74">
            <v>0</v>
          </cell>
          <cell r="AU74">
            <v>0</v>
          </cell>
          <cell r="AV74">
            <v>0</v>
          </cell>
          <cell r="AW74">
            <v>6080.0459746206916</v>
          </cell>
          <cell r="AX74">
            <v>0</v>
          </cell>
          <cell r="AY74">
            <v>0</v>
          </cell>
          <cell r="AZ74">
            <v>4.216551475994269E-3</v>
          </cell>
          <cell r="BA74">
            <v>225.79633153949311</v>
          </cell>
          <cell r="BB74">
            <v>2.609758801889657E-2</v>
          </cell>
          <cell r="BC74">
            <v>225.79633153949311</v>
          </cell>
          <cell r="BD74">
            <v>-5.1053410900498204E-2</v>
          </cell>
        </row>
        <row r="75">
          <cell r="A75" t="str">
            <v>FTS0006</v>
          </cell>
          <cell r="B75" t="str">
            <v>NFTE9901</v>
          </cell>
          <cell r="C75" t="str">
            <v>Tesco Ginger Biscuit (300g)</v>
          </cell>
          <cell r="D75" t="str">
            <v>PL</v>
          </cell>
          <cell r="F75">
            <v>16900</v>
          </cell>
          <cell r="H75">
            <v>141</v>
          </cell>
          <cell r="I75">
            <v>31</v>
          </cell>
          <cell r="J75">
            <v>1.9375</v>
          </cell>
          <cell r="K75">
            <v>4102.0068091851863</v>
          </cell>
          <cell r="M75">
            <v>0.3</v>
          </cell>
          <cell r="N75">
            <v>18</v>
          </cell>
          <cell r="O75">
            <v>126</v>
          </cell>
          <cell r="P75">
            <v>5.3999999999999995</v>
          </cell>
          <cell r="Q75">
            <v>467</v>
          </cell>
          <cell r="R75">
            <v>912.33799999999997</v>
          </cell>
          <cell r="S75">
            <v>0.88</v>
          </cell>
          <cell r="T75">
            <v>0.89</v>
          </cell>
          <cell r="AA75">
            <v>714.54312160000006</v>
          </cell>
          <cell r="AB75">
            <v>132.32280029629632</v>
          </cell>
          <cell r="AC75">
            <v>2381.8104053333336</v>
          </cell>
          <cell r="AD75">
            <v>3.529248163992122</v>
          </cell>
          <cell r="AE75">
            <v>0.79199999999999993</v>
          </cell>
          <cell r="AF75">
            <v>0.20699999999999999</v>
          </cell>
          <cell r="AH75">
            <v>0.19799999999999998</v>
          </cell>
          <cell r="AI75">
            <v>353.125</v>
          </cell>
          <cell r="AJ75">
            <v>1.7217182536571358</v>
          </cell>
          <cell r="AK75">
            <v>0</v>
          </cell>
          <cell r="AL75">
            <v>0</v>
          </cell>
          <cell r="AM75">
            <v>4.8059697866532636E-2</v>
          </cell>
          <cell r="AN75">
            <v>6.8868730146285431E-2</v>
          </cell>
          <cell r="AO75">
            <v>6.2636998851097561</v>
          </cell>
          <cell r="AP75">
            <v>1.1982777565018068</v>
          </cell>
          <cell r="AQ75">
            <v>6.4706998851097559</v>
          </cell>
          <cell r="AR75">
            <v>5.1499183162487778</v>
          </cell>
          <cell r="AS75">
            <v>5.1499183162487778</v>
          </cell>
          <cell r="AT75">
            <v>0</v>
          </cell>
          <cell r="AU75">
            <v>0</v>
          </cell>
          <cell r="AV75">
            <v>0</v>
          </cell>
          <cell r="AW75">
            <v>3281.6054473481495</v>
          </cell>
          <cell r="AX75">
            <v>0</v>
          </cell>
          <cell r="AY75">
            <v>0</v>
          </cell>
          <cell r="AZ75">
            <v>1.5167299606804885E-2</v>
          </cell>
          <cell r="BA75">
            <v>812.20889394440155</v>
          </cell>
          <cell r="BB75">
            <v>4.8059697866532636E-2</v>
          </cell>
          <cell r="BC75">
            <v>812.20889394440155</v>
          </cell>
          <cell r="BD75">
            <v>-9.4194960552269003E-2</v>
          </cell>
        </row>
        <row r="76">
          <cell r="A76" t="str">
            <v>NFTE9902</v>
          </cell>
          <cell r="B76" t="str">
            <v>NFTE9902</v>
          </cell>
          <cell r="C76" t="str">
            <v>Tesco Everyday Value Ginger Nut 300g</v>
          </cell>
          <cell r="D76" t="str">
            <v>PL</v>
          </cell>
          <cell r="F76">
            <v>14404</v>
          </cell>
          <cell r="G76" t="e">
            <v>#VALUE!</v>
          </cell>
          <cell r="H76">
            <v>141</v>
          </cell>
          <cell r="I76">
            <v>31</v>
          </cell>
          <cell r="J76">
            <v>1.9375</v>
          </cell>
          <cell r="K76">
            <v>4614.7576603333337</v>
          </cell>
          <cell r="M76">
            <v>0.3</v>
          </cell>
          <cell r="N76">
            <v>16</v>
          </cell>
          <cell r="O76">
            <v>90</v>
          </cell>
          <cell r="P76">
            <v>4.8</v>
          </cell>
          <cell r="Q76">
            <v>467</v>
          </cell>
          <cell r="R76">
            <v>912.33799999999997</v>
          </cell>
          <cell r="S76">
            <v>0.88</v>
          </cell>
          <cell r="T76">
            <v>0.89</v>
          </cell>
          <cell r="AA76">
            <v>714.54312160000006</v>
          </cell>
          <cell r="AB76">
            <v>148.86315033333335</v>
          </cell>
          <cell r="AC76">
            <v>2381.8104053333336</v>
          </cell>
          <cell r="AD76">
            <v>3.1371094791041085</v>
          </cell>
          <cell r="AE76">
            <v>0.70399999999999996</v>
          </cell>
          <cell r="AF76">
            <v>0.184</v>
          </cell>
          <cell r="AH76">
            <v>0.17599999999999999</v>
          </cell>
          <cell r="AI76">
            <v>353.125</v>
          </cell>
          <cell r="AJ76">
            <v>1.5304162254730103</v>
          </cell>
          <cell r="AK76">
            <v>0</v>
          </cell>
          <cell r="AL76">
            <v>0</v>
          </cell>
          <cell r="AM76">
            <v>4.2980191664642009E-2</v>
          </cell>
          <cell r="AN76">
            <v>6.1216649018920412E-2</v>
          </cell>
          <cell r="AO76">
            <v>5.5474694674119478</v>
          </cell>
          <cell r="AP76">
            <v>1.194056139044156</v>
          </cell>
          <cell r="AQ76">
            <v>5.731469467411948</v>
          </cell>
          <cell r="AR76">
            <v>3.9016133295067679</v>
          </cell>
          <cell r="AS76">
            <v>3.9016133295067679</v>
          </cell>
          <cell r="AT76">
            <v>0</v>
          </cell>
          <cell r="AU76">
            <v>0</v>
          </cell>
          <cell r="AV76">
            <v>0</v>
          </cell>
          <cell r="AW76">
            <v>3691.8061282666667</v>
          </cell>
          <cell r="AX76">
            <v>0</v>
          </cell>
          <cell r="AY76">
            <v>0</v>
          </cell>
          <cell r="AZ76">
            <v>1.1560909070728355E-2</v>
          </cell>
          <cell r="BA76">
            <v>619.08668073750346</v>
          </cell>
          <cell r="BB76">
            <v>4.2980191664642009E-2</v>
          </cell>
          <cell r="BC76">
            <v>619.08668073750346</v>
          </cell>
          <cell r="BD76">
            <v>-0.10425307784874585</v>
          </cell>
        </row>
        <row r="77">
          <cell r="A77" t="str">
            <v>FTS0001</v>
          </cell>
          <cell r="B77" t="str">
            <v>NFTE9903</v>
          </cell>
          <cell r="C77" t="str">
            <v>Tesco Choc Chip Cookies 22% (250g)</v>
          </cell>
          <cell r="D77" t="str">
            <v>PL</v>
          </cell>
          <cell r="F77">
            <v>17992</v>
          </cell>
          <cell r="H77">
            <v>169</v>
          </cell>
          <cell r="I77">
            <v>31</v>
          </cell>
          <cell r="J77">
            <v>1.9375</v>
          </cell>
          <cell r="K77">
            <v>4290.6452205400001</v>
          </cell>
          <cell r="M77">
            <v>0.25</v>
          </cell>
          <cell r="N77">
            <v>20</v>
          </cell>
          <cell r="O77">
            <v>84</v>
          </cell>
          <cell r="P77">
            <v>5</v>
          </cell>
          <cell r="Q77">
            <v>780</v>
          </cell>
          <cell r="R77">
            <v>873.67700000000002</v>
          </cell>
          <cell r="S77">
            <v>0.89</v>
          </cell>
          <cell r="T77">
            <v>0.89</v>
          </cell>
          <cell r="AA77">
            <v>692.03955170000006</v>
          </cell>
          <cell r="AB77">
            <v>138.40791034</v>
          </cell>
          <cell r="AC77">
            <v>2768.1582067999998</v>
          </cell>
          <cell r="AD77">
            <v>5.6355160487859726</v>
          </cell>
          <cell r="AE77">
            <v>0.54</v>
          </cell>
          <cell r="AF77">
            <v>0.18</v>
          </cell>
          <cell r="AH77">
            <v>0.21999999999999997</v>
          </cell>
          <cell r="AI77">
            <v>353.125</v>
          </cell>
          <cell r="AJ77">
            <v>1.646022832694414</v>
          </cell>
          <cell r="AK77">
            <v>0</v>
          </cell>
          <cell r="AL77">
            <v>0</v>
          </cell>
          <cell r="AM77">
            <v>4.5946751074209875E-2</v>
          </cell>
          <cell r="AN77">
            <v>6.5840913307776555E-2</v>
          </cell>
          <cell r="AO77">
            <v>8.1166061886666157</v>
          </cell>
          <cell r="AP77">
            <v>1.6593212377333231</v>
          </cell>
          <cell r="AQ77">
            <v>8.2966061886666154</v>
          </cell>
          <cell r="AR77">
            <v>5.2416358948385664</v>
          </cell>
          <cell r="AS77">
            <v>5.2416358948385664</v>
          </cell>
          <cell r="AT77">
            <v>0</v>
          </cell>
          <cell r="AU77">
            <v>0</v>
          </cell>
          <cell r="AV77">
            <v>0</v>
          </cell>
          <cell r="AW77">
            <v>3432.5161764320001</v>
          </cell>
          <cell r="AX77">
            <v>0</v>
          </cell>
          <cell r="AY77">
            <v>0</v>
          </cell>
          <cell r="AZ77">
            <v>1.5437421948220056E-2</v>
          </cell>
          <cell r="BA77">
            <v>826.67394532718401</v>
          </cell>
          <cell r="BB77">
            <v>4.5946751074209875E-2</v>
          </cell>
          <cell r="BC77">
            <v>826.67394532718413</v>
          </cell>
          <cell r="BD77">
            <v>-3.6720357195790101E-2</v>
          </cell>
        </row>
        <row r="78">
          <cell r="A78" t="str">
            <v>FTS0002</v>
          </cell>
          <cell r="B78" t="str">
            <v>NFTE9904</v>
          </cell>
          <cell r="C78" t="str">
            <v>Tesco Choc Chip Cookies 22%, Twin Pack (500g)</v>
          </cell>
          <cell r="D78" t="str">
            <v>PL</v>
          </cell>
          <cell r="F78">
            <v>5408</v>
          </cell>
          <cell r="H78">
            <v>169</v>
          </cell>
          <cell r="I78">
            <v>31</v>
          </cell>
          <cell r="J78">
            <v>1.9375</v>
          </cell>
          <cell r="K78">
            <v>2860.4301470266669</v>
          </cell>
          <cell r="M78">
            <v>0.5</v>
          </cell>
          <cell r="N78">
            <v>15</v>
          </cell>
          <cell r="O78">
            <v>72</v>
          </cell>
          <cell r="P78">
            <v>7.5</v>
          </cell>
          <cell r="Q78">
            <v>780</v>
          </cell>
          <cell r="R78">
            <v>873.67700000000002</v>
          </cell>
          <cell r="S78">
            <v>0.89</v>
          </cell>
          <cell r="T78">
            <v>0.89</v>
          </cell>
          <cell r="AA78">
            <v>692.03955170000006</v>
          </cell>
          <cell r="AB78">
            <v>92.271940226666672</v>
          </cell>
          <cell r="AC78">
            <v>1384.0791034000001</v>
          </cell>
          <cell r="AD78">
            <v>8.4532740731789584</v>
          </cell>
          <cell r="AE78">
            <v>0.91500000000000004</v>
          </cell>
          <cell r="AF78">
            <v>0.255</v>
          </cell>
          <cell r="AH78">
            <v>0.315</v>
          </cell>
          <cell r="AI78">
            <v>353.125</v>
          </cell>
          <cell r="AJ78">
            <v>2.4690342490416208</v>
          </cell>
          <cell r="AK78">
            <v>0.38249999999999995</v>
          </cell>
          <cell r="AL78">
            <v>0</v>
          </cell>
          <cell r="AM78">
            <v>6.8920126611314803E-2</v>
          </cell>
          <cell r="AN78">
            <v>0.11406136996166483</v>
          </cell>
          <cell r="AO78">
            <v>12.642739153113084</v>
          </cell>
          <cell r="AP78">
            <v>1.7196985537484113</v>
          </cell>
          <cell r="AQ78">
            <v>12.897739153113084</v>
          </cell>
          <cell r="AR78">
            <v>2.3632809236844401</v>
          </cell>
          <cell r="AS78">
            <v>2.3632809236844401</v>
          </cell>
          <cell r="AT78">
            <v>0</v>
          </cell>
          <cell r="AU78">
            <v>0</v>
          </cell>
          <cell r="AV78">
            <v>0</v>
          </cell>
          <cell r="AW78">
            <v>2288.3441176213337</v>
          </cell>
          <cell r="AX78">
            <v>0</v>
          </cell>
          <cell r="AY78">
            <v>0</v>
          </cell>
          <cell r="AZ78">
            <v>6.9602249246310073E-3</v>
          </cell>
          <cell r="BA78">
            <v>372.72004471399043</v>
          </cell>
          <cell r="BB78">
            <v>6.8920126611314803E-2</v>
          </cell>
          <cell r="BC78">
            <v>372.72004471399043</v>
          </cell>
          <cell r="BD78">
            <v>-7.5050665680473E-2</v>
          </cell>
        </row>
        <row r="79">
          <cell r="A79" t="str">
            <v>NFTE9905</v>
          </cell>
          <cell r="B79" t="str">
            <v>FOM0006</v>
          </cell>
          <cell r="C79" t="str">
            <v>Tesco Cookie Choc Chip Cookies 14%</v>
          </cell>
          <cell r="D79" t="str">
            <v>PL</v>
          </cell>
          <cell r="F79">
            <v>5408</v>
          </cell>
          <cell r="G79" t="e">
            <v>#VALUE!</v>
          </cell>
          <cell r="H79">
            <v>233</v>
          </cell>
          <cell r="I79">
            <v>31</v>
          </cell>
          <cell r="J79">
            <v>1.9375</v>
          </cell>
          <cell r="K79">
            <v>7668.2275062413792</v>
          </cell>
          <cell r="M79">
            <v>0.14499999999999999</v>
          </cell>
          <cell r="N79">
            <v>20</v>
          </cell>
          <cell r="O79">
            <v>161</v>
          </cell>
          <cell r="P79">
            <v>2.9</v>
          </cell>
          <cell r="Q79">
            <v>641</v>
          </cell>
          <cell r="R79">
            <v>905.63099999999997</v>
          </cell>
          <cell r="S79">
            <v>0.89</v>
          </cell>
          <cell r="T79">
            <v>0.89</v>
          </cell>
          <cell r="AA79">
            <v>717.35031509999999</v>
          </cell>
          <cell r="AB79">
            <v>247.36217762068966</v>
          </cell>
          <cell r="AC79">
            <v>4947.2435524137936</v>
          </cell>
          <cell r="AD79">
            <v>2.5913419996767768</v>
          </cell>
          <cell r="AE79">
            <v>0.6</v>
          </cell>
          <cell r="AF79">
            <v>0.16400000000000001</v>
          </cell>
          <cell r="AH79">
            <v>0.14000000000000001</v>
          </cell>
          <cell r="AI79">
            <v>353.125</v>
          </cell>
          <cell r="AJ79">
            <v>0.92100814617871452</v>
          </cell>
          <cell r="AK79">
            <v>0</v>
          </cell>
          <cell r="AL79">
            <v>0</v>
          </cell>
          <cell r="AM79">
            <v>2.5865582178614895E-2</v>
          </cell>
          <cell r="AN79">
            <v>3.6840325847148581E-2</v>
          </cell>
          <cell r="AO79">
            <v>4.2856457789798856</v>
          </cell>
          <cell r="AP79">
            <v>1.5343606134413399</v>
          </cell>
          <cell r="AQ79">
            <v>4.4496457789798853</v>
          </cell>
          <cell r="AR79">
            <v>0.88155965566982086</v>
          </cell>
          <cell r="AS79">
            <v>0.88155965566982086</v>
          </cell>
          <cell r="AT79">
            <v>0</v>
          </cell>
          <cell r="AU79">
            <v>0</v>
          </cell>
          <cell r="AV79">
            <v>0</v>
          </cell>
          <cell r="AW79">
            <v>6134.5820049931035</v>
          </cell>
          <cell r="AX79">
            <v>0</v>
          </cell>
          <cell r="AY79">
            <v>0</v>
          </cell>
          <cell r="AZ79">
            <v>2.6121581404659078E-3</v>
          </cell>
          <cell r="BA79">
            <v>139.88106842194935</v>
          </cell>
          <cell r="BB79">
            <v>2.5865582178614895E-2</v>
          </cell>
          <cell r="BC79">
            <v>139.88106842194935</v>
          </cell>
          <cell r="BD79">
            <v>-2.9410274901380682E-2</v>
          </cell>
        </row>
        <row r="80">
          <cell r="A80" t="str">
            <v>NFTE9906</v>
          </cell>
          <cell r="B80" t="str">
            <v>FOM0005</v>
          </cell>
          <cell r="C80" t="str">
            <v>Tesco Double Choc Chip Cookies 14%</v>
          </cell>
          <cell r="D80" t="str">
            <v>PL</v>
          </cell>
          <cell r="F80">
            <v>3598.4000000000005</v>
          </cell>
          <cell r="G80" t="e">
            <v>#VALUE!</v>
          </cell>
          <cell r="H80">
            <v>233</v>
          </cell>
          <cell r="I80">
            <v>31</v>
          </cell>
          <cell r="J80">
            <v>1.9375</v>
          </cell>
          <cell r="K80">
            <v>7600.0574682758634</v>
          </cell>
          <cell r="M80">
            <v>0.14499999999999999</v>
          </cell>
          <cell r="N80">
            <v>20</v>
          </cell>
          <cell r="O80">
            <v>161</v>
          </cell>
          <cell r="P80">
            <v>2.9</v>
          </cell>
          <cell r="Q80">
            <v>674</v>
          </cell>
          <cell r="R80">
            <v>897.58</v>
          </cell>
          <cell r="S80">
            <v>0.89</v>
          </cell>
          <cell r="T80">
            <v>0.89</v>
          </cell>
          <cell r="AA80">
            <v>710.97311800000011</v>
          </cell>
          <cell r="AB80">
            <v>245.16314413793108</v>
          </cell>
          <cell r="AC80">
            <v>4903.2628827586213</v>
          </cell>
          <cell r="AD80">
            <v>2.7491897380007546</v>
          </cell>
          <cell r="AE80">
            <v>0.6</v>
          </cell>
          <cell r="AF80">
            <v>0.16400000000000001</v>
          </cell>
          <cell r="AH80">
            <v>0.14000000000000001</v>
          </cell>
          <cell r="AI80">
            <v>353.125</v>
          </cell>
          <cell r="AJ80">
            <v>0.92926928901265093</v>
          </cell>
          <cell r="AK80">
            <v>0</v>
          </cell>
          <cell r="AL80">
            <v>0</v>
          </cell>
          <cell r="AM80">
            <v>2.609758801889657E-2</v>
          </cell>
          <cell r="AN80">
            <v>3.7170771560506036E-2</v>
          </cell>
          <cell r="AO80">
            <v>4.4526527515698797</v>
          </cell>
          <cell r="AP80">
            <v>1.5919492246792688</v>
          </cell>
          <cell r="AQ80">
            <v>4.6166527515698794</v>
          </cell>
          <cell r="AR80">
            <v>0.59183763001471212</v>
          </cell>
          <cell r="AS80">
            <v>0.59183763001471212</v>
          </cell>
          <cell r="AT80">
            <v>0</v>
          </cell>
          <cell r="AU80">
            <v>0</v>
          </cell>
          <cell r="AV80">
            <v>0</v>
          </cell>
          <cell r="AW80">
            <v>6080.0459746206916</v>
          </cell>
          <cell r="AX80">
            <v>0</v>
          </cell>
          <cell r="AY80">
            <v>0</v>
          </cell>
          <cell r="AZ80">
            <v>1.7536799388832387E-3</v>
          </cell>
          <cell r="BA80">
            <v>93.90956072719743</v>
          </cell>
          <cell r="BB80">
            <v>2.609758801889657E-2</v>
          </cell>
          <cell r="BC80">
            <v>93.90956072719743</v>
          </cell>
          <cell r="BD80">
            <v>-2.9074635022973198E-2</v>
          </cell>
        </row>
        <row r="81">
          <cell r="A81" t="str">
            <v>FTS0003</v>
          </cell>
          <cell r="B81" t="str">
            <v>NFTE9907</v>
          </cell>
          <cell r="C81" t="str">
            <v>Ms Molly's Choc Chip Cookie 8% 250g</v>
          </cell>
          <cell r="D81" t="str">
            <v>PL</v>
          </cell>
          <cell r="F81">
            <v>14404</v>
          </cell>
          <cell r="H81">
            <v>169</v>
          </cell>
          <cell r="I81">
            <v>38</v>
          </cell>
          <cell r="J81">
            <v>2.375</v>
          </cell>
          <cell r="K81">
            <v>6581.4802239999999</v>
          </cell>
          <cell r="M81">
            <v>0.25</v>
          </cell>
          <cell r="N81">
            <v>16</v>
          </cell>
          <cell r="O81">
            <v>133</v>
          </cell>
          <cell r="P81">
            <v>4</v>
          </cell>
          <cell r="Q81">
            <v>593</v>
          </cell>
          <cell r="R81">
            <v>884.56</v>
          </cell>
          <cell r="S81">
            <v>0.88</v>
          </cell>
          <cell r="T81">
            <v>0.89</v>
          </cell>
          <cell r="AA81">
            <v>692.78739199999995</v>
          </cell>
          <cell r="AB81">
            <v>173.19684799999999</v>
          </cell>
          <cell r="AC81">
            <v>2771.1495679999998</v>
          </cell>
          <cell r="AD81">
            <v>3.4238498381910509</v>
          </cell>
          <cell r="AE81">
            <v>0.51200000000000001</v>
          </cell>
          <cell r="AF81">
            <v>0.184</v>
          </cell>
          <cell r="AH81">
            <v>0.17599999999999999</v>
          </cell>
          <cell r="AI81">
            <v>353.125</v>
          </cell>
          <cell r="AJ81">
            <v>1.0730868679428549</v>
          </cell>
          <cell r="AK81">
            <v>0</v>
          </cell>
          <cell r="AL81">
            <v>0</v>
          </cell>
          <cell r="AM81">
            <v>2.9953931514829345E-2</v>
          </cell>
          <cell r="AN81">
            <v>4.2923474717714197E-2</v>
          </cell>
          <cell r="AO81">
            <v>5.2478141123664441</v>
          </cell>
          <cell r="AP81">
            <v>1.3579535280916111</v>
          </cell>
          <cell r="AQ81">
            <v>5.4318141123664443</v>
          </cell>
          <cell r="AR81">
            <v>2.7357067691767938</v>
          </cell>
          <cell r="AS81">
            <v>2.7357067691767938</v>
          </cell>
          <cell r="AT81">
            <v>0</v>
          </cell>
          <cell r="AU81">
            <v>0</v>
          </cell>
          <cell r="AV81">
            <v>0</v>
          </cell>
          <cell r="AW81">
            <v>5265.1841791999996</v>
          </cell>
          <cell r="AX81">
            <v>0</v>
          </cell>
          <cell r="AY81">
            <v>0</v>
          </cell>
          <cell r="AZ81">
            <v>8.0570761818786543E-3</v>
          </cell>
          <cell r="BA81">
            <v>431.45642953960191</v>
          </cell>
          <cell r="BB81">
            <v>2.9953931514829345E-2</v>
          </cell>
          <cell r="BC81">
            <v>431.45642953960191</v>
          </cell>
          <cell r="BD81">
            <v>-0.01</v>
          </cell>
        </row>
        <row r="82">
          <cell r="A82" t="str">
            <v>FTS0004</v>
          </cell>
          <cell r="B82" t="str">
            <v>NFTE9908</v>
          </cell>
          <cell r="C82" t="str">
            <v>Tesco Oaties Biscuits (300g)</v>
          </cell>
          <cell r="D82" t="str">
            <v>PL</v>
          </cell>
          <cell r="F82">
            <v>7228</v>
          </cell>
          <cell r="H82">
            <v>310</v>
          </cell>
          <cell r="I82">
            <v>26</v>
          </cell>
          <cell r="J82">
            <v>1.625</v>
          </cell>
          <cell r="K82">
            <v>4851.195555555556</v>
          </cell>
          <cell r="M82">
            <v>0.3</v>
          </cell>
          <cell r="N82">
            <v>12</v>
          </cell>
          <cell r="O82">
            <v>133</v>
          </cell>
          <cell r="P82">
            <v>3.5999999999999996</v>
          </cell>
          <cell r="Q82">
            <v>527.58000000000004</v>
          </cell>
          <cell r="R82">
            <v>898</v>
          </cell>
          <cell r="S82">
            <v>0.88</v>
          </cell>
          <cell r="T82">
            <v>0.85</v>
          </cell>
          <cell r="AA82">
            <v>671.70399999999995</v>
          </cell>
          <cell r="AB82">
            <v>186.58444444444444</v>
          </cell>
          <cell r="AC82">
            <v>2239.0133333333333</v>
          </cell>
          <cell r="AD82">
            <v>2.8275669044698262</v>
          </cell>
          <cell r="AE82">
            <v>0.54600000000000004</v>
          </cell>
          <cell r="AF82">
            <v>0.1416</v>
          </cell>
          <cell r="AH82">
            <v>0.27</v>
          </cell>
          <cell r="AI82">
            <v>353.125</v>
          </cell>
          <cell r="AJ82">
            <v>1.4558266965577327</v>
          </cell>
          <cell r="AK82">
            <v>0</v>
          </cell>
          <cell r="AL82">
            <v>0.15176693213769069</v>
          </cell>
          <cell r="AM82">
            <v>0.05</v>
          </cell>
          <cell r="AN82">
            <v>5.8233067862309307E-2</v>
          </cell>
          <cell r="AO82">
            <v>5.3593936010275733</v>
          </cell>
          <cell r="AP82">
            <v>1.5280537780632151</v>
          </cell>
          <cell r="AQ82">
            <v>5.5009936010275737</v>
          </cell>
          <cell r="AR82">
            <v>1.8624274978264233</v>
          </cell>
          <cell r="AS82">
            <v>2</v>
          </cell>
          <cell r="AT82">
            <v>6.8786251086788375E-2</v>
          </cell>
          <cell r="AU82">
            <v>1.100580017388614</v>
          </cell>
          <cell r="AV82">
            <v>385.20300608601491</v>
          </cell>
          <cell r="AW82">
            <v>3614</v>
          </cell>
          <cell r="AX82">
            <v>0.10658633261926256</v>
          </cell>
          <cell r="AY82">
            <v>770.40601217202982</v>
          </cell>
          <cell r="AZ82">
            <v>5.8903068652369651E-3</v>
          </cell>
          <cell r="BA82">
            <v>315.42593263343946</v>
          </cell>
          <cell r="BB82">
            <v>4.3639448344416083E-2</v>
          </cell>
          <cell r="BC82">
            <v>315.42593263343946</v>
          </cell>
        </row>
        <row r="83">
          <cell r="A83" t="str">
            <v>FTS0005</v>
          </cell>
          <cell r="B83" t="str">
            <v>NFTE9909</v>
          </cell>
          <cell r="C83" t="str">
            <v>Tesco Chocolate Oaties Biscuits (300g)</v>
          </cell>
          <cell r="D83" t="str">
            <v>PL</v>
          </cell>
          <cell r="F83">
            <v>5408</v>
          </cell>
          <cell r="H83">
            <v>310</v>
          </cell>
          <cell r="I83">
            <v>26</v>
          </cell>
          <cell r="J83">
            <v>1.625</v>
          </cell>
          <cell r="K83">
            <v>6468.2607407407413</v>
          </cell>
          <cell r="M83">
            <v>0.3</v>
          </cell>
          <cell r="N83">
            <v>12</v>
          </cell>
          <cell r="O83">
            <v>133</v>
          </cell>
          <cell r="P83">
            <v>3.5999999999999996</v>
          </cell>
          <cell r="Q83">
            <v>527.58000000000004</v>
          </cell>
          <cell r="R83">
            <v>898</v>
          </cell>
          <cell r="S83">
            <v>0.88</v>
          </cell>
          <cell r="T83">
            <v>0.85</v>
          </cell>
          <cell r="U83">
            <v>0.25</v>
          </cell>
          <cell r="V83">
            <v>2.95</v>
          </cell>
          <cell r="W83">
            <v>0.93</v>
          </cell>
          <cell r="X83">
            <v>3.172043010752688</v>
          </cell>
          <cell r="Y83">
            <v>223.90133333333333</v>
          </cell>
          <cell r="Z83">
            <v>710.22465949820787</v>
          </cell>
          <cell r="AA83">
            <v>895.60533333333331</v>
          </cell>
          <cell r="AB83">
            <v>248.77925925925928</v>
          </cell>
          <cell r="AC83">
            <v>2985.3511111111111</v>
          </cell>
          <cell r="AD83">
            <v>4.9755138880297887</v>
          </cell>
          <cell r="AE83">
            <v>0.56520000000000004</v>
          </cell>
          <cell r="AF83">
            <v>0.18</v>
          </cell>
          <cell r="AH83">
            <v>0.192</v>
          </cell>
          <cell r="AI83">
            <v>353.125</v>
          </cell>
          <cell r="AJ83">
            <v>1.0918700224182993</v>
          </cell>
          <cell r="AK83">
            <v>0</v>
          </cell>
          <cell r="AL83">
            <v>0.11</v>
          </cell>
          <cell r="AM83">
            <v>0.05</v>
          </cell>
          <cell r="AN83">
            <v>0</v>
          </cell>
          <cell r="AO83">
            <v>6.9645839104480736</v>
          </cell>
          <cell r="AP83">
            <v>1.9846066417911317</v>
          </cell>
          <cell r="AQ83">
            <v>7.1445839104480733</v>
          </cell>
          <cell r="AR83">
            <v>1.045103200219144</v>
          </cell>
          <cell r="AS83">
            <v>2</v>
          </cell>
          <cell r="AT83">
            <v>0.47744839989042798</v>
          </cell>
          <cell r="AU83">
            <v>1.5</v>
          </cell>
          <cell r="AV83">
            <v>525</v>
          </cell>
          <cell r="AW83">
            <v>2704</v>
          </cell>
          <cell r="AX83">
            <v>0.19415680473372782</v>
          </cell>
          <cell r="AY83">
            <v>1050</v>
          </cell>
          <cell r="AZ83">
            <v>5.8903068652369651E-3</v>
          </cell>
          <cell r="BA83">
            <v>315.42593263343946</v>
          </cell>
          <cell r="BB83">
            <v>5.8325801152633035E-2</v>
          </cell>
          <cell r="BC83">
            <v>315.42593263343946</v>
          </cell>
          <cell r="BD83">
            <v>-0.02</v>
          </cell>
        </row>
        <row r="84">
          <cell r="A84" t="str">
            <v>NFTE9910</v>
          </cell>
          <cell r="B84" t="str">
            <v>FEB0001</v>
          </cell>
          <cell r="C84" t="str">
            <v>Tesco Milk Choc Chunk 160g</v>
          </cell>
          <cell r="D84" t="str">
            <v>PL</v>
          </cell>
          <cell r="F84">
            <v>2500.1541835447761</v>
          </cell>
          <cell r="G84" t="e">
            <v>#VALUE!</v>
          </cell>
          <cell r="H84">
            <v>353</v>
          </cell>
          <cell r="I84">
            <v>31</v>
          </cell>
          <cell r="J84">
            <v>1.9375</v>
          </cell>
          <cell r="K84">
            <v>11363.460824270833</v>
          </cell>
          <cell r="M84">
            <v>0.16</v>
          </cell>
          <cell r="N84">
            <v>12</v>
          </cell>
          <cell r="O84">
            <v>160</v>
          </cell>
          <cell r="P84">
            <v>1.92</v>
          </cell>
          <cell r="Q84">
            <v>1789.45</v>
          </cell>
          <cell r="R84">
            <v>888.52599999999995</v>
          </cell>
          <cell r="S84">
            <v>0.89</v>
          </cell>
          <cell r="T84">
            <v>0.89</v>
          </cell>
          <cell r="AA84">
            <v>703.80144459999997</v>
          </cell>
          <cell r="AB84">
            <v>366.56325239583333</v>
          </cell>
          <cell r="AC84">
            <v>4398.7590287499997</v>
          </cell>
          <cell r="AD84">
            <v>4.8816950098087366</v>
          </cell>
          <cell r="AE84">
            <v>0.59040000000000004</v>
          </cell>
          <cell r="AF84">
            <v>8.0399999999999999E-2</v>
          </cell>
          <cell r="AH84">
            <v>0.10799999999999998</v>
          </cell>
          <cell r="AI84">
            <v>353.125</v>
          </cell>
          <cell r="AJ84">
            <v>0.62150960074728678</v>
          </cell>
          <cell r="AK84">
            <v>0</v>
          </cell>
          <cell r="AL84">
            <v>0</v>
          </cell>
          <cell r="AM84">
            <v>0</v>
          </cell>
          <cell r="AN84">
            <v>2.4860384029891471E-2</v>
          </cell>
          <cell r="AO84">
            <v>5.9364809393989999</v>
          </cell>
          <cell r="AP84">
            <v>3.1337921559369795</v>
          </cell>
          <cell r="AQ84">
            <v>6.0168809393989999</v>
          </cell>
          <cell r="AR84">
            <v>0.27502120857018986</v>
          </cell>
          <cell r="AT84">
            <v>0</v>
          </cell>
          <cell r="AU84">
            <v>0</v>
          </cell>
          <cell r="AV84">
            <v>0</v>
          </cell>
          <cell r="AW84">
            <v>9090.7686594166662</v>
          </cell>
          <cell r="AX84">
            <v>0</v>
          </cell>
          <cell r="AY84">
            <v>0</v>
          </cell>
          <cell r="AZ84">
            <v>0</v>
          </cell>
          <cell r="BA84">
            <v>0</v>
          </cell>
          <cell r="BB84">
            <v>0</v>
          </cell>
          <cell r="BC84">
            <v>0</v>
          </cell>
          <cell r="BD84">
            <v>-0.28998405518690751</v>
          </cell>
        </row>
        <row r="85">
          <cell r="A85" t="str">
            <v>NFTE9911</v>
          </cell>
          <cell r="B85" t="str">
            <v>FEB0004</v>
          </cell>
          <cell r="C85" t="str">
            <v>Tesco Chocolate Enrobed Milk Chocolate Chunk Cookie 160g</v>
          </cell>
          <cell r="D85" t="str">
            <v>PL</v>
          </cell>
          <cell r="F85">
            <v>2512.153582825787</v>
          </cell>
          <cell r="G85" t="e">
            <v>#VALUE!</v>
          </cell>
          <cell r="H85">
            <v>403</v>
          </cell>
          <cell r="I85">
            <v>31</v>
          </cell>
          <cell r="J85">
            <v>1.9375</v>
          </cell>
          <cell r="K85">
            <v>13644.542733772323</v>
          </cell>
          <cell r="M85">
            <v>0.16</v>
          </cell>
          <cell r="N85">
            <v>12</v>
          </cell>
          <cell r="O85">
            <v>160</v>
          </cell>
          <cell r="P85">
            <v>1.92</v>
          </cell>
          <cell r="Q85">
            <v>1682</v>
          </cell>
          <cell r="R85">
            <v>860.06700000000001</v>
          </cell>
          <cell r="S85">
            <v>0.89</v>
          </cell>
          <cell r="T85">
            <v>0.89</v>
          </cell>
          <cell r="U85">
            <v>0.16</v>
          </cell>
          <cell r="V85">
            <v>2.95</v>
          </cell>
          <cell r="W85">
            <v>0.93</v>
          </cell>
          <cell r="X85">
            <v>3.172043010752688</v>
          </cell>
          <cell r="Y85">
            <v>163.82228571428573</v>
          </cell>
          <cell r="Z85">
            <v>519.65133640552995</v>
          </cell>
          <cell r="AA85">
            <v>845.08135641428578</v>
          </cell>
          <cell r="AB85">
            <v>440.14653979910719</v>
          </cell>
          <cell r="AC85">
            <v>5281.7584775892865</v>
          </cell>
          <cell r="AD85">
            <v>5.0020871171915005</v>
          </cell>
          <cell r="AE85">
            <v>0.59040000000000004</v>
          </cell>
          <cell r="AF85">
            <v>8.0399999999999999E-2</v>
          </cell>
          <cell r="AH85">
            <v>0.10799999999999998</v>
          </cell>
          <cell r="AI85">
            <v>353.125</v>
          </cell>
          <cell r="AJ85">
            <v>0.51760620621746711</v>
          </cell>
          <cell r="AK85">
            <v>0</v>
          </cell>
          <cell r="AL85">
            <v>0</v>
          </cell>
          <cell r="AM85">
            <v>0</v>
          </cell>
          <cell r="AN85">
            <v>2.0704248248698685E-2</v>
          </cell>
          <cell r="AO85">
            <v>5.9919690483420673</v>
          </cell>
          <cell r="AP85">
            <v>3.1626922126781603</v>
          </cell>
          <cell r="AQ85">
            <v>6.0723690483420674</v>
          </cell>
          <cell r="AR85">
            <v>0.23014270538797754</v>
          </cell>
          <cell r="AT85">
            <v>0</v>
          </cell>
          <cell r="AU85">
            <v>0</v>
          </cell>
          <cell r="AV85">
            <v>0</v>
          </cell>
          <cell r="AW85">
            <v>10915.634187017858</v>
          </cell>
          <cell r="AX85">
            <v>0</v>
          </cell>
          <cell r="AY85">
            <v>0</v>
          </cell>
          <cell r="AZ85">
            <v>0</v>
          </cell>
          <cell r="BA85">
            <v>0</v>
          </cell>
          <cell r="BB85">
            <v>0</v>
          </cell>
          <cell r="BC85">
            <v>0</v>
          </cell>
          <cell r="BD85">
            <v>-0.24682852331562916</v>
          </cell>
        </row>
        <row r="86">
          <cell r="A86" t="str">
            <v>NFTE9912</v>
          </cell>
          <cell r="B86" t="str">
            <v>FEB0005</v>
          </cell>
          <cell r="C86" t="str">
            <v>Tesco Stem Ginger &amp; Chocolate Chunk Cookie 160g</v>
          </cell>
          <cell r="D86" t="str">
            <v>PL</v>
          </cell>
          <cell r="F86">
            <v>2378.4366898547059</v>
          </cell>
          <cell r="G86" t="e">
            <v>#VALUE!</v>
          </cell>
          <cell r="H86">
            <v>353</v>
          </cell>
          <cell r="I86">
            <v>31</v>
          </cell>
          <cell r="J86">
            <v>1.9375</v>
          </cell>
          <cell r="K86">
            <v>11524.821082968752</v>
          </cell>
          <cell r="M86">
            <v>0.16</v>
          </cell>
          <cell r="N86">
            <v>12</v>
          </cell>
          <cell r="O86">
            <v>160</v>
          </cell>
          <cell r="P86">
            <v>1.92</v>
          </cell>
          <cell r="Q86">
            <v>1921</v>
          </cell>
          <cell r="R86">
            <v>901.14300000000003</v>
          </cell>
          <cell r="S86">
            <v>0.89</v>
          </cell>
          <cell r="T86">
            <v>0.89</v>
          </cell>
          <cell r="AA86">
            <v>713.79537030000006</v>
          </cell>
          <cell r="AB86">
            <v>371.76842203125005</v>
          </cell>
          <cell r="AC86">
            <v>4461.2210643750004</v>
          </cell>
          <cell r="AD86">
            <v>5.1671951843142958</v>
          </cell>
          <cell r="AE86">
            <v>0.59040000000000004</v>
          </cell>
          <cell r="AF86">
            <v>8.0399999999999999E-2</v>
          </cell>
          <cell r="AH86">
            <v>0.10799999999999998</v>
          </cell>
          <cell r="AI86">
            <v>353.125</v>
          </cell>
          <cell r="AJ86">
            <v>0.61280777802588893</v>
          </cell>
          <cell r="AK86">
            <v>0</v>
          </cell>
          <cell r="AL86">
            <v>0.15761419148172853</v>
          </cell>
          <cell r="AM86">
            <v>0</v>
          </cell>
          <cell r="AN86">
            <v>2.4512311121035558E-2</v>
          </cell>
          <cell r="AO86">
            <v>6.308221319299963</v>
          </cell>
          <cell r="AP86">
            <v>3.3274069371353976</v>
          </cell>
          <cell r="AQ86">
            <v>6.388621319299963</v>
          </cell>
          <cell r="AR86">
            <v>0.257968938599135</v>
          </cell>
          <cell r="AT86">
            <v>0.63872342254235459</v>
          </cell>
          <cell r="AU86">
            <v>1.5</v>
          </cell>
          <cell r="AV86">
            <v>525</v>
          </cell>
          <cell r="AW86">
            <v>3330.9183333333331</v>
          </cell>
          <cell r="AX86">
            <v>0.15761419148172853</v>
          </cell>
          <cell r="AY86">
            <v>0</v>
          </cell>
          <cell r="AZ86">
            <v>0</v>
          </cell>
          <cell r="BA86">
            <v>0</v>
          </cell>
          <cell r="BB86">
            <v>0</v>
          </cell>
          <cell r="BC86">
            <v>0</v>
          </cell>
          <cell r="BD86">
            <v>-0.35230814564304463</v>
          </cell>
        </row>
        <row r="87">
          <cell r="A87" t="str">
            <v>NFTE9913</v>
          </cell>
          <cell r="B87" t="str">
            <v>FEB0012</v>
          </cell>
          <cell r="C87" t="str">
            <v>Tesco Granola Crunchy with Nuts &amp; Seeds 160g</v>
          </cell>
          <cell r="D87" t="str">
            <v>PL</v>
          </cell>
          <cell r="F87">
            <v>2510.607879911222</v>
          </cell>
          <cell r="G87" t="e">
            <v>#VALUE!</v>
          </cell>
          <cell r="H87">
            <v>353</v>
          </cell>
          <cell r="I87">
            <v>31</v>
          </cell>
          <cell r="J87">
            <v>1.9375</v>
          </cell>
          <cell r="K87">
            <v>9830.7458333333343</v>
          </cell>
          <cell r="M87">
            <v>0.16</v>
          </cell>
          <cell r="N87">
            <v>12</v>
          </cell>
          <cell r="O87">
            <v>160</v>
          </cell>
          <cell r="P87">
            <v>1.92</v>
          </cell>
          <cell r="Q87">
            <v>1487</v>
          </cell>
          <cell r="R87">
            <v>814</v>
          </cell>
          <cell r="S87">
            <v>0.88</v>
          </cell>
          <cell r="T87">
            <v>0.85</v>
          </cell>
          <cell r="AA87">
            <v>608.87200000000007</v>
          </cell>
          <cell r="AB87">
            <v>317.12083333333339</v>
          </cell>
          <cell r="AC87">
            <v>3805.4500000000007</v>
          </cell>
          <cell r="AD87">
            <v>4.6890643682087525</v>
          </cell>
          <cell r="AE87">
            <v>0.59040000000000004</v>
          </cell>
          <cell r="AF87">
            <v>9.8400000000000015E-2</v>
          </cell>
          <cell r="AH87">
            <v>0.10799999999999998</v>
          </cell>
          <cell r="AI87">
            <v>353.125</v>
          </cell>
          <cell r="AJ87">
            <v>0.71840937806092187</v>
          </cell>
          <cell r="AK87">
            <v>0</v>
          </cell>
          <cell r="AL87">
            <v>0</v>
          </cell>
          <cell r="AM87">
            <v>0</v>
          </cell>
          <cell r="AN87">
            <v>2.8736375122436875E-2</v>
          </cell>
          <cell r="AO87">
            <v>5.945969847182532</v>
          </cell>
          <cell r="AP87">
            <v>3.1481092954075689</v>
          </cell>
          <cell r="AQ87">
            <v>6.0443698471825318</v>
          </cell>
          <cell r="AR87">
            <v>0.31922907001095052</v>
          </cell>
          <cell r="AT87">
            <v>0</v>
          </cell>
          <cell r="AU87">
            <v>0</v>
          </cell>
          <cell r="AV87">
            <v>0</v>
          </cell>
          <cell r="AW87">
            <v>7864.5966666666682</v>
          </cell>
          <cell r="AX87">
            <v>0</v>
          </cell>
          <cell r="AY87">
            <v>0</v>
          </cell>
          <cell r="AZ87">
            <v>0</v>
          </cell>
          <cell r="BA87">
            <v>0</v>
          </cell>
          <cell r="BB87">
            <v>0</v>
          </cell>
          <cell r="BC87">
            <v>0</v>
          </cell>
          <cell r="BD87">
            <v>-0.18864027420958052</v>
          </cell>
        </row>
        <row r="88">
          <cell r="A88" t="str">
            <v>NFTE9914</v>
          </cell>
          <cell r="B88" t="str">
            <v>FEB0033</v>
          </cell>
          <cell r="C88" t="str">
            <v>Tesco Triple Chocolate Chunk 160g</v>
          </cell>
          <cell r="D88" t="str">
            <v>PL</v>
          </cell>
          <cell r="F88">
            <v>2315.0495024431652</v>
          </cell>
          <cell r="G88" t="e">
            <v>#VALUE!</v>
          </cell>
          <cell r="H88">
            <v>353</v>
          </cell>
          <cell r="I88">
            <v>31</v>
          </cell>
          <cell r="J88">
            <v>1.9375</v>
          </cell>
          <cell r="K88">
            <v>10872.141409322918</v>
          </cell>
          <cell r="M88">
            <v>0.16</v>
          </cell>
          <cell r="N88">
            <v>12</v>
          </cell>
          <cell r="O88">
            <v>160</v>
          </cell>
          <cell r="P88">
            <v>1.92</v>
          </cell>
          <cell r="Q88">
            <v>1847</v>
          </cell>
          <cell r="R88">
            <v>850.10900000000004</v>
          </cell>
          <cell r="S88">
            <v>0.89</v>
          </cell>
          <cell r="T88">
            <v>0.89</v>
          </cell>
          <cell r="AA88">
            <v>673.37133890000007</v>
          </cell>
          <cell r="AB88">
            <v>350.71423901041669</v>
          </cell>
          <cell r="AC88">
            <v>4208.5708681249998</v>
          </cell>
          <cell r="AD88">
            <v>5.2663958133309254</v>
          </cell>
          <cell r="AE88">
            <v>0.59040000000000004</v>
          </cell>
          <cell r="AF88">
            <v>9.8400000000000015E-2</v>
          </cell>
          <cell r="AH88">
            <v>8.4000000000000005E-2</v>
          </cell>
          <cell r="AI88">
            <v>353.125</v>
          </cell>
          <cell r="AJ88">
            <v>0.64959603946503763</v>
          </cell>
          <cell r="AK88">
            <v>0</v>
          </cell>
          <cell r="AL88">
            <v>0.34001562992482953</v>
          </cell>
          <cell r="AM88">
            <v>0</v>
          </cell>
          <cell r="AN88">
            <v>2.5983841578601508E-2</v>
          </cell>
          <cell r="AO88">
            <v>6.6678109715627318</v>
          </cell>
          <cell r="AP88">
            <v>3.5240682143555895</v>
          </cell>
          <cell r="AQ88">
            <v>6.7662109715627317</v>
          </cell>
          <cell r="AR88">
            <v>0.26616760848718335</v>
          </cell>
          <cell r="AT88">
            <v>0.82247670806798945</v>
          </cell>
          <cell r="AU88">
            <v>1.5</v>
          </cell>
          <cell r="AV88">
            <v>525</v>
          </cell>
          <cell r="AW88">
            <v>1544.0466666666669</v>
          </cell>
          <cell r="AX88">
            <v>0.34001562992482953</v>
          </cell>
          <cell r="AY88">
            <v>0</v>
          </cell>
          <cell r="AZ88">
            <v>0</v>
          </cell>
          <cell r="BA88">
            <v>0</v>
          </cell>
          <cell r="BB88">
            <v>0</v>
          </cell>
          <cell r="BC88">
            <v>0</v>
          </cell>
          <cell r="BD88">
            <v>-0.28858035273666943</v>
          </cell>
        </row>
        <row r="89">
          <cell r="A89" t="str">
            <v>NFDU9901</v>
          </cell>
          <cell r="B89" t="str">
            <v>NFTE9903</v>
          </cell>
          <cell r="C89" t="str">
            <v>Dunnes PL Choc Chip Cookie Type (assume per Tesco)</v>
          </cell>
          <cell r="D89" t="str">
            <v>PL</v>
          </cell>
          <cell r="F89">
            <v>16955.977210884841</v>
          </cell>
          <cell r="G89" t="e">
            <v>#VALUE!</v>
          </cell>
          <cell r="H89">
            <v>169</v>
          </cell>
          <cell r="I89">
            <v>31</v>
          </cell>
          <cell r="J89">
            <v>1.9375</v>
          </cell>
          <cell r="K89">
            <v>4290.6452205400001</v>
          </cell>
          <cell r="M89">
            <v>0.25</v>
          </cell>
          <cell r="N89">
            <v>20</v>
          </cell>
          <cell r="O89">
            <v>105</v>
          </cell>
          <cell r="P89">
            <v>5</v>
          </cell>
          <cell r="Q89">
            <v>780</v>
          </cell>
          <cell r="R89">
            <v>873.67700000000002</v>
          </cell>
          <cell r="S89">
            <v>0.89</v>
          </cell>
          <cell r="T89">
            <v>0.89</v>
          </cell>
          <cell r="AA89">
            <v>692.03955170000006</v>
          </cell>
          <cell r="AB89">
            <v>138.40791034</v>
          </cell>
          <cell r="AC89">
            <v>2768.1582067999998</v>
          </cell>
          <cell r="AD89">
            <v>5.6355160487859726</v>
          </cell>
          <cell r="AE89">
            <v>0.54</v>
          </cell>
          <cell r="AF89">
            <v>0.18</v>
          </cell>
          <cell r="AH89">
            <v>0.21999999999999997</v>
          </cell>
          <cell r="AI89">
            <v>353.125</v>
          </cell>
          <cell r="AJ89">
            <v>1.646022832694414</v>
          </cell>
          <cell r="AK89">
            <v>0</v>
          </cell>
          <cell r="AL89">
            <v>0</v>
          </cell>
          <cell r="AM89">
            <v>4.6226886291483929E-2</v>
          </cell>
          <cell r="AN89">
            <v>6.5840913307776555E-2</v>
          </cell>
          <cell r="AO89">
            <v>8.1151265354842472</v>
          </cell>
          <cell r="AP89">
            <v>1.6590253070968495</v>
          </cell>
          <cell r="AQ89">
            <v>8.2951265354842469</v>
          </cell>
          <cell r="AR89">
            <v>4.9398098477455923</v>
          </cell>
          <cell r="AS89">
            <v>4.9398098477455923</v>
          </cell>
          <cell r="AT89">
            <v>0</v>
          </cell>
          <cell r="AU89">
            <v>0</v>
          </cell>
          <cell r="AV89">
            <v>0</v>
          </cell>
          <cell r="AW89">
            <v>3432.5161764320001</v>
          </cell>
          <cell r="AX89">
            <v>0</v>
          </cell>
          <cell r="AY89">
            <v>0</v>
          </cell>
          <cell r="AZ89">
            <v>1.4637199448899466E-2</v>
          </cell>
          <cell r="BA89">
            <v>783.82203048856638</v>
          </cell>
          <cell r="BB89">
            <v>4.6226886291483929E-2</v>
          </cell>
          <cell r="BC89">
            <v>783.82203048856638</v>
          </cell>
          <cell r="BD89">
            <v>-3.8480145595439684E-2</v>
          </cell>
        </row>
        <row r="90">
          <cell r="A90" t="str">
            <v>NFDU9902</v>
          </cell>
          <cell r="B90" t="str">
            <v>NFTE9901</v>
          </cell>
          <cell r="C90" t="str">
            <v>Dunnes PL Ginger Nut Type (assume per Tesco)</v>
          </cell>
          <cell r="D90" t="str">
            <v>PL</v>
          </cell>
          <cell r="F90">
            <v>23581.968244049101</v>
          </cell>
          <cell r="G90" t="e">
            <v>#VALUE!</v>
          </cell>
          <cell r="H90">
            <v>141</v>
          </cell>
          <cell r="I90">
            <v>31</v>
          </cell>
          <cell r="J90">
            <v>1.9375</v>
          </cell>
          <cell r="K90">
            <v>4614.7576603333337</v>
          </cell>
          <cell r="M90">
            <v>0.3</v>
          </cell>
          <cell r="N90">
            <v>16</v>
          </cell>
          <cell r="O90">
            <v>90</v>
          </cell>
          <cell r="P90">
            <v>4.8</v>
          </cell>
          <cell r="Q90">
            <v>467</v>
          </cell>
          <cell r="R90">
            <v>912.33799999999997</v>
          </cell>
          <cell r="S90">
            <v>0.88</v>
          </cell>
          <cell r="T90">
            <v>0.89</v>
          </cell>
          <cell r="AA90">
            <v>714.54312160000006</v>
          </cell>
          <cell r="AB90">
            <v>148.86315033333335</v>
          </cell>
          <cell r="AC90">
            <v>2381.8104053333336</v>
          </cell>
          <cell r="AD90">
            <v>3.1371094791041085</v>
          </cell>
          <cell r="AE90">
            <v>0.70399999999999996</v>
          </cell>
          <cell r="AF90">
            <v>0.184</v>
          </cell>
          <cell r="AH90">
            <v>0.17599999999999999</v>
          </cell>
          <cell r="AI90">
            <v>353.125</v>
          </cell>
          <cell r="AJ90">
            <v>1.5304162254730103</v>
          </cell>
          <cell r="AK90">
            <v>0</v>
          </cell>
          <cell r="AL90">
            <v>0</v>
          </cell>
          <cell r="AM90">
            <v>4.2980191664642002E-2</v>
          </cell>
          <cell r="AN90">
            <v>6.1216649018920412E-2</v>
          </cell>
          <cell r="AO90">
            <v>5.5301501579287322</v>
          </cell>
          <cell r="AP90">
            <v>1.1904479495684859</v>
          </cell>
          <cell r="AQ90">
            <v>5.7141501579287324</v>
          </cell>
          <cell r="AR90">
            <v>6.3876507662446045</v>
          </cell>
          <cell r="AS90">
            <v>6.3876507662446045</v>
          </cell>
          <cell r="AT90">
            <v>0</v>
          </cell>
          <cell r="AU90">
            <v>0</v>
          </cell>
          <cell r="AV90">
            <v>0</v>
          </cell>
          <cell r="AW90">
            <v>3691.8061282666667</v>
          </cell>
          <cell r="AX90">
            <v>0</v>
          </cell>
          <cell r="AY90">
            <v>0</v>
          </cell>
          <cell r="AZ90">
            <v>1.892731120371114E-2</v>
          </cell>
          <cell r="BA90">
            <v>1013.5575149587315</v>
          </cell>
          <cell r="BB90">
            <v>4.2980191664642002E-2</v>
          </cell>
          <cell r="BC90">
            <v>1013.5575149587315</v>
          </cell>
          <cell r="BD90">
            <v>-0.12157238733196178</v>
          </cell>
        </row>
        <row r="91">
          <cell r="A91" t="str">
            <v>NFMO9901</v>
          </cell>
          <cell r="B91" t="str">
            <v>NFTE9901</v>
          </cell>
          <cell r="C91" t="str">
            <v>Morrisons Ginger Nut 300g (per Tesco)</v>
          </cell>
          <cell r="D91" t="str">
            <v>PL</v>
          </cell>
          <cell r="F91">
            <v>0</v>
          </cell>
          <cell r="G91" t="e">
            <v>#VALUE!</v>
          </cell>
          <cell r="H91">
            <v>141</v>
          </cell>
          <cell r="I91">
            <v>31</v>
          </cell>
          <cell r="J91">
            <v>1.9375</v>
          </cell>
          <cell r="K91">
            <v>4614.7576603333337</v>
          </cell>
          <cell r="M91">
            <v>0.3</v>
          </cell>
          <cell r="N91">
            <v>16</v>
          </cell>
          <cell r="O91">
            <v>90</v>
          </cell>
          <cell r="P91">
            <v>4.8</v>
          </cell>
          <cell r="Q91">
            <v>467</v>
          </cell>
          <cell r="R91">
            <v>912.33799999999997</v>
          </cell>
          <cell r="S91">
            <v>0.88</v>
          </cell>
          <cell r="T91">
            <v>0.89</v>
          </cell>
          <cell r="AA91">
            <v>714.54312160000006</v>
          </cell>
          <cell r="AB91">
            <v>148.86315033333335</v>
          </cell>
          <cell r="AC91">
            <v>2381.8104053333336</v>
          </cell>
          <cell r="AD91">
            <v>3.1371094791041085</v>
          </cell>
          <cell r="AE91">
            <v>0.70399999999999996</v>
          </cell>
          <cell r="AF91">
            <v>0.5</v>
          </cell>
          <cell r="AH91">
            <v>0.17599999999999999</v>
          </cell>
          <cell r="AI91">
            <v>353.125</v>
          </cell>
          <cell r="AJ91">
            <v>1.5304162254730103</v>
          </cell>
          <cell r="AK91">
            <v>0</v>
          </cell>
          <cell r="AL91">
            <v>0</v>
          </cell>
          <cell r="AM91">
            <v>0</v>
          </cell>
          <cell r="AN91">
            <v>6.1216649018920412E-2</v>
          </cell>
          <cell r="AO91">
            <v>5.6087423535960852</v>
          </cell>
          <cell r="AP91">
            <v>1.2726546569991846</v>
          </cell>
          <cell r="AQ91">
            <v>6.1087423535960852</v>
          </cell>
          <cell r="AR91">
            <v>0</v>
          </cell>
          <cell r="AS91">
            <v>0</v>
          </cell>
          <cell r="AT91">
            <v>0</v>
          </cell>
          <cell r="AU91">
            <v>0</v>
          </cell>
          <cell r="AV91">
            <v>0</v>
          </cell>
          <cell r="AW91">
            <v>0</v>
          </cell>
          <cell r="AX91">
            <v>0</v>
          </cell>
          <cell r="AY91">
            <v>0</v>
          </cell>
          <cell r="AZ91">
            <v>0</v>
          </cell>
          <cell r="BA91">
            <v>0</v>
          </cell>
          <cell r="BB91">
            <v>0</v>
          </cell>
          <cell r="BC91">
            <v>0</v>
          </cell>
          <cell r="BD91">
            <v>0</v>
          </cell>
        </row>
        <row r="92">
          <cell r="A92" t="str">
            <v>NFMO9902</v>
          </cell>
          <cell r="B92" t="str">
            <v>NFTE9903</v>
          </cell>
          <cell r="C92" t="str">
            <v>Morrisons Choc Chip Cookies 22% (per Tesco)</v>
          </cell>
          <cell r="D92" t="str">
            <v>PL</v>
          </cell>
          <cell r="F92">
            <v>0</v>
          </cell>
          <cell r="G92" t="e">
            <v>#VALUE!</v>
          </cell>
          <cell r="H92">
            <v>169</v>
          </cell>
          <cell r="I92">
            <v>38</v>
          </cell>
          <cell r="J92">
            <v>2.375</v>
          </cell>
          <cell r="K92">
            <v>5259.5005929199997</v>
          </cell>
          <cell r="M92">
            <v>0.25</v>
          </cell>
          <cell r="N92">
            <v>20</v>
          </cell>
          <cell r="O92">
            <v>105</v>
          </cell>
          <cell r="P92">
            <v>5</v>
          </cell>
          <cell r="Q92">
            <v>780</v>
          </cell>
          <cell r="R92">
            <v>873.67700000000002</v>
          </cell>
          <cell r="S92">
            <v>0.89</v>
          </cell>
          <cell r="T92">
            <v>0.89</v>
          </cell>
          <cell r="AA92">
            <v>692.03955170000006</v>
          </cell>
          <cell r="AB92">
            <v>138.40791034</v>
          </cell>
          <cell r="AC92">
            <v>2768.1582067999998</v>
          </cell>
          <cell r="AD92">
            <v>5.6355160487859726</v>
          </cell>
          <cell r="AE92">
            <v>0.54</v>
          </cell>
          <cell r="AF92">
            <v>0.42857142857142855</v>
          </cell>
          <cell r="AH92">
            <v>0.21999999999999997</v>
          </cell>
          <cell r="AI92">
            <v>353.125</v>
          </cell>
          <cell r="AJ92">
            <v>1.646022832694414</v>
          </cell>
          <cell r="AK92">
            <v>0</v>
          </cell>
          <cell r="AL92">
            <v>0</v>
          </cell>
          <cell r="AM92">
            <v>0</v>
          </cell>
          <cell r="AN92">
            <v>6.5840913307776555E-2</v>
          </cell>
          <cell r="AO92">
            <v>8.1073797947882031</v>
          </cell>
          <cell r="AP92">
            <v>1.7071902446719265</v>
          </cell>
          <cell r="AQ92">
            <v>8.535951223359632</v>
          </cell>
          <cell r="AR92">
            <v>0</v>
          </cell>
          <cell r="AS92">
            <v>0</v>
          </cell>
          <cell r="AT92">
            <v>0</v>
          </cell>
          <cell r="AU92">
            <v>0</v>
          </cell>
          <cell r="AV92">
            <v>0</v>
          </cell>
          <cell r="AW92">
            <v>0</v>
          </cell>
          <cell r="AX92">
            <v>0</v>
          </cell>
          <cell r="AY92">
            <v>0</v>
          </cell>
          <cell r="AZ92">
            <v>0</v>
          </cell>
          <cell r="BA92">
            <v>0</v>
          </cell>
          <cell r="BB92">
            <v>0</v>
          </cell>
          <cell r="BC92">
            <v>0</v>
          </cell>
          <cell r="BD92">
            <v>0</v>
          </cell>
        </row>
        <row r="93">
          <cell r="A93" t="str">
            <v>NFMO9903</v>
          </cell>
          <cell r="B93" t="str">
            <v>NFTE9907</v>
          </cell>
          <cell r="C93" t="str">
            <v>Morrisons Everyday Value CC Cookie 8% (per Tesco)</v>
          </cell>
          <cell r="D93" t="str">
            <v>PL</v>
          </cell>
          <cell r="F93">
            <v>0</v>
          </cell>
          <cell r="G93" t="e">
            <v>#VALUE!</v>
          </cell>
          <cell r="H93">
            <v>169</v>
          </cell>
          <cell r="I93">
            <v>38</v>
          </cell>
          <cell r="J93">
            <v>2.375</v>
          </cell>
          <cell r="K93">
            <v>6581.4802239999999</v>
          </cell>
          <cell r="M93">
            <v>0.25</v>
          </cell>
          <cell r="N93">
            <v>16</v>
          </cell>
          <cell r="O93">
            <v>105</v>
          </cell>
          <cell r="P93">
            <v>4</v>
          </cell>
          <cell r="Q93">
            <v>593</v>
          </cell>
          <cell r="R93">
            <v>884.56</v>
          </cell>
          <cell r="S93">
            <v>0.88</v>
          </cell>
          <cell r="T93">
            <v>0.89</v>
          </cell>
          <cell r="AA93">
            <v>692.78739199999995</v>
          </cell>
          <cell r="AB93">
            <v>173.19684799999999</v>
          </cell>
          <cell r="AC93">
            <v>2771.1495679999998</v>
          </cell>
          <cell r="AD93">
            <v>3.4238498381910509</v>
          </cell>
          <cell r="AE93">
            <v>0.51200000000000001</v>
          </cell>
          <cell r="AF93">
            <v>0.42857142857142855</v>
          </cell>
          <cell r="AH93">
            <v>0.17599999999999999</v>
          </cell>
          <cell r="AI93">
            <v>353.125</v>
          </cell>
          <cell r="AJ93">
            <v>1.0730868679428549</v>
          </cell>
          <cell r="AK93">
            <v>0</v>
          </cell>
          <cell r="AL93">
            <v>0</v>
          </cell>
          <cell r="AM93">
            <v>0</v>
          </cell>
          <cell r="AN93">
            <v>4.2923474717714197E-2</v>
          </cell>
          <cell r="AO93">
            <v>5.2278601808516374</v>
          </cell>
          <cell r="AP93">
            <v>1.4141079023557666</v>
          </cell>
          <cell r="AQ93">
            <v>5.6564316094230662</v>
          </cell>
          <cell r="AR93">
            <v>0</v>
          </cell>
          <cell r="AS93">
            <v>0</v>
          </cell>
          <cell r="AT93">
            <v>0</v>
          </cell>
          <cell r="AU93">
            <v>0</v>
          </cell>
          <cell r="AV93">
            <v>0</v>
          </cell>
          <cell r="AW93">
            <v>0</v>
          </cell>
          <cell r="AX93">
            <v>0</v>
          </cell>
          <cell r="AY93">
            <v>0</v>
          </cell>
          <cell r="AZ93">
            <v>0</v>
          </cell>
          <cell r="BA93">
            <v>0</v>
          </cell>
          <cell r="BB93">
            <v>0</v>
          </cell>
          <cell r="BC93">
            <v>0</v>
          </cell>
          <cell r="BD93">
            <v>0</v>
          </cell>
        </row>
        <row r="94">
          <cell r="A94" t="str">
            <v>NFMO9904</v>
          </cell>
          <cell r="B94" t="str">
            <v>NFTE9908</v>
          </cell>
          <cell r="C94" t="str">
            <v>Morrisons Oaties (per Tesco)</v>
          </cell>
          <cell r="D94" t="str">
            <v>PL</v>
          </cell>
          <cell r="F94">
            <v>0</v>
          </cell>
          <cell r="G94" t="e">
            <v>#VALUE!</v>
          </cell>
          <cell r="H94">
            <v>310</v>
          </cell>
          <cell r="I94">
            <v>26</v>
          </cell>
          <cell r="J94">
            <v>1.625</v>
          </cell>
          <cell r="K94">
            <v>5442.2094711111122</v>
          </cell>
          <cell r="M94">
            <v>0.3</v>
          </cell>
          <cell r="N94">
            <v>12</v>
          </cell>
          <cell r="O94">
            <v>75</v>
          </cell>
          <cell r="P94">
            <v>3.5999999999999996</v>
          </cell>
          <cell r="Q94">
            <v>475</v>
          </cell>
          <cell r="R94">
            <v>1007.402</v>
          </cell>
          <cell r="S94">
            <v>0.88</v>
          </cell>
          <cell r="T94">
            <v>0.85</v>
          </cell>
          <cell r="AA94">
            <v>753.53669600000001</v>
          </cell>
          <cell r="AB94">
            <v>209.31574888888892</v>
          </cell>
          <cell r="AC94">
            <v>2511.7889866666669</v>
          </cell>
          <cell r="AD94">
            <v>2.2692989061809405</v>
          </cell>
          <cell r="AE94">
            <v>0.54239999999999999</v>
          </cell>
          <cell r="AF94">
            <v>0.6</v>
          </cell>
          <cell r="AH94">
            <v>0.11280000000000001</v>
          </cell>
          <cell r="AI94">
            <v>353.125</v>
          </cell>
          <cell r="AJ94">
            <v>1.2977266012067117</v>
          </cell>
          <cell r="AK94">
            <v>0</v>
          </cell>
          <cell r="AL94">
            <v>0</v>
          </cell>
          <cell r="AM94">
            <v>0</v>
          </cell>
          <cell r="AN94">
            <v>5.190906404826847E-2</v>
          </cell>
          <cell r="AO94">
            <v>4.2741345714359458</v>
          </cell>
          <cell r="AP94">
            <v>1.3539262698433183</v>
          </cell>
          <cell r="AQ94">
            <v>4.8741345714359454</v>
          </cell>
          <cell r="AR94">
            <v>0</v>
          </cell>
          <cell r="AS94">
            <v>0</v>
          </cell>
          <cell r="AT94">
            <v>0</v>
          </cell>
          <cell r="AU94">
            <v>0</v>
          </cell>
          <cell r="AV94">
            <v>0</v>
          </cell>
          <cell r="AW94">
            <v>0</v>
          </cell>
          <cell r="AX94">
            <v>0</v>
          </cell>
          <cell r="AY94">
            <v>0</v>
          </cell>
          <cell r="AZ94">
            <v>0</v>
          </cell>
          <cell r="BA94">
            <v>0</v>
          </cell>
          <cell r="BB94">
            <v>0</v>
          </cell>
          <cell r="BC94">
            <v>0</v>
          </cell>
          <cell r="BD94">
            <v>0</v>
          </cell>
        </row>
        <row r="95">
          <cell r="A95" t="str">
            <v>NFMO9905</v>
          </cell>
          <cell r="B95" t="str">
            <v>NFTE9909</v>
          </cell>
          <cell r="C95" t="str">
            <v>Morrisons Half Coated Oaties (per Tesco)</v>
          </cell>
          <cell r="D95" t="str">
            <v>PL</v>
          </cell>
          <cell r="F95">
            <v>0</v>
          </cell>
          <cell r="G95" t="e">
            <v>#VALUE!</v>
          </cell>
          <cell r="H95">
            <v>310</v>
          </cell>
          <cell r="I95">
            <v>26</v>
          </cell>
          <cell r="J95">
            <v>1.625</v>
          </cell>
          <cell r="K95">
            <v>5664.5542858666668</v>
          </cell>
          <cell r="M95">
            <v>0.25</v>
          </cell>
          <cell r="N95">
            <v>20</v>
          </cell>
          <cell r="O95">
            <v>66</v>
          </cell>
          <cell r="P95">
            <v>5</v>
          </cell>
          <cell r="Q95">
            <v>475</v>
          </cell>
          <cell r="R95">
            <v>1007.402</v>
          </cell>
          <cell r="S95">
            <v>0.88</v>
          </cell>
          <cell r="T95">
            <v>0.85</v>
          </cell>
          <cell r="U95">
            <v>0.25</v>
          </cell>
          <cell r="V95">
            <v>2.95</v>
          </cell>
          <cell r="W95">
            <v>0.93</v>
          </cell>
          <cell r="X95">
            <v>3.172043010752688</v>
          </cell>
          <cell r="Y95">
            <v>335.80066666666676</v>
          </cell>
          <cell r="Z95">
            <v>1065.1741577060934</v>
          </cell>
          <cell r="AA95">
            <v>1089.3373626666666</v>
          </cell>
          <cell r="AB95">
            <v>217.86747253333334</v>
          </cell>
          <cell r="AC95">
            <v>4357.3494506666666</v>
          </cell>
          <cell r="AD95">
            <v>7.069316680444115</v>
          </cell>
          <cell r="AE95">
            <v>0.68</v>
          </cell>
          <cell r="AF95">
            <v>0.40792540792540788</v>
          </cell>
          <cell r="AH95">
            <v>0.16</v>
          </cell>
          <cell r="AI95">
            <v>353.125</v>
          </cell>
          <cell r="AJ95">
            <v>1.2467882985288488</v>
          </cell>
          <cell r="AK95">
            <v>0</v>
          </cell>
          <cell r="AL95">
            <v>0</v>
          </cell>
          <cell r="AM95">
            <v>0</v>
          </cell>
          <cell r="AN95">
            <v>4.987153194115395E-2</v>
          </cell>
          <cell r="AO95">
            <v>9.2059765109141232</v>
          </cell>
          <cell r="AP95">
            <v>1.9227803837679063</v>
          </cell>
          <cell r="AQ95">
            <v>9.6139019188395309</v>
          </cell>
          <cell r="AR95">
            <v>0</v>
          </cell>
          <cell r="AS95">
            <v>0</v>
          </cell>
          <cell r="AT95">
            <v>0</v>
          </cell>
          <cell r="AU95">
            <v>0</v>
          </cell>
          <cell r="AV95">
            <v>0</v>
          </cell>
          <cell r="AW95">
            <v>0</v>
          </cell>
          <cell r="AX95">
            <v>0</v>
          </cell>
          <cell r="AY95">
            <v>0</v>
          </cell>
          <cell r="AZ95">
            <v>0</v>
          </cell>
          <cell r="BA95">
            <v>0</v>
          </cell>
          <cell r="BB95">
            <v>0</v>
          </cell>
          <cell r="BC95">
            <v>0</v>
          </cell>
          <cell r="BD95">
            <v>0</v>
          </cell>
        </row>
        <row r="96">
          <cell r="A96" t="str">
            <v>FBU9991</v>
          </cell>
          <cell r="B96" t="str">
            <v>NFTE9903</v>
          </cell>
          <cell r="C96" t="str">
            <v>Burtons - Maryland Choc Chip</v>
          </cell>
          <cell r="D96" t="str">
            <v>CM</v>
          </cell>
          <cell r="F96">
            <v>44540</v>
          </cell>
          <cell r="G96" t="e">
            <v>#VALUE!</v>
          </cell>
          <cell r="H96">
            <v>310</v>
          </cell>
          <cell r="I96">
            <v>38</v>
          </cell>
          <cell r="J96">
            <v>2.375</v>
          </cell>
          <cell r="K96">
            <v>5259.5005929199997</v>
          </cell>
          <cell r="M96">
            <v>0.23</v>
          </cell>
          <cell r="N96">
            <v>20</v>
          </cell>
          <cell r="O96">
            <v>105</v>
          </cell>
          <cell r="P96">
            <v>5</v>
          </cell>
          <cell r="Q96">
            <v>780</v>
          </cell>
          <cell r="R96">
            <v>873.67700000000002</v>
          </cell>
          <cell r="S96">
            <v>0.89</v>
          </cell>
          <cell r="T96">
            <v>0.89</v>
          </cell>
          <cell r="AA96">
            <v>692.03955170000006</v>
          </cell>
          <cell r="AB96">
            <v>138.40791034</v>
          </cell>
          <cell r="AC96">
            <v>2768.1582067999998</v>
          </cell>
          <cell r="AD96">
            <v>5.6355160487859726</v>
          </cell>
          <cell r="AE96">
            <v>0.54</v>
          </cell>
          <cell r="AF96">
            <v>0.25641025641025644</v>
          </cell>
          <cell r="AH96">
            <v>0.21999999999999997</v>
          </cell>
          <cell r="AI96">
            <v>353.125</v>
          </cell>
          <cell r="AJ96">
            <v>1.646022832694414</v>
          </cell>
          <cell r="AK96">
            <v>0</v>
          </cell>
          <cell r="AL96">
            <v>0</v>
          </cell>
          <cell r="AM96">
            <v>3.771140723778952E-2</v>
          </cell>
          <cell r="AN96">
            <v>6.5840913307776555E-2</v>
          </cell>
          <cell r="AO96">
            <v>7.143589743589744</v>
          </cell>
          <cell r="AP96">
            <v>1.6680544317860391</v>
          </cell>
          <cell r="AQ96">
            <v>7.4</v>
          </cell>
          <cell r="AR96">
            <v>10.585605803514136</v>
          </cell>
          <cell r="AS96">
            <v>10.585605803514136</v>
          </cell>
          <cell r="AT96">
            <v>0</v>
          </cell>
          <cell r="AU96">
            <v>0</v>
          </cell>
          <cell r="AV96">
            <v>0</v>
          </cell>
          <cell r="AW96">
            <v>4207.6004743360008</v>
          </cell>
          <cell r="AX96">
            <v>0</v>
          </cell>
          <cell r="AY96">
            <v>0</v>
          </cell>
          <cell r="AZ96">
            <v>3.1366313321590011E-2</v>
          </cell>
          <cell r="BA96">
            <v>1679.6660783711452</v>
          </cell>
          <cell r="BB96">
            <v>3.771140723778952E-2</v>
          </cell>
          <cell r="BC96">
            <v>1679.6660783711452</v>
          </cell>
          <cell r="BD96">
            <v>-6.1229299506062256E-2</v>
          </cell>
        </row>
        <row r="97">
          <cell r="A97" t="str">
            <v>FEB0033</v>
          </cell>
          <cell r="B97" t="str">
            <v>FEB0033</v>
          </cell>
          <cell r="C97" t="str">
            <v>All Butter Triple Chocolate Chunk 160g</v>
          </cell>
          <cell r="D97" t="str">
            <v>Brand</v>
          </cell>
          <cell r="F97">
            <v>4632.1400000000003</v>
          </cell>
          <cell r="G97" t="e">
            <v>#VALUE!</v>
          </cell>
          <cell r="H97">
            <v>353</v>
          </cell>
          <cell r="I97">
            <v>31</v>
          </cell>
          <cell r="J97">
            <v>1.9375</v>
          </cell>
          <cell r="K97">
            <v>10872.141409322918</v>
          </cell>
          <cell r="M97">
            <v>0.16</v>
          </cell>
          <cell r="N97">
            <v>12</v>
          </cell>
          <cell r="O97">
            <v>160</v>
          </cell>
          <cell r="P97">
            <v>1.92</v>
          </cell>
          <cell r="Q97">
            <v>1847</v>
          </cell>
          <cell r="R97">
            <v>850.10900000000004</v>
          </cell>
          <cell r="S97">
            <v>0.89</v>
          </cell>
          <cell r="T97">
            <v>0.89</v>
          </cell>
          <cell r="AA97">
            <v>673.37133890000007</v>
          </cell>
          <cell r="AB97">
            <v>350.71423901041669</v>
          </cell>
          <cell r="AC97">
            <v>4208.5708681249998</v>
          </cell>
          <cell r="AD97">
            <v>5.2663958133309254</v>
          </cell>
          <cell r="AE97">
            <v>0.59040000000000004</v>
          </cell>
          <cell r="AF97">
            <v>9.8400000000000015E-2</v>
          </cell>
          <cell r="AH97">
            <v>8.4000000000000005E-2</v>
          </cell>
          <cell r="AI97">
            <v>353.125</v>
          </cell>
          <cell r="AJ97">
            <v>0.64959603946503763</v>
          </cell>
          <cell r="AK97">
            <v>0</v>
          </cell>
          <cell r="AL97">
            <v>0.34001562992482953</v>
          </cell>
          <cell r="AM97">
            <v>0.10276537517104486</v>
          </cell>
          <cell r="AN97">
            <v>2.5983841578601508E-2</v>
          </cell>
          <cell r="AO97">
            <v>6.7711255974551907</v>
          </cell>
          <cell r="AP97">
            <v>3.577877915341245</v>
          </cell>
          <cell r="AQ97">
            <v>6.8695255974551905</v>
          </cell>
          <cell r="AR97">
            <v>0.53256987579603177</v>
          </cell>
          <cell r="AS97">
            <v>3</v>
          </cell>
          <cell r="AT97">
            <v>0.82247670806798945</v>
          </cell>
          <cell r="AU97">
            <v>1.5</v>
          </cell>
          <cell r="AV97">
            <v>525</v>
          </cell>
          <cell r="AW97">
            <v>1544.0466666666669</v>
          </cell>
          <cell r="AX97">
            <v>0.34001562992482953</v>
          </cell>
          <cell r="AY97">
            <v>1575</v>
          </cell>
          <cell r="AZ97">
            <v>8.8893296908460102E-3</v>
          </cell>
          <cell r="BA97">
            <v>476.02360494480382</v>
          </cell>
          <cell r="BB97">
            <v>0.10276537517104486</v>
          </cell>
          <cell r="BC97">
            <v>476.02360494480382</v>
          </cell>
          <cell r="BD97">
            <v>-0.28803110201524262</v>
          </cell>
        </row>
        <row r="98">
          <cell r="A98" t="str">
            <v>NFFE9901</v>
          </cell>
          <cell r="B98" t="str">
            <v>FEB0004</v>
          </cell>
          <cell r="C98" t="str">
            <v>ECB Butter New HC1</v>
          </cell>
          <cell r="D98" t="str">
            <v>Brand</v>
          </cell>
          <cell r="F98">
            <v>3541.3</v>
          </cell>
          <cell r="G98" t="e">
            <v>#VALUE!</v>
          </cell>
          <cell r="H98">
            <v>353</v>
          </cell>
          <cell r="I98">
            <v>31</v>
          </cell>
          <cell r="J98">
            <v>1.9375</v>
          </cell>
          <cell r="K98">
            <v>13644.542733772323</v>
          </cell>
          <cell r="M98">
            <v>0.16</v>
          </cell>
          <cell r="N98">
            <v>12</v>
          </cell>
          <cell r="O98">
            <v>160</v>
          </cell>
          <cell r="P98">
            <v>1.92</v>
          </cell>
          <cell r="Q98">
            <v>1682</v>
          </cell>
          <cell r="R98">
            <v>860.06700000000001</v>
          </cell>
          <cell r="S98">
            <v>0.89</v>
          </cell>
          <cell r="T98">
            <v>0.89</v>
          </cell>
          <cell r="U98">
            <v>0.16</v>
          </cell>
          <cell r="V98">
            <v>2.95</v>
          </cell>
          <cell r="W98">
            <v>0.93</v>
          </cell>
          <cell r="X98">
            <v>3.172043010752688</v>
          </cell>
          <cell r="Y98">
            <v>163.82228571428573</v>
          </cell>
          <cell r="Z98">
            <v>519.65133640552995</v>
          </cell>
          <cell r="AA98">
            <v>845.08135641428578</v>
          </cell>
          <cell r="AB98">
            <v>440.14653979910719</v>
          </cell>
          <cell r="AC98">
            <v>5281.7584775892865</v>
          </cell>
          <cell r="AD98">
            <v>5.0020871171915005</v>
          </cell>
          <cell r="AE98">
            <v>0.59040000000000004</v>
          </cell>
          <cell r="AF98">
            <v>8.0399999999999999E-2</v>
          </cell>
          <cell r="AH98">
            <v>0.10799999999999998</v>
          </cell>
          <cell r="AI98">
            <v>353.125</v>
          </cell>
          <cell r="AJ98">
            <v>0.51760620621746711</v>
          </cell>
          <cell r="AK98">
            <v>0</v>
          </cell>
          <cell r="AL98">
            <v>0.44475192725835144</v>
          </cell>
          <cell r="AM98">
            <v>0.13442058140931404</v>
          </cell>
          <cell r="AN98">
            <v>2.0704248248698685E-2</v>
          </cell>
          <cell r="AO98">
            <v>6.5768227709568219</v>
          </cell>
          <cell r="AP98">
            <v>3.4673035265400114</v>
          </cell>
          <cell r="AQ98">
            <v>6.6572227709568219</v>
          </cell>
          <cell r="AR98">
            <v>0.32442457665095864</v>
          </cell>
          <cell r="AS98">
            <v>3</v>
          </cell>
          <cell r="AT98">
            <v>0.89185847444968047</v>
          </cell>
          <cell r="AU98">
            <v>1.5</v>
          </cell>
          <cell r="AV98">
            <v>525</v>
          </cell>
          <cell r="AW98">
            <v>1180.4333333333334</v>
          </cell>
          <cell r="AX98">
            <v>0.44475192725835144</v>
          </cell>
          <cell r="AY98">
            <v>1575</v>
          </cell>
          <cell r="AZ98">
            <v>8.8893296908460102E-3</v>
          </cell>
          <cell r="BA98">
            <v>476.02360494480382</v>
          </cell>
          <cell r="BB98">
            <v>0.13442058140931404</v>
          </cell>
          <cell r="BC98">
            <v>476.02360494480382</v>
          </cell>
          <cell r="BD98">
            <v>-0.2411473093684996</v>
          </cell>
        </row>
        <row r="99">
          <cell r="A99" t="str">
            <v>NFFE9902</v>
          </cell>
          <cell r="B99" t="str">
            <v>FEB0004</v>
          </cell>
          <cell r="C99" t="str">
            <v>ECB Butter New HC2</v>
          </cell>
          <cell r="D99" t="str">
            <v>Brand</v>
          </cell>
          <cell r="F99">
            <v>3164.21</v>
          </cell>
          <cell r="G99" t="e">
            <v>#VALUE!</v>
          </cell>
          <cell r="H99">
            <v>353</v>
          </cell>
          <cell r="I99">
            <v>31</v>
          </cell>
          <cell r="J99">
            <v>1.9375</v>
          </cell>
          <cell r="K99">
            <v>13644.542733772323</v>
          </cell>
          <cell r="M99">
            <v>0.16</v>
          </cell>
          <cell r="N99">
            <v>12</v>
          </cell>
          <cell r="O99">
            <v>160</v>
          </cell>
          <cell r="P99">
            <v>1.92</v>
          </cell>
          <cell r="Q99">
            <v>1682</v>
          </cell>
          <cell r="R99">
            <v>860.06700000000001</v>
          </cell>
          <cell r="S99">
            <v>0.89</v>
          </cell>
          <cell r="T99">
            <v>0.89</v>
          </cell>
          <cell r="U99">
            <v>0.16</v>
          </cell>
          <cell r="V99">
            <v>2.95</v>
          </cell>
          <cell r="W99">
            <v>0.93</v>
          </cell>
          <cell r="X99">
            <v>3.172043010752688</v>
          </cell>
          <cell r="Y99">
            <v>163.82228571428573</v>
          </cell>
          <cell r="Z99">
            <v>519.65133640552995</v>
          </cell>
          <cell r="AA99">
            <v>845.08135641428578</v>
          </cell>
          <cell r="AB99">
            <v>440.14653979910719</v>
          </cell>
          <cell r="AC99">
            <v>5281.7584775892865</v>
          </cell>
          <cell r="AD99">
            <v>5.0020871171915005</v>
          </cell>
          <cell r="AE99">
            <v>0.59040000000000004</v>
          </cell>
          <cell r="AF99">
            <v>8.0399999999999999E-2</v>
          </cell>
          <cell r="AH99">
            <v>0.10799999999999998</v>
          </cell>
          <cell r="AI99">
            <v>353.125</v>
          </cell>
          <cell r="AJ99">
            <v>0.51760620621746711</v>
          </cell>
          <cell r="AK99">
            <v>0</v>
          </cell>
          <cell r="AL99">
            <v>0.4977545738114727</v>
          </cell>
          <cell r="AM99">
            <v>0.15043995339904867</v>
          </cell>
          <cell r="AN99">
            <v>2.0704248248698685E-2</v>
          </cell>
          <cell r="AO99">
            <v>6.6468641891108158</v>
          </cell>
          <cell r="AP99">
            <v>3.5037834318285501</v>
          </cell>
          <cell r="AQ99">
            <v>6.7272641891108158</v>
          </cell>
          <cell r="AR99">
            <v>0.28987871394254366</v>
          </cell>
          <cell r="AS99">
            <v>3</v>
          </cell>
          <cell r="AT99">
            <v>0.90337376201915209</v>
          </cell>
          <cell r="AU99">
            <v>1.5</v>
          </cell>
          <cell r="AV99">
            <v>525</v>
          </cell>
          <cell r="AW99">
            <v>1054.7366666666667</v>
          </cell>
          <cell r="AX99">
            <v>0.4977545738114727</v>
          </cell>
          <cell r="AY99">
            <v>1575</v>
          </cell>
          <cell r="AZ99">
            <v>8.8893296908460102E-3</v>
          </cell>
          <cell r="BA99">
            <v>476.02360494480382</v>
          </cell>
          <cell r="BB99">
            <v>0.15043995339904867</v>
          </cell>
          <cell r="BC99">
            <v>476.02360494480382</v>
          </cell>
          <cell r="BD99">
            <v>-0.24012790975735862</v>
          </cell>
        </row>
        <row r="100">
          <cell r="A100" t="str">
            <v>FEB0034</v>
          </cell>
          <cell r="B100" t="str">
            <v>NFFE9903</v>
          </cell>
          <cell r="C100" t="str">
            <v>ECB Butter New FC1</v>
          </cell>
          <cell r="D100" t="str">
            <v>Brand</v>
          </cell>
          <cell r="F100">
            <v>3204.07</v>
          </cell>
          <cell r="G100" t="e">
            <v>#VALUE!</v>
          </cell>
          <cell r="H100">
            <v>353</v>
          </cell>
          <cell r="I100">
            <v>31</v>
          </cell>
          <cell r="J100">
            <v>1.9375</v>
          </cell>
          <cell r="K100">
            <v>18476.840724843754</v>
          </cell>
          <cell r="M100">
            <v>0.16</v>
          </cell>
          <cell r="N100">
            <v>12</v>
          </cell>
          <cell r="O100">
            <v>160</v>
          </cell>
          <cell r="P100">
            <v>1.92</v>
          </cell>
          <cell r="Q100">
            <v>1682</v>
          </cell>
          <cell r="R100">
            <v>860.06700000000001</v>
          </cell>
          <cell r="S100">
            <v>0.89</v>
          </cell>
          <cell r="T100">
            <v>0.89</v>
          </cell>
          <cell r="U100">
            <v>0.35</v>
          </cell>
          <cell r="V100">
            <v>2.95</v>
          </cell>
          <cell r="W100">
            <v>0.93</v>
          </cell>
          <cell r="X100">
            <v>3.172043010752688</v>
          </cell>
          <cell r="Y100">
            <v>463.11300000000006</v>
          </cell>
          <cell r="Z100">
            <v>1469.0143548387098</v>
          </cell>
          <cell r="AA100">
            <v>1144.3720707000002</v>
          </cell>
          <cell r="AB100">
            <v>596.02712015625013</v>
          </cell>
          <cell r="AC100">
            <v>7152.3254418750021</v>
          </cell>
          <cell r="AD100">
            <v>5.286696273170695</v>
          </cell>
          <cell r="AE100">
            <v>0.59040000000000004</v>
          </cell>
          <cell r="AF100">
            <v>8.0399999999999999E-2</v>
          </cell>
          <cell r="AH100">
            <v>0.10799999999999998</v>
          </cell>
          <cell r="AI100">
            <v>353.125</v>
          </cell>
          <cell r="AJ100">
            <v>0.51760620621746711</v>
          </cell>
          <cell r="AK100">
            <v>0</v>
          </cell>
          <cell r="AL100">
            <v>0.49156229420705538</v>
          </cell>
          <cell r="AM100">
            <v>0.14856841609103541</v>
          </cell>
          <cell r="AN100">
            <v>2.0704248248698685E-2</v>
          </cell>
          <cell r="AO100">
            <v>6.9216917853743114</v>
          </cell>
          <cell r="AP100">
            <v>3.646922804882454</v>
          </cell>
          <cell r="AQ100">
            <v>7.0020917853743114</v>
          </cell>
          <cell r="AR100">
            <v>0.21676257102843366</v>
          </cell>
          <cell r="AS100">
            <v>3</v>
          </cell>
          <cell r="AT100">
            <v>0.92774580965718878</v>
          </cell>
          <cell r="AU100">
            <v>1.5</v>
          </cell>
          <cell r="AV100">
            <v>525</v>
          </cell>
          <cell r="AW100">
            <v>1068.0233333333333</v>
          </cell>
          <cell r="AX100">
            <v>0.49156229420705538</v>
          </cell>
          <cell r="AY100">
            <v>1575</v>
          </cell>
          <cell r="AZ100">
            <v>8.8893296908460102E-3</v>
          </cell>
          <cell r="BA100">
            <v>476.02360494480382</v>
          </cell>
          <cell r="BB100">
            <v>0.14856841609103541</v>
          </cell>
          <cell r="BC100">
            <v>476.02360494480388</v>
          </cell>
          <cell r="BD100">
            <v>-0.24184565256064891</v>
          </cell>
        </row>
        <row r="101">
          <cell r="A101" t="str">
            <v>FEB0035</v>
          </cell>
          <cell r="B101" t="str">
            <v>NFFE9904</v>
          </cell>
          <cell r="C101" t="str">
            <v>ECB Butter New FC2</v>
          </cell>
          <cell r="D101" t="str">
            <v>Brand</v>
          </cell>
          <cell r="F101">
            <v>3747.23</v>
          </cell>
          <cell r="G101" t="e">
            <v>#VALUE!</v>
          </cell>
          <cell r="H101">
            <v>353</v>
          </cell>
          <cell r="I101">
            <v>31</v>
          </cell>
          <cell r="J101">
            <v>1.9375</v>
          </cell>
          <cell r="K101">
            <v>18476.840724843754</v>
          </cell>
          <cell r="M101">
            <v>0.16</v>
          </cell>
          <cell r="N101">
            <v>12</v>
          </cell>
          <cell r="O101">
            <v>160</v>
          </cell>
          <cell r="P101">
            <v>1.92</v>
          </cell>
          <cell r="Q101">
            <v>1682</v>
          </cell>
          <cell r="R101">
            <v>860.06700000000001</v>
          </cell>
          <cell r="S101">
            <v>0.89</v>
          </cell>
          <cell r="T101">
            <v>0.89</v>
          </cell>
          <cell r="U101">
            <v>0.35</v>
          </cell>
          <cell r="V101">
            <v>2.95</v>
          </cell>
          <cell r="W101">
            <v>0.93</v>
          </cell>
          <cell r="X101">
            <v>3.172043010752688</v>
          </cell>
          <cell r="Y101">
            <v>463.11300000000006</v>
          </cell>
          <cell r="Z101">
            <v>1469.0143548387098</v>
          </cell>
          <cell r="AA101">
            <v>1144.3720707000002</v>
          </cell>
          <cell r="AB101">
            <v>596.02712015625013</v>
          </cell>
          <cell r="AC101">
            <v>7152.3254418750021</v>
          </cell>
          <cell r="AD101">
            <v>5.286696273170695</v>
          </cell>
          <cell r="AE101">
            <v>0.59040000000000004</v>
          </cell>
          <cell r="AF101">
            <v>8.0399999999999999E-2</v>
          </cell>
          <cell r="AH101">
            <v>0.10799999999999998</v>
          </cell>
          <cell r="AI101">
            <v>353.125</v>
          </cell>
          <cell r="AJ101">
            <v>0.51760620621746711</v>
          </cell>
          <cell r="AK101">
            <v>0</v>
          </cell>
          <cell r="AL101">
            <v>0.42031046933334759</v>
          </cell>
          <cell r="AM101">
            <v>0.12703346337022384</v>
          </cell>
          <cell r="AN101">
            <v>2.0704248248698685E-2</v>
          </cell>
          <cell r="AO101">
            <v>6.8262501448485322</v>
          </cell>
          <cell r="AP101">
            <v>3.5972136171086109</v>
          </cell>
          <cell r="AQ101">
            <v>6.9066501448485322</v>
          </cell>
          <cell r="AR101">
            <v>0.25350857160888413</v>
          </cell>
          <cell r="AS101">
            <v>3</v>
          </cell>
          <cell r="AT101">
            <v>0.91549714279703864</v>
          </cell>
          <cell r="AU101">
            <v>1.5</v>
          </cell>
          <cell r="AV101">
            <v>525</v>
          </cell>
          <cell r="AW101">
            <v>1249.0766666666666</v>
          </cell>
          <cell r="AX101">
            <v>0.42031046933334759</v>
          </cell>
          <cell r="AY101">
            <v>1575</v>
          </cell>
          <cell r="AZ101">
            <v>8.8893296908460102E-3</v>
          </cell>
          <cell r="BA101">
            <v>476.02360494480382</v>
          </cell>
          <cell r="BB101">
            <v>0.12703346337022384</v>
          </cell>
          <cell r="BC101">
            <v>476.02360494480388</v>
          </cell>
          <cell r="BD101">
            <v>-0.24450051549188773</v>
          </cell>
        </row>
        <row r="102">
          <cell r="A102" t="str">
            <v>FEB0036</v>
          </cell>
          <cell r="B102" t="str">
            <v>NFFE9905</v>
          </cell>
          <cell r="C102" t="str">
            <v>ECB Butter New FC3</v>
          </cell>
          <cell r="D102" t="str">
            <v>Brand</v>
          </cell>
          <cell r="F102">
            <v>3257.99</v>
          </cell>
          <cell r="G102" t="e">
            <v>#VALUE!</v>
          </cell>
          <cell r="H102">
            <v>353</v>
          </cell>
          <cell r="I102">
            <v>31</v>
          </cell>
          <cell r="J102">
            <v>1.9375</v>
          </cell>
          <cell r="K102">
            <v>18476.840724843754</v>
          </cell>
          <cell r="M102">
            <v>0.16</v>
          </cell>
          <cell r="N102">
            <v>12</v>
          </cell>
          <cell r="O102">
            <v>160</v>
          </cell>
          <cell r="P102">
            <v>1.92</v>
          </cell>
          <cell r="Q102">
            <v>1682</v>
          </cell>
          <cell r="R102">
            <v>860.06700000000001</v>
          </cell>
          <cell r="S102">
            <v>0.89</v>
          </cell>
          <cell r="T102">
            <v>0.89</v>
          </cell>
          <cell r="U102">
            <v>0.35</v>
          </cell>
          <cell r="V102">
            <v>2.95</v>
          </cell>
          <cell r="W102">
            <v>0.93</v>
          </cell>
          <cell r="X102">
            <v>3.172043010752688</v>
          </cell>
          <cell r="Y102">
            <v>463.11300000000006</v>
          </cell>
          <cell r="Z102">
            <v>1469.0143548387098</v>
          </cell>
          <cell r="AA102">
            <v>1144.3720707000002</v>
          </cell>
          <cell r="AB102">
            <v>596.02712015625013</v>
          </cell>
          <cell r="AC102">
            <v>7152.3254418750021</v>
          </cell>
          <cell r="AD102">
            <v>5.286696273170695</v>
          </cell>
          <cell r="AE102">
            <v>0.59040000000000004</v>
          </cell>
          <cell r="AF102">
            <v>8.0399999999999999E-2</v>
          </cell>
          <cell r="AH102">
            <v>0.10799999999999998</v>
          </cell>
          <cell r="AI102">
            <v>353.125</v>
          </cell>
          <cell r="AJ102">
            <v>0.51760620621746711</v>
          </cell>
          <cell r="AK102">
            <v>0</v>
          </cell>
          <cell r="AL102">
            <v>0.48342689817955242</v>
          </cell>
          <cell r="AM102">
            <v>0.14610959669759693</v>
          </cell>
          <cell r="AN102">
            <v>2.0704248248698685E-2</v>
          </cell>
          <cell r="AO102">
            <v>6.9092077496202462</v>
          </cell>
          <cell r="AP102">
            <v>3.6404207029272118</v>
          </cell>
          <cell r="AQ102">
            <v>6.9896077496202462</v>
          </cell>
          <cell r="AR102">
            <v>0.22041038079221942</v>
          </cell>
          <cell r="AS102">
            <v>3</v>
          </cell>
          <cell r="AT102">
            <v>0.92652987306926016</v>
          </cell>
          <cell r="AU102">
            <v>1.5</v>
          </cell>
          <cell r="AV102">
            <v>525</v>
          </cell>
          <cell r="AW102">
            <v>1085.9966666666667</v>
          </cell>
          <cell r="AX102">
            <v>0.48342689817955242</v>
          </cell>
          <cell r="AY102">
            <v>1575</v>
          </cell>
          <cell r="AZ102">
            <v>8.8893296908460102E-3</v>
          </cell>
          <cell r="BA102">
            <v>476.02360494480382</v>
          </cell>
          <cell r="BB102">
            <v>0.14610959669759693</v>
          </cell>
          <cell r="BC102">
            <v>476.02360494480382</v>
          </cell>
          <cell r="BD102">
            <v>-0.24373547289381939</v>
          </cell>
        </row>
        <row r="103">
          <cell r="A103" t="str">
            <v>NFFE9906</v>
          </cell>
          <cell r="C103" t="str">
            <v>ECB Christmas Tin (Tin cost in A&amp;P)</v>
          </cell>
          <cell r="D103" t="str">
            <v>Brand</v>
          </cell>
          <cell r="F103">
            <v>50000</v>
          </cell>
          <cell r="G103" t="e">
            <v>#VALUE!</v>
          </cell>
          <cell r="H103">
            <v>353</v>
          </cell>
          <cell r="M103">
            <v>0.64</v>
          </cell>
          <cell r="N103">
            <v>6</v>
          </cell>
          <cell r="O103">
            <v>288</v>
          </cell>
          <cell r="P103">
            <v>3.84</v>
          </cell>
          <cell r="Q103">
            <v>1682</v>
          </cell>
          <cell r="R103">
            <v>860.06700000000001</v>
          </cell>
          <cell r="S103">
            <v>0.89</v>
          </cell>
          <cell r="T103">
            <v>0.89</v>
          </cell>
          <cell r="U103">
            <v>0.16</v>
          </cell>
          <cell r="V103">
            <v>2.95</v>
          </cell>
          <cell r="W103">
            <v>0.93</v>
          </cell>
          <cell r="X103">
            <v>3.172043010752688</v>
          </cell>
          <cell r="Y103">
            <v>163.82228571428573</v>
          </cell>
          <cell r="Z103">
            <v>519.65133640552995</v>
          </cell>
          <cell r="AA103">
            <v>845.08135641428578</v>
          </cell>
          <cell r="AB103">
            <v>220.07326989955334</v>
          </cell>
          <cell r="AC103">
            <v>1320.4396193973214</v>
          </cell>
          <cell r="AD103">
            <v>10.00417423438302</v>
          </cell>
          <cell r="AE103">
            <v>0.12</v>
          </cell>
          <cell r="AI103">
            <v>353.125</v>
          </cell>
          <cell r="AJ103">
            <v>1.035212412434934</v>
          </cell>
          <cell r="AK103">
            <v>0.72</v>
          </cell>
          <cell r="AL103">
            <v>0</v>
          </cell>
          <cell r="AM103">
            <v>0</v>
          </cell>
          <cell r="AN103">
            <v>7.0208496497397604E-2</v>
          </cell>
          <cell r="AO103">
            <v>12.54959514331518</v>
          </cell>
          <cell r="AP103">
            <v>3.2681237352383263</v>
          </cell>
          <cell r="AQ103">
            <v>12.54959514331518</v>
          </cell>
          <cell r="BD103">
            <v>0</v>
          </cell>
        </row>
        <row r="104">
          <cell r="C104" t="str">
            <v>Totals</v>
          </cell>
          <cell r="F104">
            <v>1519513.5583089851</v>
          </cell>
          <cell r="G104" t="e">
            <v>#VALUE!</v>
          </cell>
          <cell r="AR104">
            <v>236.67752565161865</v>
          </cell>
          <cell r="AS104">
            <v>337.48326413062603</v>
          </cell>
          <cell r="AY104">
            <v>66150</v>
          </cell>
          <cell r="AZ104">
            <v>1.0000000000000004</v>
          </cell>
          <cell r="BA104">
            <v>53550.000000000036</v>
          </cell>
          <cell r="BC104">
            <v>50121.162742914777</v>
          </cell>
          <cell r="BD104">
            <v>-17.368481349797126</v>
          </cell>
        </row>
        <row r="105">
          <cell r="A105" t="str">
            <v>FEB0016</v>
          </cell>
          <cell r="D105" t="str">
            <v>Brand</v>
          </cell>
        </row>
        <row r="106">
          <cell r="A106" t="str">
            <v>FRC0001</v>
          </cell>
          <cell r="D106" t="str">
            <v>CM</v>
          </cell>
        </row>
        <row r="107">
          <cell r="A107" t="str">
            <v>FGG0001</v>
          </cell>
          <cell r="B107" t="str">
            <v>FGG0001</v>
          </cell>
          <cell r="C107" t="str">
            <v>Irish Girl Guides 22% Choc Chip</v>
          </cell>
          <cell r="D107" t="str">
            <v>CM</v>
          </cell>
          <cell r="E107" t="str">
            <v>Ireland</v>
          </cell>
          <cell r="I107">
            <v>31</v>
          </cell>
          <cell r="J107">
            <v>1.9375</v>
          </cell>
          <cell r="K107">
            <v>4512.5472864999992</v>
          </cell>
          <cell r="M107">
            <v>0.2</v>
          </cell>
          <cell r="N107">
            <v>24</v>
          </cell>
          <cell r="O107">
            <v>105</v>
          </cell>
          <cell r="P107">
            <v>4.8000000000000007</v>
          </cell>
          <cell r="Q107">
            <v>786.73</v>
          </cell>
          <cell r="R107">
            <v>892.13099999999997</v>
          </cell>
          <cell r="S107">
            <v>0.88</v>
          </cell>
          <cell r="T107">
            <v>0.89</v>
          </cell>
          <cell r="AA107">
            <v>698.71699920000003</v>
          </cell>
          <cell r="AB107">
            <v>145.56604149999998</v>
          </cell>
          <cell r="AC107">
            <v>3493.5849959999996</v>
          </cell>
          <cell r="AD107">
            <v>5.4046259133865373</v>
          </cell>
          <cell r="AE107">
            <v>0.71</v>
          </cell>
          <cell r="AF107">
            <v>0.52380952380952384</v>
          </cell>
          <cell r="AH107">
            <v>0.2952877644044607</v>
          </cell>
          <cell r="AI107">
            <v>353.125</v>
          </cell>
          <cell r="AJ107">
            <v>1.5650805524251432</v>
          </cell>
          <cell r="AK107">
            <v>0</v>
          </cell>
          <cell r="AL107">
            <v>0.14000000000000001</v>
          </cell>
          <cell r="AM107">
            <v>0.12</v>
          </cell>
          <cell r="AN107">
            <v>6.2603222097005723E-2</v>
          </cell>
          <cell r="AO107">
            <v>8.2975974523130791</v>
          </cell>
          <cell r="AP107">
            <v>1.7286661358985578</v>
          </cell>
          <cell r="AQ107">
            <v>8.8214069761226028</v>
          </cell>
        </row>
        <row r="108">
          <cell r="A108" t="str">
            <v>FOM0002</v>
          </cell>
          <cell r="D108" t="str">
            <v>Brand</v>
          </cell>
        </row>
        <row r="109">
          <cell r="A109" t="str">
            <v>FOM0003</v>
          </cell>
          <cell r="D109" t="str">
            <v>Brand</v>
          </cell>
        </row>
        <row r="110">
          <cell r="A110" t="str">
            <v>FOM0004</v>
          </cell>
          <cell r="D110" t="str">
            <v>Brand</v>
          </cell>
          <cell r="AT110">
            <v>250</v>
          </cell>
        </row>
        <row r="111">
          <cell r="A111" t="str">
            <v>FHL0003</v>
          </cell>
          <cell r="B111" t="str">
            <v>FHL0003</v>
          </cell>
          <cell r="C111" t="str">
            <v>Sarah Hill Milk Choc Chunk 160g</v>
          </cell>
          <cell r="D111" t="str">
            <v>CM</v>
          </cell>
          <cell r="H111">
            <v>403</v>
          </cell>
          <cell r="I111">
            <v>31</v>
          </cell>
          <cell r="J111">
            <v>1.9375</v>
          </cell>
          <cell r="K111">
            <v>16492.211237013893</v>
          </cell>
          <cell r="M111">
            <v>0.16</v>
          </cell>
          <cell r="N111">
            <v>9</v>
          </cell>
          <cell r="O111">
            <v>200</v>
          </cell>
          <cell r="P111">
            <v>1.44</v>
          </cell>
          <cell r="Q111">
            <v>1135</v>
          </cell>
          <cell r="R111">
            <v>967.16300000000001</v>
          </cell>
          <cell r="S111">
            <v>0.89</v>
          </cell>
          <cell r="T111">
            <v>0.89</v>
          </cell>
          <cell r="U111">
            <v>0</v>
          </cell>
          <cell r="V111">
            <v>0</v>
          </cell>
          <cell r="W111">
            <v>0</v>
          </cell>
          <cell r="X111">
            <v>0</v>
          </cell>
          <cell r="Y111">
            <v>0</v>
          </cell>
          <cell r="Z111">
            <v>0</v>
          </cell>
          <cell r="AA111">
            <v>766.08981230000006</v>
          </cell>
          <cell r="AB111">
            <v>532.00681409722233</v>
          </cell>
          <cell r="AC111">
            <v>4788.0613268750012</v>
          </cell>
          <cell r="AD111">
            <v>2.1334313206608342</v>
          </cell>
          <cell r="AE111">
            <v>0.4</v>
          </cell>
          <cell r="AF111">
            <v>0.15384615384615385</v>
          </cell>
          <cell r="AH111">
            <v>6.3E-2</v>
          </cell>
          <cell r="AI111">
            <v>353.125</v>
          </cell>
          <cell r="AJ111">
            <v>0.42823244854816372</v>
          </cell>
          <cell r="AK111">
            <v>0</v>
          </cell>
          <cell r="AL111">
            <v>0</v>
          </cell>
          <cell r="AM111">
            <v>1.069020013961257E-2</v>
          </cell>
          <cell r="AN111">
            <v>1.7129297941926549E-2</v>
          </cell>
          <cell r="AO111">
            <v>3.014078387594147</v>
          </cell>
          <cell r="AP111">
            <v>2.199947598222431</v>
          </cell>
          <cell r="AQ111">
            <v>3.1679245414403008</v>
          </cell>
          <cell r="AR111">
            <v>3.9029221228680182</v>
          </cell>
          <cell r="AS111">
            <v>3.9029221228680182</v>
          </cell>
          <cell r="AT111">
            <v>0</v>
          </cell>
          <cell r="AU111">
            <v>0</v>
          </cell>
          <cell r="AV111">
            <v>0</v>
          </cell>
          <cell r="AW111">
            <v>0</v>
          </cell>
          <cell r="AX111">
            <v>0</v>
          </cell>
          <cell r="AY111">
            <v>0</v>
          </cell>
          <cell r="AZ111">
            <v>1.1564787169290137E-2</v>
          </cell>
          <cell r="BA111">
            <v>619.29435291548691</v>
          </cell>
          <cell r="BB111">
            <v>1.069020013961257E-2</v>
          </cell>
          <cell r="BC111">
            <v>0</v>
          </cell>
          <cell r="BD111">
            <v>-3.8404879696428522E-2</v>
          </cell>
        </row>
        <row r="112">
          <cell r="A112" t="str">
            <v>FHL0004</v>
          </cell>
          <cell r="B112" t="str">
            <v>FHL0004</v>
          </cell>
          <cell r="C112" t="str">
            <v>Sarah Hill Stem Ginger &amp; Chocolate Chunk Cookie 160g</v>
          </cell>
          <cell r="D112" t="str">
            <v>CM</v>
          </cell>
          <cell r="H112">
            <v>353</v>
          </cell>
          <cell r="I112">
            <v>31</v>
          </cell>
          <cell r="J112">
            <v>1.9375</v>
          </cell>
          <cell r="K112">
            <v>14739.088606597223</v>
          </cell>
          <cell r="M112">
            <v>0.16</v>
          </cell>
          <cell r="N112">
            <v>9</v>
          </cell>
          <cell r="O112">
            <v>200</v>
          </cell>
          <cell r="P112">
            <v>1.44</v>
          </cell>
          <cell r="Q112">
            <v>1389</v>
          </cell>
          <cell r="R112">
            <v>905.029</v>
          </cell>
          <cell r="S112">
            <v>0.89</v>
          </cell>
          <cell r="T112">
            <v>0.85</v>
          </cell>
          <cell r="AA112">
            <v>684.65443849999997</v>
          </cell>
          <cell r="AB112">
            <v>475.45447118055557</v>
          </cell>
          <cell r="AC112">
            <v>4279.0902406249998</v>
          </cell>
          <cell r="AD112">
            <v>2.9214153703321095</v>
          </cell>
          <cell r="AE112">
            <v>0.4</v>
          </cell>
          <cell r="AF112">
            <v>0.15384615384615385</v>
          </cell>
          <cell r="AH112">
            <v>6.3E-2</v>
          </cell>
          <cell r="AI112">
            <v>353.125</v>
          </cell>
          <cell r="AJ112">
            <v>0.47916802649784068</v>
          </cell>
          <cell r="AK112">
            <v>0</v>
          </cell>
          <cell r="AL112">
            <v>0</v>
          </cell>
          <cell r="AM112">
            <v>1.1424126782266768E-2</v>
          </cell>
          <cell r="AN112">
            <v>1.9166721059913627E-2</v>
          </cell>
          <cell r="AO112">
            <v>3.792591639380483</v>
          </cell>
          <cell r="AP112">
            <v>2.7405818008518312</v>
          </cell>
          <cell r="AQ112">
            <v>3.9464377932266368</v>
          </cell>
          <cell r="AR112">
            <v>4.1708739378731519</v>
          </cell>
          <cell r="AS112">
            <v>4.1708739378731519</v>
          </cell>
          <cell r="AT112">
            <v>0</v>
          </cell>
          <cell r="AU112">
            <v>0</v>
          </cell>
          <cell r="AV112">
            <v>0</v>
          </cell>
          <cell r="AW112">
            <v>0</v>
          </cell>
          <cell r="AX112">
            <v>0</v>
          </cell>
          <cell r="AY112">
            <v>0</v>
          </cell>
          <cell r="AZ112">
            <v>1.2358757844237208E-2</v>
          </cell>
          <cell r="BA112">
            <v>661.81148255890253</v>
          </cell>
          <cell r="BB112">
            <v>1.1424126782266768E-2</v>
          </cell>
          <cell r="BC112">
            <v>0</v>
          </cell>
          <cell r="BD112">
            <v>-0.1015826052916672</v>
          </cell>
        </row>
        <row r="113">
          <cell r="A113" t="str">
            <v>FHL0005</v>
          </cell>
          <cell r="B113" t="str">
            <v>FHL0005</v>
          </cell>
          <cell r="C113" t="str">
            <v>Sarah Hill Granola  Seeds &amp; Nuts 160g</v>
          </cell>
          <cell r="D113" t="str">
            <v>CM</v>
          </cell>
          <cell r="H113">
            <v>353</v>
          </cell>
          <cell r="I113">
            <v>31</v>
          </cell>
          <cell r="J113">
            <v>1.9375</v>
          </cell>
          <cell r="K113">
            <v>14006.391906249999</v>
          </cell>
          <cell r="M113">
            <v>0.16</v>
          </cell>
          <cell r="N113">
            <v>9</v>
          </cell>
          <cell r="O113">
            <v>200</v>
          </cell>
          <cell r="P113">
            <v>1.44</v>
          </cell>
          <cell r="Q113">
            <v>1118</v>
          </cell>
          <cell r="R113">
            <v>879.81</v>
          </cell>
          <cell r="S113">
            <v>0.87</v>
          </cell>
          <cell r="T113">
            <v>0.85</v>
          </cell>
          <cell r="AA113">
            <v>650.61949499999992</v>
          </cell>
          <cell r="AB113">
            <v>451.81909374999998</v>
          </cell>
          <cell r="AC113">
            <v>4066.3718437499997</v>
          </cell>
          <cell r="AD113">
            <v>2.4744416857659637</v>
          </cell>
          <cell r="AE113">
            <v>0.4</v>
          </cell>
          <cell r="AF113">
            <v>0.15384615384615385</v>
          </cell>
          <cell r="AH113">
            <v>6.3E-2</v>
          </cell>
          <cell r="AI113">
            <v>353.125</v>
          </cell>
          <cell r="AJ113">
            <v>0.50423407022107791</v>
          </cell>
          <cell r="AK113">
            <v>0</v>
          </cell>
          <cell r="AL113">
            <v>0</v>
          </cell>
          <cell r="AM113">
            <v>1.2587470067132293E-2</v>
          </cell>
          <cell r="AN113">
            <v>2.0169362808843117E-2</v>
          </cell>
          <cell r="AO113">
            <v>3.3808521912102107</v>
          </cell>
          <cell r="AP113">
            <v>2.4546516285113644</v>
          </cell>
          <cell r="AQ113">
            <v>3.5346983450563645</v>
          </cell>
          <cell r="AR113">
            <v>4.5956029591911909</v>
          </cell>
          <cell r="AS113">
            <v>4.5956029591911909</v>
          </cell>
          <cell r="AT113">
            <v>0</v>
          </cell>
          <cell r="AU113">
            <v>0</v>
          </cell>
          <cell r="AV113">
            <v>0</v>
          </cell>
          <cell r="AW113">
            <v>0</v>
          </cell>
          <cell r="AX113">
            <v>0</v>
          </cell>
          <cell r="AY113">
            <v>0</v>
          </cell>
          <cell r="AZ113">
            <v>1.3617276610826012E-2</v>
          </cell>
          <cell r="BA113">
            <v>729.20516250973299</v>
          </cell>
          <cell r="BB113">
            <v>1.2587470067132293E-2</v>
          </cell>
          <cell r="BC113">
            <v>0</v>
          </cell>
          <cell r="BD113">
            <v>-9.3580397652777633E-2</v>
          </cell>
        </row>
        <row r="114">
          <cell r="A114" t="str">
            <v>FHL0006</v>
          </cell>
          <cell r="B114" t="str">
            <v>FHL0006</v>
          </cell>
          <cell r="C114" t="str">
            <v>Sarah Hill Triple Chocolate Chunk 160g</v>
          </cell>
          <cell r="D114" t="str">
            <v>CM</v>
          </cell>
          <cell r="H114">
            <v>353</v>
          </cell>
          <cell r="I114">
            <v>31</v>
          </cell>
          <cell r="J114">
            <v>1.9375</v>
          </cell>
          <cell r="K114">
            <v>15342.674461805556</v>
          </cell>
          <cell r="M114">
            <v>0.16</v>
          </cell>
          <cell r="N114">
            <v>9</v>
          </cell>
          <cell r="O114">
            <v>200</v>
          </cell>
          <cell r="P114">
            <v>1.44</v>
          </cell>
          <cell r="Q114">
            <v>1359</v>
          </cell>
          <cell r="R114">
            <v>899.75</v>
          </cell>
          <cell r="S114">
            <v>0.89</v>
          </cell>
          <cell r="T114">
            <v>0.89</v>
          </cell>
          <cell r="AA114">
            <v>712.69197500000007</v>
          </cell>
          <cell r="AB114">
            <v>494.92498263888893</v>
          </cell>
          <cell r="AC114">
            <v>4454.3248437500006</v>
          </cell>
          <cell r="AD114">
            <v>2.7458706827728765</v>
          </cell>
          <cell r="AE114">
            <v>0.4</v>
          </cell>
          <cell r="AF114">
            <v>0.15384615384615385</v>
          </cell>
          <cell r="AH114">
            <v>6.3E-2</v>
          </cell>
          <cell r="AI114">
            <v>353.125</v>
          </cell>
          <cell r="AJ114">
            <v>0.46031739887211753</v>
          </cell>
          <cell r="AK114">
            <v>0</v>
          </cell>
          <cell r="AL114">
            <v>0</v>
          </cell>
          <cell r="AM114">
            <v>1.2587470067132293E-2</v>
          </cell>
          <cell r="AN114">
            <v>1.8412695954884702E-2</v>
          </cell>
          <cell r="AO114">
            <v>3.6518378306622332</v>
          </cell>
          <cell r="AP114">
            <v>2.6428361003530467</v>
          </cell>
          <cell r="AQ114">
            <v>3.805683984508387</v>
          </cell>
          <cell r="AR114">
            <v>4.5956029591911909</v>
          </cell>
          <cell r="AS114">
            <v>4.5956029591911909</v>
          </cell>
          <cell r="AT114">
            <v>0</v>
          </cell>
          <cell r="AU114">
            <v>0</v>
          </cell>
          <cell r="AV114">
            <v>0</v>
          </cell>
          <cell r="AW114">
            <v>0</v>
          </cell>
          <cell r="AX114">
            <v>0</v>
          </cell>
          <cell r="AY114">
            <v>0</v>
          </cell>
          <cell r="AZ114">
            <v>1.3617276610826012E-2</v>
          </cell>
          <cell r="BA114">
            <v>729.20516250973299</v>
          </cell>
          <cell r="BB114">
            <v>1.2587470067132293E-2</v>
          </cell>
          <cell r="BC114">
            <v>0</v>
          </cell>
          <cell r="BD114">
            <v>-4.8350417004830622E-2</v>
          </cell>
        </row>
        <row r="115">
          <cell r="A115" t="str">
            <v>Carriage Out</v>
          </cell>
          <cell r="C115" t="str">
            <v>Carriage Out</v>
          </cell>
        </row>
        <row r="116">
          <cell r="A116" t="str">
            <v>ED00040</v>
          </cell>
          <cell r="C116" t="str">
            <v>Chocolate Chips 42% (12000) 16694 Cemoi  ( W )</v>
          </cell>
        </row>
        <row r="117">
          <cell r="A117" t="str">
            <v>FMT0001</v>
          </cell>
          <cell r="B117" t="str">
            <v>FEB0021</v>
          </cell>
          <cell r="C117" t="str">
            <v>Montana - Stem Ginger</v>
          </cell>
          <cell r="D117" t="str">
            <v>CM</v>
          </cell>
          <cell r="I117">
            <v>31</v>
          </cell>
          <cell r="J117">
            <v>1.9375</v>
          </cell>
          <cell r="K117">
            <v>11574.519582239584</v>
          </cell>
          <cell r="M117">
            <v>0.16</v>
          </cell>
          <cell r="N117">
            <v>12</v>
          </cell>
          <cell r="O117">
            <v>160</v>
          </cell>
          <cell r="P117">
            <v>1.92</v>
          </cell>
          <cell r="Q117">
            <v>1389</v>
          </cell>
          <cell r="R117">
            <v>905.029</v>
          </cell>
          <cell r="S117">
            <v>0.89</v>
          </cell>
          <cell r="T117">
            <v>0.89</v>
          </cell>
          <cell r="AA117">
            <v>716.87347090000003</v>
          </cell>
          <cell r="AB117">
            <v>373.37159942708337</v>
          </cell>
          <cell r="AC117">
            <v>4480.4591931250006</v>
          </cell>
          <cell r="AD117">
            <v>3.7201544041682291</v>
          </cell>
          <cell r="AE117">
            <v>0.60000000000000009</v>
          </cell>
          <cell r="AF117">
            <v>0.22836538461538464</v>
          </cell>
          <cell r="AH117">
            <v>8.4000000000000005E-2</v>
          </cell>
          <cell r="AI117">
            <v>353.125</v>
          </cell>
          <cell r="AJ117">
            <v>0.61017651314331767</v>
          </cell>
          <cell r="AK117">
            <v>0</v>
          </cell>
          <cell r="AL117">
            <v>0</v>
          </cell>
          <cell r="AM117">
            <v>1.7032344754800987E-2</v>
          </cell>
          <cell r="AN117">
            <v>2.4407060525732709E-2</v>
          </cell>
          <cell r="AO117">
            <v>4.9514702372587216</v>
          </cell>
          <cell r="AP117">
            <v>2.6978310530594305</v>
          </cell>
          <cell r="AQ117">
            <v>5.1798356218741066</v>
          </cell>
          <cell r="AR117">
            <v>5.062305142228853</v>
          </cell>
          <cell r="AS117">
            <v>5.062305142228853</v>
          </cell>
          <cell r="AT117">
            <v>0</v>
          </cell>
          <cell r="AU117">
            <v>0</v>
          </cell>
          <cell r="AV117">
            <v>0</v>
          </cell>
          <cell r="AW117">
            <v>0</v>
          </cell>
          <cell r="AX117">
            <v>0</v>
          </cell>
          <cell r="AY117">
            <v>0</v>
          </cell>
          <cell r="AZ117">
            <v>1.4909265366597502E-2</v>
          </cell>
          <cell r="BA117">
            <v>798.39116038129623</v>
          </cell>
          <cell r="BB117">
            <v>1.7032344754800987E-2</v>
          </cell>
          <cell r="BC117">
            <v>0</v>
          </cell>
          <cell r="BD117">
            <v>-0.10430008533333358</v>
          </cell>
        </row>
        <row r="118">
          <cell r="A118" t="str">
            <v>FMT0002</v>
          </cell>
          <cell r="B118" t="str">
            <v>FEB0023</v>
          </cell>
          <cell r="C118" t="str">
            <v>Montana - Triple Choc Chunk</v>
          </cell>
          <cell r="D118" t="str">
            <v>CM</v>
          </cell>
          <cell r="I118">
            <v>31</v>
          </cell>
          <cell r="J118">
            <v>1.9375</v>
          </cell>
          <cell r="K118">
            <v>11507.005846354168</v>
          </cell>
          <cell r="M118">
            <v>0.16</v>
          </cell>
          <cell r="N118">
            <v>12</v>
          </cell>
          <cell r="O118">
            <v>160</v>
          </cell>
          <cell r="P118">
            <v>1.92</v>
          </cell>
          <cell r="Q118">
            <v>1359</v>
          </cell>
          <cell r="R118">
            <v>899.75</v>
          </cell>
          <cell r="S118">
            <v>0.89</v>
          </cell>
          <cell r="T118">
            <v>0.89</v>
          </cell>
          <cell r="AA118">
            <v>712.69197500000007</v>
          </cell>
          <cell r="AB118">
            <v>371.19373697916672</v>
          </cell>
          <cell r="AC118">
            <v>4454.3248437500006</v>
          </cell>
          <cell r="AD118">
            <v>3.6611609103638352</v>
          </cell>
          <cell r="AE118">
            <v>0.60000000000000009</v>
          </cell>
          <cell r="AF118">
            <v>0.22836538461538464</v>
          </cell>
          <cell r="AH118">
            <v>8.4000000000000005E-2</v>
          </cell>
          <cell r="AI118">
            <v>353.125</v>
          </cell>
          <cell r="AJ118">
            <v>0.61375653182948997</v>
          </cell>
          <cell r="AK118">
            <v>0</v>
          </cell>
          <cell r="AL118">
            <v>0</v>
          </cell>
          <cell r="AM118">
            <v>1.7132276678069221E-2</v>
          </cell>
          <cell r="AN118">
            <v>2.4550261273179601E-2</v>
          </cell>
          <cell r="AO118">
            <v>4.9522495631397563</v>
          </cell>
          <cell r="AP118">
            <v>2.6982369519558027</v>
          </cell>
          <cell r="AQ118">
            <v>5.1806149477551413</v>
          </cell>
          <cell r="AR118">
            <v>4.6846460947162401</v>
          </cell>
          <cell r="AS118">
            <v>4.6846460947162401</v>
          </cell>
          <cell r="AT118">
            <v>0</v>
          </cell>
          <cell r="AU118">
            <v>0</v>
          </cell>
          <cell r="AV118">
            <v>0</v>
          </cell>
          <cell r="AW118">
            <v>0</v>
          </cell>
          <cell r="AX118">
            <v>0</v>
          </cell>
          <cell r="AY118">
            <v>0</v>
          </cell>
          <cell r="AZ118">
            <v>1.3797001526456304E-2</v>
          </cell>
          <cell r="BA118">
            <v>738.82943174173511</v>
          </cell>
          <cell r="BB118">
            <v>1.7132276678069221E-2</v>
          </cell>
          <cell r="BC118">
            <v>0</v>
          </cell>
          <cell r="BD118">
            <v>-4.8350417004830622E-2</v>
          </cell>
        </row>
        <row r="119">
          <cell r="A119" t="str">
            <v>FMT0003</v>
          </cell>
          <cell r="B119" t="str">
            <v>FEB0024</v>
          </cell>
          <cell r="C119" t="str">
            <v>Montana - Milk Choc Chunk</v>
          </cell>
          <cell r="D119" t="str">
            <v>CM</v>
          </cell>
          <cell r="I119">
            <v>31</v>
          </cell>
          <cell r="J119">
            <v>1.9375</v>
          </cell>
          <cell r="K119">
            <v>11855.509218749999</v>
          </cell>
          <cell r="M119">
            <v>0.16</v>
          </cell>
          <cell r="N119">
            <v>12</v>
          </cell>
          <cell r="O119">
            <v>160</v>
          </cell>
          <cell r="P119">
            <v>1.92</v>
          </cell>
          <cell r="Q119">
            <v>1135</v>
          </cell>
          <cell r="R119">
            <v>927</v>
          </cell>
          <cell r="S119">
            <v>0.89</v>
          </cell>
          <cell r="T119">
            <v>0.89</v>
          </cell>
          <cell r="AA119">
            <v>734.27670000000001</v>
          </cell>
          <cell r="AB119">
            <v>382.43578124999999</v>
          </cell>
          <cell r="AC119">
            <v>4589.2293749999999</v>
          </cell>
          <cell r="AD119">
            <v>2.9678185348929089</v>
          </cell>
          <cell r="AE119">
            <v>0.60000000000000009</v>
          </cell>
          <cell r="AF119">
            <v>0.22836538461538464</v>
          </cell>
          <cell r="AH119">
            <v>8.4000000000000005E-2</v>
          </cell>
          <cell r="AI119">
            <v>353.125</v>
          </cell>
          <cell r="AJ119">
            <v>0.59571460573202129</v>
          </cell>
          <cell r="AK119">
            <v>0</v>
          </cell>
          <cell r="AL119">
            <v>0</v>
          </cell>
          <cell r="AM119">
            <v>1.5938126190820762E-2</v>
          </cell>
          <cell r="AN119">
            <v>2.3828584229280851E-2</v>
          </cell>
          <cell r="AO119">
            <v>4.2455752228969024</v>
          </cell>
          <cell r="AP119">
            <v>2.3301773997459829</v>
          </cell>
          <cell r="AQ119">
            <v>4.4739406075122874</v>
          </cell>
          <cell r="AR119">
            <v>5.9213557597920881</v>
          </cell>
          <cell r="AS119">
            <v>5.9213557597920881</v>
          </cell>
          <cell r="AT119">
            <v>0</v>
          </cell>
          <cell r="AU119">
            <v>0</v>
          </cell>
          <cell r="AV119">
            <v>0</v>
          </cell>
          <cell r="AW119">
            <v>0</v>
          </cell>
          <cell r="AX119">
            <v>0</v>
          </cell>
          <cell r="AY119">
            <v>0</v>
          </cell>
          <cell r="AZ119">
            <v>1.7439301241706891E-2</v>
          </cell>
          <cell r="BA119">
            <v>933.87458149340398</v>
          </cell>
          <cell r="BB119">
            <v>1.5938126190820762E-2</v>
          </cell>
          <cell r="BC119">
            <v>0</v>
          </cell>
          <cell r="BD119">
            <v>-4.1724628148147834E-2</v>
          </cell>
        </row>
        <row r="120">
          <cell r="A120" t="str">
            <v>FHS0001</v>
          </cell>
          <cell r="C120" t="str">
            <v>Handi Snax 8%</v>
          </cell>
          <cell r="D120" t="str">
            <v>CM</v>
          </cell>
          <cell r="AF120">
            <v>0.6</v>
          </cell>
          <cell r="AO120">
            <v>7.5</v>
          </cell>
          <cell r="AQ120">
            <v>9</v>
          </cell>
        </row>
        <row r="121">
          <cell r="A121" t="str">
            <v>FBL0002</v>
          </cell>
          <cell r="B121" t="str">
            <v>FOM0006</v>
          </cell>
          <cell r="C121" t="str">
            <v>Bolands Double Chocolate Chip Cookie 14%</v>
          </cell>
          <cell r="D121" t="str">
            <v>CM</v>
          </cell>
          <cell r="M121">
            <v>0.14499999999999999</v>
          </cell>
          <cell r="N121">
            <v>20</v>
          </cell>
          <cell r="O121">
            <v>161</v>
          </cell>
          <cell r="P121">
            <v>2.9</v>
          </cell>
          <cell r="Q121">
            <v>641</v>
          </cell>
          <cell r="R121">
            <v>905.63099999999997</v>
          </cell>
          <cell r="S121">
            <v>0.89</v>
          </cell>
          <cell r="T121">
            <v>0.89</v>
          </cell>
          <cell r="AA121">
            <v>717.35031509999999</v>
          </cell>
          <cell r="AB121">
            <v>247.36217762068966</v>
          </cell>
          <cell r="AC121">
            <v>4947.2435524137936</v>
          </cell>
          <cell r="AD121">
            <v>2.5913419996767768</v>
          </cell>
          <cell r="AE121">
            <v>0.6</v>
          </cell>
          <cell r="AF121">
            <v>5.9722885809842335E-2</v>
          </cell>
          <cell r="AH121">
            <v>0.14000000000000001</v>
          </cell>
          <cell r="AI121">
            <v>353.125</v>
          </cell>
          <cell r="AJ121">
            <v>0.92100814617871452</v>
          </cell>
          <cell r="AK121">
            <v>0</v>
          </cell>
          <cell r="AL121">
            <v>0</v>
          </cell>
          <cell r="AM121">
            <v>2.5865582178614895E-2</v>
          </cell>
          <cell r="AN121">
            <v>3.6840325847148581E-2</v>
          </cell>
          <cell r="AO121">
            <v>4.2854196414881072</v>
          </cell>
          <cell r="AP121">
            <v>1.498325009413086</v>
          </cell>
          <cell r="AQ121">
            <v>4.3451425272979494</v>
          </cell>
          <cell r="AR121">
            <v>2.5429605452014061</v>
          </cell>
          <cell r="AS121">
            <v>2.5429605452014061</v>
          </cell>
          <cell r="AT121">
            <v>0</v>
          </cell>
          <cell r="AU121">
            <v>0</v>
          </cell>
          <cell r="AV121">
            <v>0</v>
          </cell>
          <cell r="AW121">
            <v>6134.5820049931044</v>
          </cell>
          <cell r="AX121">
            <v>0</v>
          </cell>
          <cell r="AY121">
            <v>0</v>
          </cell>
          <cell r="AZ121">
            <v>7.5350715590362721E-3</v>
          </cell>
          <cell r="BA121">
            <v>403.50308198639237</v>
          </cell>
          <cell r="BB121">
            <v>2.5865582178614895E-2</v>
          </cell>
          <cell r="BC121">
            <v>403.50308198639237</v>
          </cell>
          <cell r="BD121">
            <v>-2.9636412393162153E-2</v>
          </cell>
        </row>
        <row r="122">
          <cell r="A122" t="str">
            <v>FAL9991</v>
          </cell>
          <cell r="B122" t="str">
            <v>FA00011</v>
          </cell>
          <cell r="C122" t="str">
            <v>Aldi Belmont 25% Choc Chip Cookie 200g</v>
          </cell>
          <cell r="D122" t="str">
            <v>PL</v>
          </cell>
          <cell r="M122">
            <v>0.2</v>
          </cell>
          <cell r="N122">
            <v>30</v>
          </cell>
          <cell r="O122">
            <v>50</v>
          </cell>
          <cell r="P122">
            <v>6</v>
          </cell>
          <cell r="Q122">
            <v>736.41</v>
          </cell>
          <cell r="R122">
            <v>928.755</v>
          </cell>
          <cell r="S122">
            <v>0.88</v>
          </cell>
          <cell r="T122">
            <v>0.88</v>
          </cell>
          <cell r="AA122">
            <v>719.22787200000005</v>
          </cell>
          <cell r="AB122">
            <v>119.871312</v>
          </cell>
          <cell r="AC122">
            <v>3596.1393600000001</v>
          </cell>
          <cell r="AD122">
            <v>6.1433381157953786</v>
          </cell>
          <cell r="AE122">
            <v>1.05</v>
          </cell>
          <cell r="AF122">
            <v>0.8</v>
          </cell>
          <cell r="AH122">
            <v>0.28200000000000003</v>
          </cell>
          <cell r="AI122">
            <v>353.125</v>
          </cell>
          <cell r="AJ122">
            <v>1.550456569274012</v>
          </cell>
          <cell r="AK122">
            <v>0</v>
          </cell>
          <cell r="AL122">
            <v>0</v>
          </cell>
          <cell r="AM122">
            <v>0</v>
          </cell>
          <cell r="AN122">
            <v>6.2018262770960481E-2</v>
          </cell>
          <cell r="AO122">
            <v>9.0878129478403018</v>
          </cell>
          <cell r="AP122">
            <v>1.6479688246400503</v>
          </cell>
          <cell r="AQ122">
            <v>9.8878129478403025</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row>
        <row r="123">
          <cell r="A123" t="str">
            <v>NSET0002</v>
          </cell>
          <cell r="B123" t="str">
            <v>NSET0002</v>
          </cell>
          <cell r="C123" t="str">
            <v>Montana Chocolate Enrobed Milk Chocolate Chunk Cookie 160g</v>
          </cell>
          <cell r="D123" t="str">
            <v>CM</v>
          </cell>
          <cell r="M123">
            <v>0.16</v>
          </cell>
          <cell r="N123">
            <v>12</v>
          </cell>
          <cell r="O123">
            <v>160</v>
          </cell>
          <cell r="P123">
            <v>1.92</v>
          </cell>
          <cell r="Q123">
            <v>1189</v>
          </cell>
          <cell r="R123">
            <v>900.06700000000001</v>
          </cell>
          <cell r="S123">
            <v>0.89</v>
          </cell>
          <cell r="T123">
            <v>0.89</v>
          </cell>
          <cell r="U123">
            <v>0.16</v>
          </cell>
          <cell r="V123">
            <v>2.95</v>
          </cell>
          <cell r="W123">
            <v>0.93</v>
          </cell>
          <cell r="X123">
            <v>3.172043010752688</v>
          </cell>
          <cell r="Y123">
            <v>171.44133333333343</v>
          </cell>
          <cell r="Z123">
            <v>543.8192831541221</v>
          </cell>
          <cell r="AA123">
            <v>884.38440403333345</v>
          </cell>
          <cell r="AB123">
            <v>460.61687710069452</v>
          </cell>
          <cell r="AC123">
            <v>5527.4025252083338</v>
          </cell>
          <cell r="AD123">
            <v>3.7619535221140281</v>
          </cell>
          <cell r="AE123">
            <v>0.59040000000000004</v>
          </cell>
          <cell r="AF123">
            <v>0.28125</v>
          </cell>
          <cell r="AH123">
            <v>8.4000000000000005E-2</v>
          </cell>
          <cell r="AI123">
            <v>353.125</v>
          </cell>
          <cell r="AJ123">
            <v>0.49460319838727368</v>
          </cell>
          <cell r="AK123">
            <v>0</v>
          </cell>
          <cell r="AL123">
            <v>0</v>
          </cell>
          <cell r="AM123">
            <v>1.3890430531772271E-2</v>
          </cell>
          <cell r="AN123">
            <v>1.9784127935490947E-2</v>
          </cell>
          <cell r="AO123">
            <v>4.9199036911496385</v>
          </cell>
          <cell r="AP123">
            <v>2.7089342141404367</v>
          </cell>
          <cell r="AQ123">
            <v>5.2011536911496385</v>
          </cell>
          <cell r="AR123">
            <v>5.5396652474238337</v>
          </cell>
          <cell r="AS123">
            <v>5.5396652474238337</v>
          </cell>
          <cell r="AT123">
            <v>0</v>
          </cell>
          <cell r="AU123">
            <v>0</v>
          </cell>
          <cell r="AV123">
            <v>0</v>
          </cell>
          <cell r="AW123">
            <v>11423.298552097225</v>
          </cell>
          <cell r="AX123">
            <v>0</v>
          </cell>
          <cell r="AY123">
            <v>0</v>
          </cell>
          <cell r="AZ123">
            <v>1.6414636920424164E-2</v>
          </cell>
          <cell r="BA123">
            <v>879.00380708871398</v>
          </cell>
          <cell r="BB123">
            <v>1.3890430531772271E-2</v>
          </cell>
          <cell r="BC123">
            <v>879.00380708871398</v>
          </cell>
          <cell r="BD123">
            <v>-4.4727587818929347E-2</v>
          </cell>
        </row>
        <row r="124">
          <cell r="A124" t="str">
            <v>NSET0004</v>
          </cell>
          <cell r="B124" t="str">
            <v>NSET0004</v>
          </cell>
          <cell r="C124" t="str">
            <v>Montana Granola Crunchy with Nuts &amp; Seeds 160g</v>
          </cell>
          <cell r="D124" t="str">
            <v>CM</v>
          </cell>
          <cell r="M124">
            <v>0.16</v>
          </cell>
          <cell r="N124">
            <v>12</v>
          </cell>
          <cell r="O124">
            <v>160</v>
          </cell>
          <cell r="P124">
            <v>1.92</v>
          </cell>
          <cell r="Q124">
            <v>1118</v>
          </cell>
          <cell r="R124">
            <v>879.81</v>
          </cell>
          <cell r="S124">
            <v>0.87</v>
          </cell>
          <cell r="T124">
            <v>0.85</v>
          </cell>
          <cell r="AA124">
            <v>650.61949499999992</v>
          </cell>
          <cell r="AB124">
            <v>338.86432031249996</v>
          </cell>
          <cell r="AC124">
            <v>4066.3718437499992</v>
          </cell>
          <cell r="AD124">
            <v>3.2992555810212854</v>
          </cell>
          <cell r="AE124">
            <v>0.59040000000000004</v>
          </cell>
          <cell r="AF124">
            <v>0.28125</v>
          </cell>
          <cell r="AH124">
            <v>8.4000000000000005E-2</v>
          </cell>
          <cell r="AI124">
            <v>353.125</v>
          </cell>
          <cell r="AJ124">
            <v>0.67231209362810385</v>
          </cell>
          <cell r="AK124">
            <v>0</v>
          </cell>
          <cell r="AL124">
            <v>0</v>
          </cell>
          <cell r="AM124">
            <v>1.8881205100698437E-2</v>
          </cell>
          <cell r="AN124">
            <v>2.6892483745124155E-2</v>
          </cell>
          <cell r="AO124">
            <v>4.5967607050589541</v>
          </cell>
          <cell r="AP124">
            <v>2.5406305755515386</v>
          </cell>
          <cell r="AQ124">
            <v>4.8780107050589541</v>
          </cell>
          <cell r="AR124">
            <v>5.020029460165599</v>
          </cell>
          <cell r="AS124">
            <v>5.020029460165599</v>
          </cell>
          <cell r="AT124">
            <v>0</v>
          </cell>
          <cell r="AU124">
            <v>0</v>
          </cell>
          <cell r="AV124">
            <v>0</v>
          </cell>
          <cell r="AW124">
            <v>8403.8351437500005</v>
          </cell>
          <cell r="AX124">
            <v>0</v>
          </cell>
          <cell r="AY124">
            <v>0</v>
          </cell>
          <cell r="AZ124">
            <v>1.4874898976390575E-2</v>
          </cell>
          <cell r="BA124">
            <v>796.55084018571529</v>
          </cell>
          <cell r="BB124">
            <v>1.8881205100698437E-2</v>
          </cell>
          <cell r="BC124">
            <v>796.55084018571529</v>
          </cell>
          <cell r="BD124">
            <v>-9.4980658436214241E-2</v>
          </cell>
        </row>
        <row r="125">
          <cell r="A125" t="str">
            <v>NSET0005</v>
          </cell>
          <cell r="B125" t="str">
            <v>NSET0005</v>
          </cell>
          <cell r="C125" t="str">
            <v>Montana Granola Crunchy with Choc Chip 160g</v>
          </cell>
          <cell r="D125" t="str">
            <v>CM</v>
          </cell>
          <cell r="M125">
            <v>0.16</v>
          </cell>
          <cell r="N125">
            <v>12</v>
          </cell>
          <cell r="O125">
            <v>160</v>
          </cell>
          <cell r="P125">
            <v>1.92</v>
          </cell>
          <cell r="Q125">
            <v>1118</v>
          </cell>
          <cell r="R125">
            <v>879.81</v>
          </cell>
          <cell r="S125">
            <v>0.87</v>
          </cell>
          <cell r="T125">
            <v>0.85</v>
          </cell>
          <cell r="AA125">
            <v>650.61949499999992</v>
          </cell>
          <cell r="AB125">
            <v>338.86432031249996</v>
          </cell>
          <cell r="AC125">
            <v>4066.3718437499992</v>
          </cell>
          <cell r="AD125">
            <v>3.2992555810212854</v>
          </cell>
          <cell r="AE125">
            <v>0.59040000000000004</v>
          </cell>
          <cell r="AF125">
            <v>0.28125</v>
          </cell>
          <cell r="AH125">
            <v>8.4000000000000005E-2</v>
          </cell>
          <cell r="AI125">
            <v>353.125</v>
          </cell>
          <cell r="AJ125">
            <v>0.67231209362810385</v>
          </cell>
          <cell r="AK125">
            <v>0</v>
          </cell>
          <cell r="AL125">
            <v>0</v>
          </cell>
          <cell r="AM125">
            <v>1.8881205100698437E-2</v>
          </cell>
          <cell r="AN125">
            <v>2.6892483745124155E-2</v>
          </cell>
          <cell r="AO125">
            <v>4.5967607050589541</v>
          </cell>
          <cell r="AP125">
            <v>2.5406305755515386</v>
          </cell>
          <cell r="AQ125">
            <v>4.8780107050589541</v>
          </cell>
          <cell r="AR125">
            <v>5.020029460165599</v>
          </cell>
          <cell r="AS125">
            <v>5.020029460165599</v>
          </cell>
          <cell r="AT125">
            <v>0</v>
          </cell>
          <cell r="AU125">
            <v>0</v>
          </cell>
          <cell r="AV125">
            <v>0</v>
          </cell>
          <cell r="AW125">
            <v>8403.8351437500005</v>
          </cell>
          <cell r="AX125">
            <v>0</v>
          </cell>
          <cell r="AY125">
            <v>0</v>
          </cell>
          <cell r="AZ125">
            <v>1.4874898976390575E-2</v>
          </cell>
          <cell r="BA125">
            <v>796.55084018571529</v>
          </cell>
          <cell r="BB125">
            <v>1.8881205100698437E-2</v>
          </cell>
          <cell r="BC125">
            <v>796.55084018571529</v>
          </cell>
          <cell r="BD125">
            <v>-9.4980658436214241E-2</v>
          </cell>
        </row>
        <row r="126">
          <cell r="A126" t="str">
            <v>NFOX9901</v>
          </cell>
          <cell r="B126" t="str">
            <v>NFFE9903</v>
          </cell>
          <cell r="C126" t="str">
            <v>FOXs / ECB (FEB00036) Enrobed Double Choc Chip 170g</v>
          </cell>
          <cell r="D126" t="str">
            <v>CM</v>
          </cell>
          <cell r="M126">
            <v>0.16</v>
          </cell>
          <cell r="N126">
            <v>12</v>
          </cell>
          <cell r="O126">
            <v>160</v>
          </cell>
          <cell r="P126">
            <v>1.92</v>
          </cell>
          <cell r="Q126">
            <v>1682</v>
          </cell>
          <cell r="R126">
            <v>860.06700000000001</v>
          </cell>
          <cell r="S126">
            <v>0.89</v>
          </cell>
          <cell r="T126">
            <v>0.89</v>
          </cell>
          <cell r="U126">
            <v>0.35</v>
          </cell>
          <cell r="V126">
            <v>2.95</v>
          </cell>
          <cell r="W126">
            <v>0.93</v>
          </cell>
          <cell r="X126">
            <v>3.172043010752688</v>
          </cell>
          <cell r="Y126">
            <v>463.11300000000006</v>
          </cell>
          <cell r="Z126">
            <v>1469.0143548387098</v>
          </cell>
          <cell r="AA126">
            <v>1144.3720707000002</v>
          </cell>
          <cell r="AB126">
            <v>596.02712015625013</v>
          </cell>
          <cell r="AC126">
            <v>7152.3254418750021</v>
          </cell>
          <cell r="AD126">
            <v>5.286696273170695</v>
          </cell>
          <cell r="AE126">
            <v>0.59040000000000004</v>
          </cell>
          <cell r="AF126">
            <v>0.20432692307692307</v>
          </cell>
          <cell r="AH126">
            <v>0.10799999999999998</v>
          </cell>
          <cell r="AI126">
            <v>353.125</v>
          </cell>
          <cell r="AJ126">
            <v>0.51760620621746711</v>
          </cell>
          <cell r="AK126">
            <v>0</v>
          </cell>
          <cell r="AL126">
            <v>0.49156229420705538</v>
          </cell>
          <cell r="AM126">
            <v>0.14856841609103541</v>
          </cell>
          <cell r="AN126">
            <v>2.0704248248698685E-2</v>
          </cell>
          <cell r="AO126">
            <v>6.9216917853743025</v>
          </cell>
          <cell r="AP126">
            <v>3.7114680773183468</v>
          </cell>
          <cell r="AQ126">
            <v>7.1260187084512259</v>
          </cell>
          <cell r="AR126">
            <v>0.21676257102843366</v>
          </cell>
          <cell r="AS126">
            <v>3</v>
          </cell>
          <cell r="AT126">
            <v>0.92774580965718878</v>
          </cell>
          <cell r="AU126">
            <v>1.5</v>
          </cell>
          <cell r="AV126">
            <v>525</v>
          </cell>
          <cell r="AW126">
            <v>1068.0233333333333</v>
          </cell>
          <cell r="AX126">
            <v>0.49156229420705538</v>
          </cell>
          <cell r="AY126">
            <v>1575</v>
          </cell>
          <cell r="AZ126">
            <v>8.8893296908460102E-3</v>
          </cell>
          <cell r="BA126">
            <v>476.02360494480382</v>
          </cell>
          <cell r="BB126">
            <v>0.14856841609103541</v>
          </cell>
          <cell r="BC126">
            <v>476.02360494480388</v>
          </cell>
          <cell r="BD126">
            <v>-0.24184565256064891</v>
          </cell>
        </row>
        <row r="127">
          <cell r="A127" t="str">
            <v>NFOX9902</v>
          </cell>
          <cell r="B127" t="str">
            <v>NFFE9904</v>
          </cell>
          <cell r="C127" t="str">
            <v>FOXs / ECB (FEB00035) Enrobed Ginger Crunch 160g</v>
          </cell>
          <cell r="D127" t="str">
            <v>CM</v>
          </cell>
          <cell r="M127">
            <v>0.16</v>
          </cell>
          <cell r="N127">
            <v>12</v>
          </cell>
          <cell r="O127">
            <v>160</v>
          </cell>
          <cell r="P127">
            <v>1.92</v>
          </cell>
          <cell r="Q127">
            <v>1682</v>
          </cell>
          <cell r="R127">
            <v>860.06700000000001</v>
          </cell>
          <cell r="S127">
            <v>0.89</v>
          </cell>
          <cell r="T127">
            <v>0.89</v>
          </cell>
          <cell r="U127">
            <v>0.35</v>
          </cell>
          <cell r="V127">
            <v>2.95</v>
          </cell>
          <cell r="W127">
            <v>0.93</v>
          </cell>
          <cell r="X127">
            <v>3.172043010752688</v>
          </cell>
          <cell r="Y127">
            <v>463.11300000000006</v>
          </cell>
          <cell r="Z127">
            <v>1469.0143548387098</v>
          </cell>
          <cell r="AA127">
            <v>1144.3720707000002</v>
          </cell>
          <cell r="AB127">
            <v>596.02712015625013</v>
          </cell>
          <cell r="AC127">
            <v>7152.3254418750021</v>
          </cell>
          <cell r="AD127">
            <v>5.286696273170695</v>
          </cell>
          <cell r="AE127">
            <v>0.59040000000000004</v>
          </cell>
          <cell r="AF127">
            <v>0.20432692307692307</v>
          </cell>
          <cell r="AH127">
            <v>0.10799999999999998</v>
          </cell>
          <cell r="AI127">
            <v>353.125</v>
          </cell>
          <cell r="AJ127">
            <v>0.51760620621746711</v>
          </cell>
          <cell r="AK127">
            <v>0</v>
          </cell>
          <cell r="AL127">
            <v>0.42031046933334759</v>
          </cell>
          <cell r="AM127">
            <v>0.12703346337022384</v>
          </cell>
          <cell r="AN127">
            <v>2.0704248248698685E-2</v>
          </cell>
          <cell r="AO127">
            <v>6.8262501448485438</v>
          </cell>
          <cell r="AP127">
            <v>3.6617588895445143</v>
          </cell>
          <cell r="AQ127">
            <v>7.0305770679254671</v>
          </cell>
          <cell r="AR127">
            <v>0.25350857160888413</v>
          </cell>
          <cell r="AS127">
            <v>3</v>
          </cell>
          <cell r="AT127">
            <v>0.91549714279703864</v>
          </cell>
          <cell r="AU127">
            <v>1.5</v>
          </cell>
          <cell r="AV127">
            <v>525</v>
          </cell>
          <cell r="AW127">
            <v>1249.0766666666666</v>
          </cell>
          <cell r="AX127">
            <v>0.42031046933334759</v>
          </cell>
          <cell r="AY127">
            <v>1575</v>
          </cell>
          <cell r="AZ127">
            <v>8.8893296908460102E-3</v>
          </cell>
          <cell r="BA127">
            <v>476.02360494480382</v>
          </cell>
          <cell r="BB127">
            <v>0.12703346337022384</v>
          </cell>
          <cell r="BC127">
            <v>476.02360494480388</v>
          </cell>
          <cell r="BD127">
            <v>-0.24450051549188773</v>
          </cell>
        </row>
        <row r="128">
          <cell r="A128" t="str">
            <v>NFOX9903</v>
          </cell>
          <cell r="B128" t="str">
            <v>NFFE9905</v>
          </cell>
          <cell r="C128" t="str">
            <v>FOXs / ECB (FEB00034) Enrobed Coconut Crunch 160g</v>
          </cell>
          <cell r="D128" t="str">
            <v>CM</v>
          </cell>
          <cell r="M128">
            <v>0.16</v>
          </cell>
          <cell r="N128">
            <v>12</v>
          </cell>
          <cell r="O128">
            <v>160</v>
          </cell>
          <cell r="P128">
            <v>1.92</v>
          </cell>
          <cell r="Q128">
            <v>1682</v>
          </cell>
          <cell r="R128">
            <v>860.06700000000001</v>
          </cell>
          <cell r="S128">
            <v>0.89</v>
          </cell>
          <cell r="T128">
            <v>0.89</v>
          </cell>
          <cell r="U128">
            <v>0.35</v>
          </cell>
          <cell r="V128">
            <v>2.95</v>
          </cell>
          <cell r="W128">
            <v>0.93</v>
          </cell>
          <cell r="X128">
            <v>3.172043010752688</v>
          </cell>
          <cell r="Y128">
            <v>463.11300000000006</v>
          </cell>
          <cell r="Z128">
            <v>1469.0143548387098</v>
          </cell>
          <cell r="AA128">
            <v>1144.3720707000002</v>
          </cell>
          <cell r="AB128">
            <v>596.02712015625013</v>
          </cell>
          <cell r="AC128">
            <v>7152.3254418750021</v>
          </cell>
          <cell r="AD128">
            <v>5.286696273170695</v>
          </cell>
          <cell r="AE128">
            <v>0.59040000000000004</v>
          </cell>
          <cell r="AF128">
            <v>0.20432692307692307</v>
          </cell>
          <cell r="AH128">
            <v>0.10799999999999998</v>
          </cell>
          <cell r="AI128">
            <v>353.125</v>
          </cell>
          <cell r="AJ128">
            <v>0.51760620621746711</v>
          </cell>
          <cell r="AK128">
            <v>0</v>
          </cell>
          <cell r="AL128">
            <v>0.48342689817955242</v>
          </cell>
          <cell r="AM128">
            <v>0.14610959669759693</v>
          </cell>
          <cell r="AN128">
            <v>2.0704248248698685E-2</v>
          </cell>
          <cell r="AO128">
            <v>6.9092077496201902</v>
          </cell>
          <cell r="AP128">
            <v>3.7049659753630801</v>
          </cell>
          <cell r="AQ128">
            <v>7.1135346726971136</v>
          </cell>
          <cell r="AR128">
            <v>0.22041038079221942</v>
          </cell>
          <cell r="AS128">
            <v>3</v>
          </cell>
          <cell r="AT128">
            <v>0.92652987306926016</v>
          </cell>
          <cell r="AU128">
            <v>1.5</v>
          </cell>
          <cell r="AV128">
            <v>525</v>
          </cell>
          <cell r="AW128">
            <v>1085.9966666666667</v>
          </cell>
          <cell r="AX128">
            <v>0.48342689817955242</v>
          </cell>
          <cell r="AY128">
            <v>1575</v>
          </cell>
          <cell r="AZ128">
            <v>8.8893296908460102E-3</v>
          </cell>
          <cell r="BA128">
            <v>476.02360494480382</v>
          </cell>
          <cell r="BB128">
            <v>0.14610959669759693</v>
          </cell>
          <cell r="BC128">
            <v>476.02360494480382</v>
          </cell>
          <cell r="BD128">
            <v>-0.24373547289381939</v>
          </cell>
        </row>
        <row r="129">
          <cell r="A129" t="str">
            <v>FGG0002</v>
          </cell>
          <cell r="C129" t="str">
            <v>Irish Girl Guides HC Butter Choc Chunk</v>
          </cell>
          <cell r="D129" t="str">
            <v>CM</v>
          </cell>
          <cell r="M129">
            <v>0.16</v>
          </cell>
          <cell r="N129">
            <v>12</v>
          </cell>
          <cell r="O129">
            <v>160</v>
          </cell>
          <cell r="P129">
            <v>1.92</v>
          </cell>
          <cell r="Q129">
            <v>1682</v>
          </cell>
          <cell r="R129">
            <v>860.06700000000001</v>
          </cell>
          <cell r="S129">
            <v>0.89</v>
          </cell>
          <cell r="T129">
            <v>0.89</v>
          </cell>
          <cell r="U129">
            <v>0.16</v>
          </cell>
          <cell r="V129">
            <v>2.95</v>
          </cell>
          <cell r="W129">
            <v>0.93</v>
          </cell>
          <cell r="X129">
            <v>3.172043010752688</v>
          </cell>
          <cell r="Y129">
            <v>163.82228571428573</v>
          </cell>
          <cell r="Z129">
            <v>519.65133640552995</v>
          </cell>
          <cell r="AA129">
            <v>845.08135641428578</v>
          </cell>
          <cell r="AB129">
            <v>440.14653979910719</v>
          </cell>
          <cell r="AC129">
            <v>5281.7584775892865</v>
          </cell>
          <cell r="AD129">
            <v>5.0020871171915005</v>
          </cell>
          <cell r="AE129">
            <v>0.7</v>
          </cell>
          <cell r="AF129">
            <v>0.34375</v>
          </cell>
          <cell r="AH129">
            <v>0.10799999999999998</v>
          </cell>
          <cell r="AI129">
            <v>353.125</v>
          </cell>
          <cell r="AJ129">
            <v>0.54</v>
          </cell>
          <cell r="AK129">
            <v>0</v>
          </cell>
          <cell r="AL129">
            <v>0.12</v>
          </cell>
          <cell r="AM129">
            <v>0</v>
          </cell>
          <cell r="AN129">
            <v>0.02</v>
          </cell>
          <cell r="AO129">
            <v>6.4453036371809844</v>
          </cell>
          <cell r="AP129">
            <v>3.3569289776984292</v>
          </cell>
          <cell r="AQ129">
            <v>6.7890536371809844</v>
          </cell>
        </row>
        <row r="130">
          <cell r="A130" t="str">
            <v>FGR0003</v>
          </cell>
          <cell r="B130" t="str">
            <v>FGR0001</v>
          </cell>
          <cell r="C130" t="str">
            <v>Grenade Carb Killa - Double Chocolate Biscuit (USA)</v>
          </cell>
          <cell r="D130" t="str">
            <v>CM</v>
          </cell>
          <cell r="H130">
            <v>284</v>
          </cell>
          <cell r="I130">
            <v>16</v>
          </cell>
          <cell r="J130">
            <v>1</v>
          </cell>
          <cell r="K130">
            <v>4971.8881693333324</v>
          </cell>
          <cell r="M130">
            <v>0.60000000000000009</v>
          </cell>
          <cell r="N130">
            <v>4</v>
          </cell>
          <cell r="O130">
            <v>135</v>
          </cell>
          <cell r="P130">
            <v>2.4000000000000004</v>
          </cell>
          <cell r="Q130">
            <v>1774</v>
          </cell>
          <cell r="R130">
            <v>523.06299999999999</v>
          </cell>
          <cell r="S130">
            <v>0.97</v>
          </cell>
          <cell r="T130">
            <v>0.89</v>
          </cell>
          <cell r="U130">
            <v>0.36</v>
          </cell>
          <cell r="V130">
            <v>4.5999999999999996</v>
          </cell>
          <cell r="W130">
            <v>0.93</v>
          </cell>
          <cell r="X130">
            <v>4.9462365591397841</v>
          </cell>
          <cell r="Y130">
            <v>294.22293749999994</v>
          </cell>
          <cell r="Z130">
            <v>1455.2962499999994</v>
          </cell>
          <cell r="AA130">
            <v>745.78322539999999</v>
          </cell>
          <cell r="AB130">
            <v>310.74301058333327</v>
          </cell>
          <cell r="AC130">
            <v>1242.9720423333331</v>
          </cell>
          <cell r="AD130">
            <v>10.392176621890536</v>
          </cell>
          <cell r="AE130">
            <v>1.38</v>
          </cell>
          <cell r="AF130">
            <v>0.26800000000000002</v>
          </cell>
          <cell r="AH130">
            <v>0.29199999999999998</v>
          </cell>
          <cell r="AI130">
            <v>353.125</v>
          </cell>
          <cell r="AJ130">
            <v>1.4204864951632636</v>
          </cell>
          <cell r="AK130">
            <v>1.32</v>
          </cell>
          <cell r="AL130">
            <v>0</v>
          </cell>
          <cell r="AM130">
            <v>3.2800937463896895E-2</v>
          </cell>
          <cell r="AN130">
            <v>0.10961945980653055</v>
          </cell>
          <cell r="AO130">
            <v>13.913614889575468</v>
          </cell>
          <cell r="AP130">
            <v>5.9090062039897777</v>
          </cell>
          <cell r="AQ130">
            <v>14.181614889575469</v>
          </cell>
          <cell r="AR130">
            <v>7.2972779685157052</v>
          </cell>
          <cell r="AS130">
            <v>6</v>
          </cell>
          <cell r="AT130">
            <v>0</v>
          </cell>
          <cell r="AU130">
            <v>0</v>
          </cell>
          <cell r="AV130">
            <v>0</v>
          </cell>
          <cell r="AW130">
            <v>4837.5000000000009</v>
          </cell>
          <cell r="AX130">
            <v>0</v>
          </cell>
          <cell r="AY130">
            <v>0</v>
          </cell>
          <cell r="AZ130">
            <v>1.777865938169202E-2</v>
          </cell>
          <cell r="BA130">
            <v>952.04720988960764</v>
          </cell>
          <cell r="BB130">
            <v>3.2800937463896895E-2</v>
          </cell>
          <cell r="BC130">
            <v>952.04720988960764</v>
          </cell>
          <cell r="BD130">
            <v>-1.0334686247487792</v>
          </cell>
        </row>
        <row r="131">
          <cell r="A131" t="str">
            <v>FGR0004</v>
          </cell>
          <cell r="B131" t="str">
            <v>FGR0002</v>
          </cell>
          <cell r="C131" t="str">
            <v>Grenade Carb Killa - Salted Caramel Biscuit (USA)</v>
          </cell>
          <cell r="D131" t="str">
            <v>CM</v>
          </cell>
          <cell r="H131">
            <v>284</v>
          </cell>
          <cell r="I131">
            <v>16</v>
          </cell>
          <cell r="J131">
            <v>1</v>
          </cell>
          <cell r="K131">
            <v>4985.9750733333321</v>
          </cell>
          <cell r="M131">
            <v>0.60000000000000009</v>
          </cell>
          <cell r="N131">
            <v>4</v>
          </cell>
          <cell r="O131">
            <v>135</v>
          </cell>
          <cell r="P131">
            <v>2.4000000000000004</v>
          </cell>
          <cell r="Q131">
            <v>2272</v>
          </cell>
          <cell r="R131">
            <v>524.54499999999996</v>
          </cell>
          <cell r="S131">
            <v>0.97</v>
          </cell>
          <cell r="T131">
            <v>0.89</v>
          </cell>
          <cell r="U131">
            <v>0.36</v>
          </cell>
          <cell r="V131">
            <v>4.5999999999999996</v>
          </cell>
          <cell r="W131">
            <v>0.93</v>
          </cell>
          <cell r="X131">
            <v>4.9462365591397841</v>
          </cell>
          <cell r="Y131">
            <v>295.05656249999993</v>
          </cell>
          <cell r="Z131">
            <v>1459.4195564516124</v>
          </cell>
          <cell r="AA131">
            <v>747.89626099999987</v>
          </cell>
          <cell r="AB131">
            <v>311.62344208333326</v>
          </cell>
          <cell r="AC131">
            <v>1246.493768333333</v>
          </cell>
          <cell r="AD131">
            <v>11.974129839223613</v>
          </cell>
          <cell r="AE131">
            <v>1.38</v>
          </cell>
          <cell r="AF131">
            <v>0.26800000000000002</v>
          </cell>
          <cell r="AH131">
            <v>0.29199999999999998</v>
          </cell>
          <cell r="AI131">
            <v>353.125</v>
          </cell>
          <cell r="AJ131">
            <v>1.4164731865132298</v>
          </cell>
          <cell r="AK131">
            <v>1.32</v>
          </cell>
          <cell r="AL131">
            <v>0</v>
          </cell>
          <cell r="AM131">
            <v>3.2800937463896895E-2</v>
          </cell>
          <cell r="AN131">
            <v>0.1094589274605292</v>
          </cell>
          <cell r="AO131">
            <v>15.263587224090333</v>
          </cell>
          <cell r="AP131">
            <v>6.4714946767043049</v>
          </cell>
          <cell r="AQ131">
            <v>15.531587224090334</v>
          </cell>
          <cell r="AR131">
            <v>7.2766609271763727</v>
          </cell>
          <cell r="AS131">
            <v>6</v>
          </cell>
          <cell r="AT131">
            <v>0</v>
          </cell>
          <cell r="AU131">
            <v>0</v>
          </cell>
          <cell r="AV131">
            <v>0</v>
          </cell>
          <cell r="AW131">
            <v>4837.5000000000009</v>
          </cell>
          <cell r="AX131">
            <v>0</v>
          </cell>
          <cell r="AY131">
            <v>0</v>
          </cell>
          <cell r="AZ131">
            <v>1.777865938169202E-2</v>
          </cell>
          <cell r="BA131">
            <v>952.04720988960764</v>
          </cell>
          <cell r="BB131">
            <v>3.2800937463896895E-2</v>
          </cell>
          <cell r="BC131">
            <v>952.04720988960764</v>
          </cell>
          <cell r="BD131">
            <v>-1.2612756665709632</v>
          </cell>
        </row>
        <row r="132">
          <cell r="A132" t="str">
            <v>NVAL2101</v>
          </cell>
          <cell r="B132" t="str">
            <v>NFJA9901</v>
          </cell>
          <cell r="C132" t="str">
            <v>New Valeo SKUs FY21</v>
          </cell>
          <cell r="D132" t="str">
            <v>CM</v>
          </cell>
          <cell r="F132">
            <v>8743.7041564987121</v>
          </cell>
          <cell r="G132" t="e">
            <v>#VALUE!</v>
          </cell>
          <cell r="H132">
            <v>183</v>
          </cell>
          <cell r="I132">
            <v>31</v>
          </cell>
          <cell r="J132">
            <v>1.9375</v>
          </cell>
          <cell r="K132">
            <v>8797.0785547521391</v>
          </cell>
          <cell r="M132">
            <v>0.3</v>
          </cell>
          <cell r="N132">
            <v>12</v>
          </cell>
          <cell r="O132">
            <v>105</v>
          </cell>
          <cell r="P132">
            <v>3.5999999999999996</v>
          </cell>
          <cell r="Q132">
            <v>818</v>
          </cell>
          <cell r="R132">
            <v>959.01900000000001</v>
          </cell>
          <cell r="S132">
            <v>0.88</v>
          </cell>
          <cell r="T132">
            <v>0.89</v>
          </cell>
          <cell r="U132">
            <v>0.22</v>
          </cell>
          <cell r="V132">
            <v>2.95</v>
          </cell>
          <cell r="W132">
            <v>0.93</v>
          </cell>
          <cell r="X132">
            <v>3.172043010752688</v>
          </cell>
          <cell r="Y132">
            <v>270.49253846153852</v>
          </cell>
          <cell r="Z132">
            <v>858.01396608767584</v>
          </cell>
          <cell r="AA132">
            <v>1021.5962192615385</v>
          </cell>
          <cell r="AB132">
            <v>283.77672757264963</v>
          </cell>
          <cell r="AC132">
            <v>3405.3207308717956</v>
          </cell>
          <cell r="AD132">
            <v>5.9061008294226651</v>
          </cell>
          <cell r="AE132">
            <v>0.48</v>
          </cell>
          <cell r="AF132">
            <v>9.1575091575091569E-2</v>
          </cell>
          <cell r="AH132">
            <v>0.14400000000000002</v>
          </cell>
          <cell r="AI132">
            <v>353.125</v>
          </cell>
          <cell r="AJ132">
            <v>0.80282334141314116</v>
          </cell>
          <cell r="AK132">
            <v>0</v>
          </cell>
          <cell r="AL132">
            <v>0.24017281033452922</v>
          </cell>
          <cell r="AM132">
            <v>7.2589159990582366E-2</v>
          </cell>
          <cell r="AN132">
            <v>3.211293365652565E-2</v>
          </cell>
          <cell r="AO132">
            <v>7.6341922851320998</v>
          </cell>
          <cell r="AP132">
            <v>2.1460464935297754</v>
          </cell>
          <cell r="AQ132">
            <v>7.725767376707191</v>
          </cell>
          <cell r="AR132">
            <v>1.2424158915483658</v>
          </cell>
          <cell r="AS132">
            <v>4</v>
          </cell>
          <cell r="AT132">
            <v>0.68939602711290848</v>
          </cell>
          <cell r="AU132">
            <v>1.5</v>
          </cell>
          <cell r="AV132">
            <v>525</v>
          </cell>
          <cell r="AW132">
            <v>2185.926039124678</v>
          </cell>
          <cell r="AX132">
            <v>0.24017281033452922</v>
          </cell>
          <cell r="AY132">
            <v>2100</v>
          </cell>
          <cell r="AZ132">
            <v>1.1852439587794679E-2</v>
          </cell>
          <cell r="BA132">
            <v>634.69813992640502</v>
          </cell>
          <cell r="BB132">
            <v>7.2589159990582366E-2</v>
          </cell>
          <cell r="BC132">
            <v>634.69813992640502</v>
          </cell>
          <cell r="BD132">
            <v>-4.3606789685346502E-2</v>
          </cell>
        </row>
        <row r="133">
          <cell r="A133" t="str">
            <v>NHIL2101</v>
          </cell>
          <cell r="B133" t="str">
            <v>NFJA9901</v>
          </cell>
          <cell r="C133" t="str">
            <v>New Valeo SKUs FY21</v>
          </cell>
          <cell r="D133" t="str">
            <v>CM</v>
          </cell>
          <cell r="F133">
            <v>8743.7041564987121</v>
          </cell>
          <cell r="G133" t="e">
            <v>#VALUE!</v>
          </cell>
          <cell r="H133">
            <v>183</v>
          </cell>
          <cell r="I133">
            <v>31</v>
          </cell>
          <cell r="J133">
            <v>1.9375</v>
          </cell>
          <cell r="K133">
            <v>8797.0785547521391</v>
          </cell>
          <cell r="M133">
            <v>0.3</v>
          </cell>
          <cell r="N133">
            <v>12</v>
          </cell>
          <cell r="O133">
            <v>105</v>
          </cell>
          <cell r="P133">
            <v>3.5999999999999996</v>
          </cell>
          <cell r="Q133">
            <v>818</v>
          </cell>
          <cell r="R133">
            <v>959.01900000000001</v>
          </cell>
          <cell r="S133">
            <v>0.88</v>
          </cell>
          <cell r="T133">
            <v>0.89</v>
          </cell>
          <cell r="U133">
            <v>0.22</v>
          </cell>
          <cell r="V133">
            <v>2.95</v>
          </cell>
          <cell r="W133">
            <v>0.93</v>
          </cell>
          <cell r="X133">
            <v>3.172043010752688</v>
          </cell>
          <cell r="Y133">
            <v>270.49253846153852</v>
          </cell>
          <cell r="Z133">
            <v>858.01396608767584</v>
          </cell>
          <cell r="AA133">
            <v>1021.5962192615385</v>
          </cell>
          <cell r="AB133">
            <v>283.77672757264963</v>
          </cell>
          <cell r="AC133">
            <v>3405.3207308717956</v>
          </cell>
          <cell r="AD133">
            <v>5.9061008294226651</v>
          </cell>
          <cell r="AE133">
            <v>0.48</v>
          </cell>
          <cell r="AF133">
            <v>9.1575091575091569E-2</v>
          </cell>
          <cell r="AH133">
            <v>0.14400000000000002</v>
          </cell>
          <cell r="AI133">
            <v>353.125</v>
          </cell>
          <cell r="AJ133">
            <v>0.80282334141314116</v>
          </cell>
          <cell r="AK133">
            <v>0</v>
          </cell>
          <cell r="AL133">
            <v>0.24017281033452922</v>
          </cell>
          <cell r="AM133">
            <v>7.2589159990582366E-2</v>
          </cell>
          <cell r="AN133">
            <v>3.211293365652565E-2</v>
          </cell>
          <cell r="AO133">
            <v>7.6341922851320998</v>
          </cell>
          <cell r="AP133">
            <v>2.1460464935297754</v>
          </cell>
          <cell r="AQ133">
            <v>7.725767376707191</v>
          </cell>
          <cell r="AR133">
            <v>1.2424158915483658</v>
          </cell>
          <cell r="AS133">
            <v>4</v>
          </cell>
          <cell r="AT133">
            <v>0.68939602711290848</v>
          </cell>
          <cell r="AU133">
            <v>1.5</v>
          </cell>
          <cell r="AV133">
            <v>525</v>
          </cell>
          <cell r="AW133">
            <v>2185.926039124678</v>
          </cell>
          <cell r="AX133">
            <v>0.24017281033452922</v>
          </cell>
          <cell r="AY133">
            <v>2100</v>
          </cell>
          <cell r="AZ133">
            <v>1.1852439587794679E-2</v>
          </cell>
          <cell r="BA133">
            <v>634.69813992640502</v>
          </cell>
          <cell r="BB133">
            <v>7.2589159990582366E-2</v>
          </cell>
          <cell r="BC133">
            <v>634.69813992640502</v>
          </cell>
          <cell r="BD133">
            <v>-4.3606789685346502E-2</v>
          </cell>
        </row>
        <row r="134">
          <cell r="A134" t="str">
            <v>NGRE2101</v>
          </cell>
          <cell r="B134" t="str">
            <v>FGR0003</v>
          </cell>
          <cell r="C134" t="str">
            <v>New Grenade SKUs FY21</v>
          </cell>
          <cell r="D134" t="str">
            <v>CM</v>
          </cell>
          <cell r="F134">
            <v>29025.000000000007</v>
          </cell>
          <cell r="G134" t="e">
            <v>#VALUE!</v>
          </cell>
          <cell r="H134">
            <v>284</v>
          </cell>
          <cell r="I134">
            <v>16</v>
          </cell>
          <cell r="J134">
            <v>1</v>
          </cell>
          <cell r="K134">
            <v>4971.8881693333324</v>
          </cell>
          <cell r="M134">
            <v>0.60000000000000009</v>
          </cell>
          <cell r="N134">
            <v>4</v>
          </cell>
          <cell r="O134">
            <v>135</v>
          </cell>
          <cell r="P134">
            <v>2.4000000000000004</v>
          </cell>
          <cell r="Q134">
            <v>1774</v>
          </cell>
          <cell r="R134">
            <v>523.06299999999999</v>
          </cell>
          <cell r="S134">
            <v>0.97</v>
          </cell>
          <cell r="T134">
            <v>0.89</v>
          </cell>
          <cell r="U134">
            <v>0.36</v>
          </cell>
          <cell r="V134">
            <v>4.5999999999999996</v>
          </cell>
          <cell r="W134">
            <v>0.93</v>
          </cell>
          <cell r="X134">
            <v>4.9462365591397841</v>
          </cell>
          <cell r="Y134">
            <v>294.22293749999994</v>
          </cell>
          <cell r="Z134">
            <v>1455.2962499999994</v>
          </cell>
          <cell r="AA134">
            <v>745.78322539999999</v>
          </cell>
          <cell r="AB134">
            <v>310.74301058333327</v>
          </cell>
          <cell r="AC134">
            <v>1242.9720423333331</v>
          </cell>
          <cell r="AD134">
            <v>10.392176621890536</v>
          </cell>
          <cell r="AE134">
            <v>1.38</v>
          </cell>
          <cell r="AF134">
            <v>0.26800000000000002</v>
          </cell>
          <cell r="AH134">
            <v>0.29199999999999998</v>
          </cell>
          <cell r="AI134">
            <v>353.125</v>
          </cell>
          <cell r="AJ134">
            <v>1.4204864951632636</v>
          </cell>
          <cell r="AK134">
            <v>1.32</v>
          </cell>
          <cell r="AL134">
            <v>0</v>
          </cell>
          <cell r="AM134">
            <v>3.2800937463896895E-2</v>
          </cell>
          <cell r="AN134">
            <v>0.10961945980653055</v>
          </cell>
          <cell r="AO134">
            <v>13.913614889575468</v>
          </cell>
          <cell r="AP134">
            <v>5.9090062039897777</v>
          </cell>
          <cell r="AQ134">
            <v>14.181614889575469</v>
          </cell>
          <cell r="AR134">
            <v>7.2972779685157052</v>
          </cell>
          <cell r="AS134">
            <v>6</v>
          </cell>
          <cell r="AT134">
            <v>0</v>
          </cell>
          <cell r="AU134">
            <v>0</v>
          </cell>
          <cell r="AV134">
            <v>0</v>
          </cell>
          <cell r="AW134">
            <v>4837.5000000000009</v>
          </cell>
          <cell r="AX134">
            <v>0</v>
          </cell>
          <cell r="AY134">
            <v>0</v>
          </cell>
          <cell r="AZ134">
            <v>1.777865938169202E-2</v>
          </cell>
          <cell r="BA134">
            <v>952.04720988960764</v>
          </cell>
          <cell r="BB134">
            <v>3.2800937463896895E-2</v>
          </cell>
          <cell r="BC134">
            <v>952.04720988960764</v>
          </cell>
          <cell r="BD134">
            <v>-1.0334686247487792</v>
          </cell>
        </row>
        <row r="135">
          <cell r="A135" t="str">
            <v>NTHG2101</v>
          </cell>
          <cell r="B135" t="str">
            <v>FGR0003</v>
          </cell>
          <cell r="C135" t="str">
            <v>New THG BASE SKUs FY21</v>
          </cell>
          <cell r="D135" t="str">
            <v>CM</v>
          </cell>
          <cell r="F135">
            <v>29025.000000000007</v>
          </cell>
          <cell r="G135" t="e">
            <v>#VALUE!</v>
          </cell>
          <cell r="H135">
            <v>284</v>
          </cell>
          <cell r="I135">
            <v>16</v>
          </cell>
          <cell r="J135">
            <v>1</v>
          </cell>
          <cell r="K135">
            <v>4971.8881693333324</v>
          </cell>
          <cell r="M135">
            <v>0.60000000000000009</v>
          </cell>
          <cell r="N135">
            <v>4</v>
          </cell>
          <cell r="O135">
            <v>135</v>
          </cell>
          <cell r="P135">
            <v>2.4000000000000004</v>
          </cell>
          <cell r="Q135">
            <v>1774</v>
          </cell>
          <cell r="R135">
            <v>523.06299999999999</v>
          </cell>
          <cell r="S135">
            <v>0.97</v>
          </cell>
          <cell r="T135">
            <v>0.89</v>
          </cell>
          <cell r="U135">
            <v>0.36</v>
          </cell>
          <cell r="V135">
            <v>4.5999999999999996</v>
          </cell>
          <cell r="W135">
            <v>0.93</v>
          </cell>
          <cell r="X135">
            <v>4.9462365591397841</v>
          </cell>
          <cell r="Y135">
            <v>294.22293749999994</v>
          </cell>
          <cell r="Z135">
            <v>1455.2962499999994</v>
          </cell>
          <cell r="AA135">
            <v>745.78322539999999</v>
          </cell>
          <cell r="AB135">
            <v>310.74301058333327</v>
          </cell>
          <cell r="AC135">
            <v>1242.9720423333331</v>
          </cell>
          <cell r="AD135">
            <v>10.392176621890536</v>
          </cell>
          <cell r="AE135">
            <v>1.38</v>
          </cell>
          <cell r="AF135">
            <v>0.26800000000000002</v>
          </cell>
          <cell r="AH135">
            <v>0.29199999999999998</v>
          </cell>
          <cell r="AI135">
            <v>353.125</v>
          </cell>
          <cell r="AJ135">
            <v>1.4204864951632636</v>
          </cell>
          <cell r="AK135">
            <v>1.32</v>
          </cell>
          <cell r="AL135">
            <v>0</v>
          </cell>
          <cell r="AM135">
            <v>3.2800937463896895E-2</v>
          </cell>
          <cell r="AN135">
            <v>0.10961945980653055</v>
          </cell>
          <cell r="AO135">
            <v>13.913614889575468</v>
          </cell>
          <cell r="AP135">
            <v>5.9090062039897777</v>
          </cell>
          <cell r="AQ135">
            <v>14.181614889575469</v>
          </cell>
          <cell r="AR135">
            <v>7.2972779685157052</v>
          </cell>
          <cell r="AS135">
            <v>6</v>
          </cell>
          <cell r="AT135">
            <v>0</v>
          </cell>
          <cell r="AU135">
            <v>0</v>
          </cell>
          <cell r="AV135">
            <v>0</v>
          </cell>
          <cell r="AW135">
            <v>4837.5000000000009</v>
          </cell>
          <cell r="AX135">
            <v>0</v>
          </cell>
          <cell r="AY135">
            <v>0</v>
          </cell>
          <cell r="AZ135">
            <v>1.777865938169202E-2</v>
          </cell>
          <cell r="BA135">
            <v>952.04720988960764</v>
          </cell>
          <cell r="BB135">
            <v>3.2800937463896895E-2</v>
          </cell>
          <cell r="BC135">
            <v>952.04720988960764</v>
          </cell>
          <cell r="BD135">
            <v>-1.0334686247487792</v>
          </cell>
        </row>
        <row r="136">
          <cell r="A136" t="str">
            <v>NTHG2102</v>
          </cell>
          <cell r="B136" t="str">
            <v>FGR0003</v>
          </cell>
          <cell r="C136" t="str">
            <v>New THG PIPELINE SKUs FY21</v>
          </cell>
          <cell r="D136" t="str">
            <v>CM</v>
          </cell>
          <cell r="F136">
            <v>29025.000000000007</v>
          </cell>
          <cell r="G136" t="e">
            <v>#VALUE!</v>
          </cell>
          <cell r="H136">
            <v>284</v>
          </cell>
          <cell r="I136">
            <v>16</v>
          </cell>
          <cell r="J136">
            <v>1</v>
          </cell>
          <cell r="K136">
            <v>4971.8881693333324</v>
          </cell>
          <cell r="M136">
            <v>0.60000000000000009</v>
          </cell>
          <cell r="N136">
            <v>4</v>
          </cell>
          <cell r="O136">
            <v>135</v>
          </cell>
          <cell r="P136">
            <v>2.4000000000000004</v>
          </cell>
          <cell r="Q136">
            <v>1774</v>
          </cell>
          <cell r="R136">
            <v>523.06299999999999</v>
          </cell>
          <cell r="S136">
            <v>0.97</v>
          </cell>
          <cell r="T136">
            <v>0.89</v>
          </cell>
          <cell r="U136">
            <v>0.36</v>
          </cell>
          <cell r="V136">
            <v>4.5999999999999996</v>
          </cell>
          <cell r="W136">
            <v>0.93</v>
          </cell>
          <cell r="X136">
            <v>4.9462365591397841</v>
          </cell>
          <cell r="Y136">
            <v>294.22293749999994</v>
          </cell>
          <cell r="Z136">
            <v>1455.2962499999994</v>
          </cell>
          <cell r="AA136">
            <v>745.78322539999999</v>
          </cell>
          <cell r="AB136">
            <v>310.74301058333327</v>
          </cell>
          <cell r="AC136">
            <v>1242.9720423333331</v>
          </cell>
          <cell r="AD136">
            <v>10.392176621890536</v>
          </cell>
          <cell r="AE136">
            <v>1.38</v>
          </cell>
          <cell r="AF136">
            <v>0.26800000000000002</v>
          </cell>
          <cell r="AH136">
            <v>0.29199999999999998</v>
          </cell>
          <cell r="AI136">
            <v>353.125</v>
          </cell>
          <cell r="AJ136">
            <v>1.4204864951632636</v>
          </cell>
          <cell r="AK136">
            <v>1.32</v>
          </cell>
          <cell r="AL136">
            <v>0</v>
          </cell>
          <cell r="AM136">
            <v>3.2800937463896895E-2</v>
          </cell>
          <cell r="AN136">
            <v>0.10961945980653055</v>
          </cell>
          <cell r="AO136">
            <v>13.913614889575468</v>
          </cell>
          <cell r="AP136">
            <v>5.9090062039897777</v>
          </cell>
          <cell r="AQ136">
            <v>14.181614889575469</v>
          </cell>
          <cell r="AR136">
            <v>7.2972779685157052</v>
          </cell>
          <cell r="AS136">
            <v>6</v>
          </cell>
          <cell r="AT136">
            <v>0</v>
          </cell>
          <cell r="AU136">
            <v>0</v>
          </cell>
          <cell r="AV136">
            <v>0</v>
          </cell>
          <cell r="AW136">
            <v>4837.5000000000009</v>
          </cell>
          <cell r="AX136">
            <v>0</v>
          </cell>
          <cell r="AY136">
            <v>0</v>
          </cell>
          <cell r="AZ136">
            <v>1.777865938169202E-2</v>
          </cell>
          <cell r="BA136">
            <v>952.04720988960764</v>
          </cell>
          <cell r="BB136">
            <v>3.2800937463896895E-2</v>
          </cell>
          <cell r="BC136">
            <v>952.04720988960764</v>
          </cell>
          <cell r="BD136">
            <v>-1.0334686247487792</v>
          </cell>
        </row>
        <row r="137">
          <cell r="A137" t="str">
            <v>NPLA2101</v>
          </cell>
          <cell r="B137" t="str">
            <v>NFJA9909</v>
          </cell>
          <cell r="C137" t="str">
            <v>New PL Luxury Cookies</v>
          </cell>
          <cell r="D137" t="str">
            <v>PL</v>
          </cell>
          <cell r="F137">
            <v>0</v>
          </cell>
          <cell r="G137" t="e">
            <v>#VALUE!</v>
          </cell>
          <cell r="I137">
            <v>31</v>
          </cell>
          <cell r="J137">
            <v>1.9375</v>
          </cell>
          <cell r="K137">
            <v>14279.123190121531</v>
          </cell>
          <cell r="M137">
            <v>0.16</v>
          </cell>
          <cell r="N137">
            <v>12</v>
          </cell>
          <cell r="O137">
            <v>160</v>
          </cell>
          <cell r="P137">
            <v>1.92</v>
          </cell>
          <cell r="Q137">
            <v>1189</v>
          </cell>
          <cell r="R137">
            <v>900.06700000000001</v>
          </cell>
          <cell r="S137">
            <v>0.89</v>
          </cell>
          <cell r="T137">
            <v>0.89</v>
          </cell>
          <cell r="U137">
            <v>0.16</v>
          </cell>
          <cell r="V137">
            <v>2.95</v>
          </cell>
          <cell r="W137">
            <v>0.93</v>
          </cell>
          <cell r="X137">
            <v>3.172043010752688</v>
          </cell>
          <cell r="Y137">
            <v>171.44133333333343</v>
          </cell>
          <cell r="Z137">
            <v>543.8192831541221</v>
          </cell>
          <cell r="AA137">
            <v>884.38440403333345</v>
          </cell>
          <cell r="AB137">
            <v>460.61687710069452</v>
          </cell>
          <cell r="AC137">
            <v>5527.4025252083338</v>
          </cell>
          <cell r="AD137">
            <v>3.7619535221140281</v>
          </cell>
          <cell r="AE137">
            <v>0.59040000000000004</v>
          </cell>
          <cell r="AF137">
            <v>6.0096153846153848E-2</v>
          </cell>
          <cell r="AH137">
            <v>8.4000000000000005E-2</v>
          </cell>
          <cell r="AI137">
            <v>353.125</v>
          </cell>
          <cell r="AJ137">
            <v>0.49460319838727368</v>
          </cell>
          <cell r="AK137">
            <v>0</v>
          </cell>
          <cell r="AL137">
            <v>0</v>
          </cell>
          <cell r="AM137">
            <v>0</v>
          </cell>
          <cell r="AN137">
            <v>1.9784127935490947E-2</v>
          </cell>
          <cell r="AO137">
            <v>4.9507408484368289</v>
          </cell>
          <cell r="AP137">
            <v>2.609810938689054</v>
          </cell>
          <cell r="AQ137">
            <v>5.0108370022829831</v>
          </cell>
          <cell r="AR137">
            <v>0</v>
          </cell>
          <cell r="AS137">
            <v>5.5396652474238337</v>
          </cell>
          <cell r="AT137">
            <v>0</v>
          </cell>
          <cell r="AU137">
            <v>0</v>
          </cell>
          <cell r="AV137">
            <v>0</v>
          </cell>
          <cell r="AW137">
            <v>11423.298552097225</v>
          </cell>
          <cell r="AX137">
            <v>0</v>
          </cell>
          <cell r="AY137">
            <v>0</v>
          </cell>
          <cell r="AZ137">
            <v>1.6414636920424164E-2</v>
          </cell>
          <cell r="BA137">
            <v>879.00380708871398</v>
          </cell>
          <cell r="BB137">
            <v>0</v>
          </cell>
          <cell r="BC137">
            <v>0</v>
          </cell>
          <cell r="BD137">
            <v>0</v>
          </cell>
        </row>
        <row r="138">
          <cell r="A138" t="str">
            <v>NPLA2102</v>
          </cell>
          <cell r="B138" t="str">
            <v>NFJA9910</v>
          </cell>
          <cell r="C138" t="str">
            <v>New PL "Better for You"</v>
          </cell>
          <cell r="D138" t="str">
            <v>PL</v>
          </cell>
          <cell r="F138">
            <v>0</v>
          </cell>
          <cell r="G138" t="e">
            <v>#VALUE!</v>
          </cell>
          <cell r="I138">
            <v>31</v>
          </cell>
          <cell r="J138">
            <v>1.9375</v>
          </cell>
          <cell r="K138">
            <v>11574.519582239584</v>
          </cell>
          <cell r="M138">
            <v>0.16</v>
          </cell>
          <cell r="N138">
            <v>12</v>
          </cell>
          <cell r="O138">
            <v>160</v>
          </cell>
          <cell r="P138">
            <v>1.92</v>
          </cell>
          <cell r="Q138">
            <v>1389</v>
          </cell>
          <cell r="R138">
            <v>905.029</v>
          </cell>
          <cell r="S138">
            <v>0.89</v>
          </cell>
          <cell r="T138">
            <v>0.89</v>
          </cell>
          <cell r="U138">
            <v>0</v>
          </cell>
          <cell r="V138">
            <v>0</v>
          </cell>
          <cell r="W138">
            <v>0</v>
          </cell>
          <cell r="X138">
            <v>0</v>
          </cell>
          <cell r="Y138">
            <v>0</v>
          </cell>
          <cell r="Z138">
            <v>0</v>
          </cell>
          <cell r="AA138">
            <v>716.87347090000003</v>
          </cell>
          <cell r="AB138">
            <v>373.37159942708337</v>
          </cell>
          <cell r="AC138">
            <v>4480.4591931250006</v>
          </cell>
          <cell r="AD138">
            <v>3.7201544041682291</v>
          </cell>
          <cell r="AE138">
            <v>0.59040000000000004</v>
          </cell>
          <cell r="AF138">
            <v>6.0096153846153848E-2</v>
          </cell>
          <cell r="AH138">
            <v>8.4000000000000005E-2</v>
          </cell>
          <cell r="AI138">
            <v>353.125</v>
          </cell>
          <cell r="AJ138">
            <v>0.61017651314331767</v>
          </cell>
          <cell r="AK138">
            <v>0</v>
          </cell>
          <cell r="AL138">
            <v>0</v>
          </cell>
          <cell r="AM138">
            <v>0</v>
          </cell>
          <cell r="AN138">
            <v>2.4407060525732709E-2</v>
          </cell>
          <cell r="AO138">
            <v>5.0291379778372862</v>
          </cell>
          <cell r="AP138">
            <v>2.6506427769184584</v>
          </cell>
          <cell r="AQ138">
            <v>5.0892341316834404</v>
          </cell>
          <cell r="AR138">
            <v>0</v>
          </cell>
          <cell r="AS138">
            <v>5.062305142228853</v>
          </cell>
          <cell r="AT138">
            <v>0</v>
          </cell>
          <cell r="AU138">
            <v>0</v>
          </cell>
          <cell r="AV138">
            <v>0</v>
          </cell>
          <cell r="AW138">
            <v>9259.6156657916672</v>
          </cell>
          <cell r="AX138">
            <v>0</v>
          </cell>
          <cell r="AY138">
            <v>0</v>
          </cell>
          <cell r="AZ138">
            <v>1.5000166468312457E-2</v>
          </cell>
          <cell r="BA138">
            <v>803.25891437813209</v>
          </cell>
          <cell r="BB138">
            <v>0</v>
          </cell>
          <cell r="BC138">
            <v>0</v>
          </cell>
          <cell r="BD138">
            <v>0</v>
          </cell>
        </row>
        <row r="139">
          <cell r="A139" t="str">
            <v>NPLA2103</v>
          </cell>
          <cell r="B139" t="str">
            <v>NFJA9910</v>
          </cell>
          <cell r="C139" t="str">
            <v>Fully Coated Double Choc Chunk - Palm</v>
          </cell>
          <cell r="D139" t="str">
            <v>PL</v>
          </cell>
          <cell r="I139">
            <v>31</v>
          </cell>
          <cell r="J139">
            <v>1.4337500000000001</v>
          </cell>
          <cell r="K139">
            <v>18326.92742813853</v>
          </cell>
          <cell r="M139">
            <v>0.17499999999999999</v>
          </cell>
          <cell r="N139">
            <v>12</v>
          </cell>
          <cell r="O139">
            <v>160</v>
          </cell>
          <cell r="P139">
            <v>2.0999999999999996</v>
          </cell>
          <cell r="Q139">
            <v>1363</v>
          </cell>
          <cell r="R139">
            <v>862.04499999999996</v>
          </cell>
          <cell r="S139">
            <v>0.89</v>
          </cell>
          <cell r="T139">
            <v>0.89</v>
          </cell>
          <cell r="U139">
            <v>0.45</v>
          </cell>
          <cell r="V139">
            <v>2.99</v>
          </cell>
          <cell r="W139">
            <v>0.93</v>
          </cell>
          <cell r="X139">
            <v>3.2150537634408605</v>
          </cell>
          <cell r="Y139">
            <v>558.67569095454542</v>
          </cell>
          <cell r="Z139">
            <v>1796.1723827463343</v>
          </cell>
          <cell r="AA139">
            <v>1241.5015354545453</v>
          </cell>
          <cell r="AB139">
            <v>591.19120735930744</v>
          </cell>
          <cell r="AC139">
            <v>7094.2944883116888</v>
          </cell>
          <cell r="AD139">
            <v>5.3437404741817964</v>
          </cell>
          <cell r="AE139">
            <v>0.61919999999999997</v>
          </cell>
          <cell r="AF139">
            <v>8.5199999999999998E-2</v>
          </cell>
          <cell r="AH139">
            <v>9.6000000000000002E-2</v>
          </cell>
          <cell r="AI139">
            <v>353.125</v>
          </cell>
          <cell r="AJ139">
            <v>0.5207593556716722</v>
          </cell>
          <cell r="AK139">
            <v>0</v>
          </cell>
          <cell r="AL139">
            <v>0.06</v>
          </cell>
          <cell r="AM139">
            <v>0</v>
          </cell>
          <cell r="AN139">
            <v>2.0830374226866889E-2</v>
          </cell>
          <cell r="AO139">
            <v>7.7</v>
          </cell>
          <cell r="AP139">
            <v>4.0625</v>
          </cell>
          <cell r="AQ139">
            <v>7.8000000000000007</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 by SKU"/>
      <sheetName val=" PVT by cust"/>
      <sheetName val="PVT for KPI"/>
      <sheetName val="sales sap report"/>
      <sheetName val="Sales control lists"/>
      <sheetName val="Forecast classification "/>
    </sheetNames>
    <sheetDataSet>
      <sheetData sheetId="0"/>
      <sheetData sheetId="1"/>
      <sheetData sheetId="2"/>
      <sheetData sheetId="3"/>
      <sheetData sheetId="4">
        <row r="7">
          <cell r="A7" t="str">
            <v>FAL0001</v>
          </cell>
          <cell r="B7" t="str">
            <v>Belmont Chocolate Chip Cookie</v>
          </cell>
          <cell r="C7" t="str">
            <v>C00005</v>
          </cell>
          <cell r="D7" t="str">
            <v>Samples (Internal A/c)</v>
          </cell>
          <cell r="E7" t="str">
            <v>Samples (Internal A/c) Belmont Chocolate Chip Cookie</v>
          </cell>
          <cell r="F7">
            <v>1</v>
          </cell>
          <cell r="G7">
            <v>30</v>
          </cell>
          <cell r="H7">
            <v>6</v>
          </cell>
          <cell r="I7">
            <v>0.33439999999999998</v>
          </cell>
          <cell r="J7">
            <v>10.032</v>
          </cell>
          <cell r="K7">
            <v>1.6719999999999999</v>
          </cell>
          <cell r="L7" t="str">
            <v>Retail</v>
          </cell>
          <cell r="M7" t="str">
            <v>Ireland</v>
          </cell>
          <cell r="N7" t="str">
            <v>Cookies</v>
          </cell>
          <cell r="O7" t="str">
            <v>PL</v>
          </cell>
          <cell r="P7" t="str">
            <v>Eat Later</v>
          </cell>
          <cell r="Q7" t="str">
            <v>Other</v>
          </cell>
        </row>
        <row r="8">
          <cell r="A8" t="str">
            <v>FAL0002</v>
          </cell>
          <cell r="B8" t="str">
            <v>Every Day Essentials Choc Chip</v>
          </cell>
          <cell r="C8" t="str">
            <v>C00014</v>
          </cell>
          <cell r="D8" t="str">
            <v>Aldi</v>
          </cell>
          <cell r="E8" t="str">
            <v>Aldi Every Day Essentials Choc Chip</v>
          </cell>
          <cell r="F8">
            <v>1</v>
          </cell>
          <cell r="G8">
            <v>15</v>
          </cell>
          <cell r="H8">
            <v>6</v>
          </cell>
          <cell r="I8">
            <v>0.50639999999999996</v>
          </cell>
          <cell r="J8">
            <v>7.5959999999999992</v>
          </cell>
          <cell r="K8">
            <v>1.2659999999999998</v>
          </cell>
          <cell r="L8" t="str">
            <v>Retail</v>
          </cell>
          <cell r="M8" t="str">
            <v>Ireland</v>
          </cell>
          <cell r="N8" t="str">
            <v>Cookies</v>
          </cell>
          <cell r="O8" t="str">
            <v>PL</v>
          </cell>
          <cell r="P8" t="str">
            <v>Eat Later</v>
          </cell>
          <cell r="Q8" t="str">
            <v>Aldi Ireland</v>
          </cell>
        </row>
        <row r="9">
          <cell r="A9" t="str">
            <v>FAL0002</v>
          </cell>
          <cell r="B9" t="str">
            <v>Every Day Essentials Choc Chip (SG)</v>
          </cell>
          <cell r="C9" t="str">
            <v>C00014</v>
          </cell>
          <cell r="D9" t="str">
            <v>Aldi</v>
          </cell>
          <cell r="E9" t="str">
            <v>Aldi Every Day Essentials Choc Chip (SG)</v>
          </cell>
          <cell r="F9">
            <v>1</v>
          </cell>
          <cell r="G9">
            <v>15</v>
          </cell>
          <cell r="H9">
            <v>6</v>
          </cell>
          <cell r="I9">
            <v>0.50639999999999996</v>
          </cell>
          <cell r="J9">
            <v>7.5959999999999992</v>
          </cell>
          <cell r="K9">
            <v>1.2659999999999998</v>
          </cell>
          <cell r="L9" t="str">
            <v>Retail</v>
          </cell>
          <cell r="M9" t="str">
            <v>Ireland</v>
          </cell>
          <cell r="N9" t="str">
            <v>Cookies</v>
          </cell>
          <cell r="O9" t="str">
            <v>PL</v>
          </cell>
          <cell r="P9" t="str">
            <v>Eat Later</v>
          </cell>
          <cell r="Q9" t="str">
            <v>Aldi Ireland</v>
          </cell>
        </row>
        <row r="10">
          <cell r="A10" t="str">
            <v>FEB0001</v>
          </cell>
          <cell r="B10" t="str">
            <v>ECB Milk Chocolate Chunk 12 x160g</v>
          </cell>
          <cell r="C10" t="str">
            <v>C00017</v>
          </cell>
          <cell r="D10" t="str">
            <v>Fordham Fine Foods Ltd</v>
          </cell>
          <cell r="E10" t="str">
            <v>Fordham Fine Foods Ltd ECB Milk Chocolate Chunk 12 x160g</v>
          </cell>
          <cell r="F10">
            <v>1</v>
          </cell>
          <cell r="G10">
            <v>12</v>
          </cell>
          <cell r="H10">
            <v>1.92</v>
          </cell>
          <cell r="I10">
            <v>0.495</v>
          </cell>
          <cell r="J10">
            <v>5.9399999999999995</v>
          </cell>
          <cell r="K10">
            <v>3.09375</v>
          </cell>
          <cell r="L10" t="str">
            <v>Retail</v>
          </cell>
          <cell r="M10" t="str">
            <v>UK</v>
          </cell>
          <cell r="N10" t="str">
            <v>Cookies</v>
          </cell>
          <cell r="O10" t="str">
            <v>Brand</v>
          </cell>
          <cell r="P10" t="str">
            <v>Eat Later</v>
          </cell>
          <cell r="Q10" t="str">
            <v>Fordham</v>
          </cell>
        </row>
        <row r="11">
          <cell r="A11" t="str">
            <v>FEB0001</v>
          </cell>
          <cell r="B11" t="str">
            <v>ECB Milk Chocolate Chunk 12 x160g</v>
          </cell>
          <cell r="C11" t="str">
            <v>C00008</v>
          </cell>
          <cell r="D11" t="str">
            <v>Gerry's Fresh Foods</v>
          </cell>
          <cell r="E11" t="str">
            <v>Gerry's Fresh Foods ECB Milk Chocolate Chunk 12 x160g</v>
          </cell>
          <cell r="F11">
            <v>1</v>
          </cell>
          <cell r="G11">
            <v>12</v>
          </cell>
          <cell r="H11">
            <v>1.92</v>
          </cell>
          <cell r="I11">
            <v>0.495</v>
          </cell>
          <cell r="J11">
            <v>5.9399999999999995</v>
          </cell>
          <cell r="K11">
            <v>3.09375</v>
          </cell>
          <cell r="L11" t="str">
            <v>Retail</v>
          </cell>
          <cell r="M11" t="str">
            <v>Ireland</v>
          </cell>
          <cell r="N11" t="str">
            <v>Cookies</v>
          </cell>
          <cell r="O11" t="str">
            <v>Brand</v>
          </cell>
          <cell r="P11" t="str">
            <v>Eat Later</v>
          </cell>
          <cell r="Q11" t="str">
            <v>Other</v>
          </cell>
        </row>
        <row r="12">
          <cell r="A12" t="str">
            <v>FEB0001</v>
          </cell>
          <cell r="B12" t="str">
            <v>ECB Milk Chocolate Chunk 12 x160g</v>
          </cell>
          <cell r="C12" t="str">
            <v>C00007</v>
          </cell>
          <cell r="D12" t="str">
            <v>Gerry's Supermarket</v>
          </cell>
          <cell r="E12" t="str">
            <v>Gerry's Supermarket ECB Milk Chocolate Chunk 12 x160g</v>
          </cell>
          <cell r="F12">
            <v>1</v>
          </cell>
          <cell r="G12">
            <v>12</v>
          </cell>
          <cell r="H12">
            <v>1.92</v>
          </cell>
          <cell r="I12">
            <v>0.495</v>
          </cell>
          <cell r="J12">
            <v>5.9399999999999995</v>
          </cell>
          <cell r="K12">
            <v>3.09375</v>
          </cell>
          <cell r="L12" t="str">
            <v>Retail</v>
          </cell>
          <cell r="M12" t="str">
            <v>Ireland</v>
          </cell>
          <cell r="N12" t="str">
            <v>Cookies</v>
          </cell>
          <cell r="O12" t="str">
            <v>Brand</v>
          </cell>
          <cell r="P12" t="str">
            <v>Eat Later</v>
          </cell>
          <cell r="Q12" t="str">
            <v>Other</v>
          </cell>
        </row>
        <row r="13">
          <cell r="A13" t="str">
            <v>FEB0001</v>
          </cell>
          <cell r="B13" t="str">
            <v>ECB Milk Chocolate Chunk 12 x160g</v>
          </cell>
          <cell r="C13" t="str">
            <v>C00013</v>
          </cell>
          <cell r="D13" t="str">
            <v>Leydens Cash &amp; Carry</v>
          </cell>
          <cell r="E13" t="str">
            <v>Leydens Cash &amp; Carry ECB Milk Chocolate Chunk 12 x160g</v>
          </cell>
          <cell r="F13">
            <v>1</v>
          </cell>
          <cell r="G13">
            <v>12</v>
          </cell>
          <cell r="H13">
            <v>1.92</v>
          </cell>
          <cell r="I13">
            <v>0.495</v>
          </cell>
          <cell r="J13">
            <v>5.9399999999999995</v>
          </cell>
          <cell r="K13">
            <v>3.09375</v>
          </cell>
          <cell r="L13" t="str">
            <v>Retail</v>
          </cell>
          <cell r="M13" t="str">
            <v>Ireland</v>
          </cell>
          <cell r="N13" t="str">
            <v>Cookies</v>
          </cell>
          <cell r="O13" t="str">
            <v>Brand</v>
          </cell>
          <cell r="P13" t="str">
            <v>Eat Later</v>
          </cell>
          <cell r="Q13" t="str">
            <v>Other</v>
          </cell>
        </row>
        <row r="14">
          <cell r="A14" t="str">
            <v>FEB0001</v>
          </cell>
          <cell r="B14" t="str">
            <v>ECB Milk Chocolate Chunk 12 x160g</v>
          </cell>
          <cell r="C14" t="str">
            <v>C00015</v>
          </cell>
          <cell r="D14" t="str">
            <v>Odaios Foods</v>
          </cell>
          <cell r="E14" t="str">
            <v>Odaios Foods ECB Milk Chocolate Chunk 12 x160g</v>
          </cell>
          <cell r="F14">
            <v>1</v>
          </cell>
          <cell r="G14">
            <v>12</v>
          </cell>
          <cell r="H14">
            <v>1.92</v>
          </cell>
          <cell r="I14">
            <v>0.495</v>
          </cell>
          <cell r="J14">
            <v>5.9399999999999995</v>
          </cell>
          <cell r="K14">
            <v>3.09375</v>
          </cell>
          <cell r="L14" t="str">
            <v>Retail</v>
          </cell>
          <cell r="M14" t="str">
            <v>Ireland</v>
          </cell>
          <cell r="N14" t="str">
            <v>Cookies</v>
          </cell>
          <cell r="O14" t="str">
            <v>Brand</v>
          </cell>
          <cell r="P14" t="str">
            <v>Eat Later</v>
          </cell>
          <cell r="Q14" t="str">
            <v>Other</v>
          </cell>
        </row>
        <row r="15">
          <cell r="A15" t="str">
            <v>FEB0001</v>
          </cell>
          <cell r="B15" t="str">
            <v>ECB Milk Chocolate Chunk 12 x160g</v>
          </cell>
          <cell r="C15" t="str">
            <v>C00001</v>
          </cell>
          <cell r="D15" t="str">
            <v>Primeline</v>
          </cell>
          <cell r="E15" t="str">
            <v>Primeline ECB Milk Chocolate Chunk 12 x160g</v>
          </cell>
          <cell r="F15">
            <v>1</v>
          </cell>
          <cell r="G15">
            <v>12</v>
          </cell>
          <cell r="H15">
            <v>1.92</v>
          </cell>
          <cell r="I15">
            <v>0.495</v>
          </cell>
          <cell r="J15">
            <v>5.9399999999999995</v>
          </cell>
          <cell r="K15">
            <v>3.09375</v>
          </cell>
          <cell r="L15" t="str">
            <v>Retail</v>
          </cell>
          <cell r="M15" t="str">
            <v>Ireland</v>
          </cell>
          <cell r="N15" t="str">
            <v>Cookies</v>
          </cell>
          <cell r="O15" t="str">
            <v>Brand</v>
          </cell>
          <cell r="P15" t="str">
            <v>Eat Later</v>
          </cell>
          <cell r="Q15" t="str">
            <v>Other</v>
          </cell>
        </row>
        <row r="16">
          <cell r="A16" t="str">
            <v>FEB0001</v>
          </cell>
          <cell r="B16" t="str">
            <v>ECB Milk Chocolate Chunk 12 x160g</v>
          </cell>
          <cell r="C16" t="str">
            <v>C00005</v>
          </cell>
          <cell r="D16" t="str">
            <v>Samples (Internal A/c)</v>
          </cell>
          <cell r="E16" t="str">
            <v>Samples (Internal A/c) ECB Milk Chocolate Chunk 12 x160g</v>
          </cell>
          <cell r="F16">
            <v>1</v>
          </cell>
          <cell r="G16">
            <v>12</v>
          </cell>
          <cell r="H16">
            <v>1.92</v>
          </cell>
          <cell r="I16">
            <v>0.495</v>
          </cell>
          <cell r="J16">
            <v>5.9399999999999995</v>
          </cell>
          <cell r="K16">
            <v>3.09375</v>
          </cell>
          <cell r="L16" t="str">
            <v>Retail</v>
          </cell>
          <cell r="M16" t="str">
            <v>Ireland</v>
          </cell>
          <cell r="N16" t="str">
            <v>Cookies</v>
          </cell>
          <cell r="O16" t="str">
            <v>Brand</v>
          </cell>
          <cell r="P16" t="str">
            <v>Eat Later</v>
          </cell>
          <cell r="Q16" t="str">
            <v>Other</v>
          </cell>
        </row>
        <row r="17">
          <cell r="A17" t="str">
            <v>FEB0001</v>
          </cell>
          <cell r="B17" t="str">
            <v>ECB Milk Chocolate Chunk 12 x160g</v>
          </cell>
          <cell r="C17" t="str">
            <v>C00006</v>
          </cell>
          <cell r="D17" t="str">
            <v>Staff Sales</v>
          </cell>
          <cell r="E17" t="str">
            <v>Staff Sales ECB Milk Chocolate Chunk 12 x160g</v>
          </cell>
          <cell r="F17">
            <v>1</v>
          </cell>
          <cell r="G17">
            <v>12</v>
          </cell>
          <cell r="H17">
            <v>1.92</v>
          </cell>
          <cell r="I17">
            <v>0.495</v>
          </cell>
          <cell r="J17">
            <v>5.9399999999999995</v>
          </cell>
          <cell r="K17">
            <v>3.09375</v>
          </cell>
          <cell r="L17" t="str">
            <v>Retail</v>
          </cell>
          <cell r="M17" t="str">
            <v>Ireland</v>
          </cell>
          <cell r="N17" t="str">
            <v>Cookies</v>
          </cell>
          <cell r="O17" t="str">
            <v>Brand</v>
          </cell>
          <cell r="P17" t="str">
            <v>Eat Later</v>
          </cell>
          <cell r="Q17" t="str">
            <v>Other</v>
          </cell>
        </row>
        <row r="18">
          <cell r="A18" t="str">
            <v>FEB0001</v>
          </cell>
          <cell r="B18" t="str">
            <v>ECB Milk Chocolate Chunk 12 x160g</v>
          </cell>
          <cell r="C18" t="str">
            <v>C00016</v>
          </cell>
          <cell r="D18" t="str">
            <v>Tennant &amp; Ruttle Distribution Ltd</v>
          </cell>
          <cell r="E18" t="str">
            <v>Tennant &amp; Ruttle Distribution Ltd ECB Milk Chocolate Chunk 12 x160g</v>
          </cell>
          <cell r="F18">
            <v>1</v>
          </cell>
          <cell r="G18">
            <v>12</v>
          </cell>
          <cell r="H18">
            <v>1.92</v>
          </cell>
          <cell r="I18">
            <v>0.495</v>
          </cell>
          <cell r="J18">
            <v>5.9399999999999995</v>
          </cell>
          <cell r="K18">
            <v>3.09375</v>
          </cell>
          <cell r="L18" t="str">
            <v>Retail</v>
          </cell>
          <cell r="M18" t="str">
            <v>Ireland</v>
          </cell>
          <cell r="N18" t="str">
            <v>Cookies</v>
          </cell>
          <cell r="O18" t="str">
            <v>Brand</v>
          </cell>
          <cell r="P18" t="str">
            <v>Eat Later</v>
          </cell>
          <cell r="Q18" t="str">
            <v>T&amp;R</v>
          </cell>
        </row>
        <row r="19">
          <cell r="A19" t="str">
            <v>FEB0001</v>
          </cell>
          <cell r="B19" t="str">
            <v>ECB Milk Chocolate Chunk 12 x160g</v>
          </cell>
          <cell r="C19" t="str">
            <v>C00019</v>
          </cell>
          <cell r="D19" t="str">
            <v>Tudor Rose International</v>
          </cell>
          <cell r="E19" t="str">
            <v>Tudor Rose International ECB Milk Chocolate Chunk 12 x160g</v>
          </cell>
          <cell r="F19">
            <v>1</v>
          </cell>
          <cell r="G19">
            <v>12</v>
          </cell>
          <cell r="H19">
            <v>1.92</v>
          </cell>
          <cell r="I19">
            <v>0.495</v>
          </cell>
          <cell r="J19">
            <v>5.9399999999999995</v>
          </cell>
          <cell r="K19">
            <v>3.09375</v>
          </cell>
          <cell r="L19" t="str">
            <v>Retail</v>
          </cell>
          <cell r="M19" t="str">
            <v>ROW</v>
          </cell>
          <cell r="N19" t="str">
            <v>Cookies</v>
          </cell>
          <cell r="O19" t="str">
            <v>Brand</v>
          </cell>
          <cell r="P19" t="str">
            <v>Eat Later</v>
          </cell>
          <cell r="Q19" t="str">
            <v>Tudor Rose</v>
          </cell>
        </row>
        <row r="20">
          <cell r="A20" t="str">
            <v>FEB0002</v>
          </cell>
          <cell r="B20" t="str">
            <v>ECB Caramel &amp; Pecan ( SG ) 12 x 160g</v>
          </cell>
          <cell r="C20" t="str">
            <v>C00014</v>
          </cell>
          <cell r="D20" t="str">
            <v>Aldi</v>
          </cell>
          <cell r="E20" t="str">
            <v>Aldi ECB Caramel &amp; Pecan ( SG ) 12 x 160g</v>
          </cell>
          <cell r="F20">
            <v>1</v>
          </cell>
          <cell r="G20">
            <v>12</v>
          </cell>
          <cell r="H20">
            <v>1.92</v>
          </cell>
          <cell r="I20">
            <v>0.63200000000000001</v>
          </cell>
          <cell r="J20">
            <v>7.5839999999999996</v>
          </cell>
          <cell r="K20">
            <v>3.9499999999999997</v>
          </cell>
          <cell r="L20" t="str">
            <v>Retail</v>
          </cell>
          <cell r="M20" t="str">
            <v>Ireland</v>
          </cell>
          <cell r="N20" t="str">
            <v>Cookies</v>
          </cell>
          <cell r="O20" t="str">
            <v>Brand</v>
          </cell>
          <cell r="P20" t="str">
            <v>Eat Later</v>
          </cell>
          <cell r="Q20" t="str">
            <v>Aldi Ireland</v>
          </cell>
        </row>
        <row r="21">
          <cell r="A21" t="str">
            <v>FEB0002</v>
          </cell>
          <cell r="B21" t="str">
            <v>ECB Caramel &amp; Pecan ( SG ) 12 x 160g</v>
          </cell>
          <cell r="C21" t="str">
            <v>C00008</v>
          </cell>
          <cell r="D21" t="str">
            <v>Gerry's Fresh Foods</v>
          </cell>
          <cell r="E21" t="str">
            <v>Gerry's Fresh Foods ECB Caramel &amp; Pecan ( SG ) 12 x 160g</v>
          </cell>
          <cell r="F21">
            <v>1</v>
          </cell>
          <cell r="G21">
            <v>12</v>
          </cell>
          <cell r="H21">
            <v>1.92</v>
          </cell>
          <cell r="I21">
            <v>0.63200000000000001</v>
          </cell>
          <cell r="J21">
            <v>7.5839999999999996</v>
          </cell>
          <cell r="K21">
            <v>3.9499999999999997</v>
          </cell>
          <cell r="L21" t="str">
            <v>Retail</v>
          </cell>
          <cell r="M21" t="str">
            <v>Ireland</v>
          </cell>
          <cell r="N21" t="str">
            <v>Cookies</v>
          </cell>
          <cell r="O21" t="str">
            <v>Brand</v>
          </cell>
          <cell r="P21" t="str">
            <v>Eat Later</v>
          </cell>
          <cell r="Q21" t="str">
            <v>Other</v>
          </cell>
        </row>
        <row r="22">
          <cell r="A22" t="str">
            <v>FEB0002</v>
          </cell>
          <cell r="B22" t="str">
            <v>ECB Caramel &amp; Pecan ( SG ) 12 x 160g</v>
          </cell>
          <cell r="C22" t="str">
            <v>C00007</v>
          </cell>
          <cell r="D22" t="str">
            <v>Gerry's Supermarket</v>
          </cell>
          <cell r="E22" t="str">
            <v>Gerry's Supermarket ECB Caramel &amp; Pecan ( SG ) 12 x 160g</v>
          </cell>
          <cell r="F22">
            <v>1</v>
          </cell>
          <cell r="G22">
            <v>12</v>
          </cell>
          <cell r="H22">
            <v>1.92</v>
          </cell>
          <cell r="I22">
            <v>0.63200000000000001</v>
          </cell>
          <cell r="J22">
            <v>7.5839999999999996</v>
          </cell>
          <cell r="K22">
            <v>3.9499999999999997</v>
          </cell>
          <cell r="L22" t="str">
            <v>Retail</v>
          </cell>
          <cell r="M22" t="str">
            <v>Ireland</v>
          </cell>
          <cell r="N22" t="str">
            <v>Cookies</v>
          </cell>
          <cell r="O22" t="str">
            <v>Brand</v>
          </cell>
          <cell r="P22" t="str">
            <v>Eat Later</v>
          </cell>
          <cell r="Q22" t="str">
            <v>Other</v>
          </cell>
        </row>
        <row r="23">
          <cell r="A23" t="str">
            <v>FEB0002</v>
          </cell>
          <cell r="B23" t="str">
            <v>ECB Caramel &amp; Pecan ( SG ) 12 x 160g</v>
          </cell>
          <cell r="C23" t="str">
            <v>C00015</v>
          </cell>
          <cell r="D23" t="str">
            <v>Odaios Foods</v>
          </cell>
          <cell r="E23" t="str">
            <v>Odaios Foods ECB Caramel &amp; Pecan ( SG ) 12 x 160g</v>
          </cell>
          <cell r="F23">
            <v>1</v>
          </cell>
          <cell r="G23">
            <v>12</v>
          </cell>
          <cell r="H23">
            <v>1.92</v>
          </cell>
          <cell r="I23">
            <v>0.63200000000000001</v>
          </cell>
          <cell r="J23">
            <v>7.5839999999999996</v>
          </cell>
          <cell r="K23">
            <v>3.9499999999999997</v>
          </cell>
          <cell r="L23" t="str">
            <v>Retail</v>
          </cell>
          <cell r="M23" t="str">
            <v>Ireland</v>
          </cell>
          <cell r="N23" t="str">
            <v>Cookies</v>
          </cell>
          <cell r="O23" t="str">
            <v>Brand</v>
          </cell>
          <cell r="P23" t="str">
            <v>Eat Later</v>
          </cell>
          <cell r="Q23" t="str">
            <v>Other</v>
          </cell>
        </row>
        <row r="24">
          <cell r="A24" t="str">
            <v>FEB0002</v>
          </cell>
          <cell r="B24" t="str">
            <v>ECB Caramel &amp; Pecan ( SG ) 12 x 160g</v>
          </cell>
          <cell r="C24" t="str">
            <v>C00001</v>
          </cell>
          <cell r="D24" t="str">
            <v>Primeline</v>
          </cell>
          <cell r="E24" t="str">
            <v>Primeline ECB Caramel &amp; Pecan ( SG ) 12 x 160g</v>
          </cell>
          <cell r="F24">
            <v>1</v>
          </cell>
          <cell r="G24">
            <v>12</v>
          </cell>
          <cell r="H24">
            <v>1.92</v>
          </cell>
          <cell r="I24">
            <v>0.63200000000000001</v>
          </cell>
          <cell r="J24">
            <v>7.5839999999999996</v>
          </cell>
          <cell r="K24">
            <v>3.9499999999999997</v>
          </cell>
          <cell r="L24" t="str">
            <v>Retail</v>
          </cell>
          <cell r="M24" t="str">
            <v>Ireland</v>
          </cell>
          <cell r="N24" t="str">
            <v>Cookies</v>
          </cell>
          <cell r="O24" t="str">
            <v>Brand</v>
          </cell>
          <cell r="P24" t="str">
            <v>Eat Later</v>
          </cell>
          <cell r="Q24" t="str">
            <v>Other</v>
          </cell>
        </row>
        <row r="25">
          <cell r="A25" t="str">
            <v>FEB0002</v>
          </cell>
          <cell r="B25" t="str">
            <v>ECB Caramel and Pecan (SG) 12 x 160g</v>
          </cell>
          <cell r="C25" t="str">
            <v>C00005</v>
          </cell>
          <cell r="D25" t="str">
            <v>Samples (Internal A/c)</v>
          </cell>
          <cell r="E25" t="str">
            <v>Samples (Internal A/c) ECB Caramel and Pecan (SG) 12 x 160g</v>
          </cell>
          <cell r="F25">
            <v>1</v>
          </cell>
          <cell r="G25">
            <v>12</v>
          </cell>
          <cell r="H25">
            <v>1.92</v>
          </cell>
          <cell r="I25">
            <v>0.63200000000000001</v>
          </cell>
          <cell r="J25">
            <v>7.5839999999999996</v>
          </cell>
          <cell r="K25">
            <v>3.9499999999999997</v>
          </cell>
          <cell r="L25" t="str">
            <v>Retail</v>
          </cell>
          <cell r="M25" t="str">
            <v>Ireland</v>
          </cell>
          <cell r="N25" t="str">
            <v>Cookies</v>
          </cell>
          <cell r="O25" t="str">
            <v>Brand</v>
          </cell>
          <cell r="P25" t="str">
            <v>Eat Later</v>
          </cell>
          <cell r="Q25" t="str">
            <v>Other</v>
          </cell>
        </row>
        <row r="26">
          <cell r="A26" t="str">
            <v>FEB0002</v>
          </cell>
          <cell r="B26" t="str">
            <v>ECB Caramel and Pecan (SG) 12 x 160g</v>
          </cell>
          <cell r="C26" t="str">
            <v>C00020</v>
          </cell>
          <cell r="D26" t="str">
            <v>Sotrexco International</v>
          </cell>
          <cell r="E26" t="str">
            <v>Sotrexco International ECB Caramel and Pecan (SG) 12 x 160g</v>
          </cell>
          <cell r="F26">
            <v>1</v>
          </cell>
          <cell r="G26">
            <v>12</v>
          </cell>
          <cell r="H26">
            <v>1.92</v>
          </cell>
          <cell r="I26">
            <v>0.63200000000000001</v>
          </cell>
          <cell r="J26">
            <v>7.5839999999999996</v>
          </cell>
          <cell r="K26">
            <v>3.9499999999999997</v>
          </cell>
          <cell r="L26" t="str">
            <v>Retail</v>
          </cell>
          <cell r="M26" t="str">
            <v>ROW</v>
          </cell>
          <cell r="N26" t="str">
            <v>Cookies</v>
          </cell>
          <cell r="O26" t="str">
            <v>Brand</v>
          </cell>
          <cell r="P26" t="str">
            <v>Eat Later</v>
          </cell>
          <cell r="Q26" t="str">
            <v>Other USA Direct</v>
          </cell>
        </row>
        <row r="27">
          <cell r="A27" t="str">
            <v>FEB0002</v>
          </cell>
          <cell r="B27" t="str">
            <v>ECB Caramel and Pecan (SG) 12 x 160g</v>
          </cell>
          <cell r="C27" t="str">
            <v>C00006</v>
          </cell>
          <cell r="D27" t="str">
            <v>Staff Sales</v>
          </cell>
          <cell r="E27" t="str">
            <v>Staff Sales ECB Caramel and Pecan (SG) 12 x 160g</v>
          </cell>
          <cell r="F27">
            <v>1</v>
          </cell>
          <cell r="G27">
            <v>12</v>
          </cell>
          <cell r="H27">
            <v>1.92</v>
          </cell>
          <cell r="I27">
            <v>0.63200000000000001</v>
          </cell>
          <cell r="J27">
            <v>7.5839999999999996</v>
          </cell>
          <cell r="K27">
            <v>3.9499999999999997</v>
          </cell>
          <cell r="L27" t="str">
            <v>Retail</v>
          </cell>
          <cell r="M27" t="str">
            <v>Ireland</v>
          </cell>
          <cell r="N27" t="str">
            <v>Cookies</v>
          </cell>
          <cell r="O27" t="str">
            <v>Brand</v>
          </cell>
          <cell r="P27" t="str">
            <v>Eat Later</v>
          </cell>
          <cell r="Q27" t="str">
            <v>Other</v>
          </cell>
        </row>
        <row r="28">
          <cell r="A28" t="str">
            <v>FEB0002</v>
          </cell>
          <cell r="B28" t="str">
            <v>ECB Caramel and Pecan (SG) 12 x 160g</v>
          </cell>
          <cell r="C28" t="str">
            <v>C00016</v>
          </cell>
          <cell r="D28" t="str">
            <v>Tennant &amp; Ruttle Distribution Ltd</v>
          </cell>
          <cell r="E28" t="str">
            <v>Tennant &amp; Ruttle Distribution Ltd ECB Caramel and Pecan (SG) 12 x 160g</v>
          </cell>
          <cell r="F28">
            <v>1</v>
          </cell>
          <cell r="G28">
            <v>12</v>
          </cell>
          <cell r="H28">
            <v>1.92</v>
          </cell>
          <cell r="I28">
            <v>0.63200000000000001</v>
          </cell>
          <cell r="J28">
            <v>7.5839999999999996</v>
          </cell>
          <cell r="K28">
            <v>3.9499999999999997</v>
          </cell>
          <cell r="L28" t="str">
            <v>Retail</v>
          </cell>
          <cell r="M28" t="str">
            <v>Ireland</v>
          </cell>
          <cell r="N28" t="str">
            <v>Cookies</v>
          </cell>
          <cell r="O28" t="str">
            <v>Brand</v>
          </cell>
          <cell r="P28" t="str">
            <v>Eat Later</v>
          </cell>
          <cell r="Q28" t="str">
            <v>T&amp;R</v>
          </cell>
        </row>
        <row r="29">
          <cell r="A29" t="str">
            <v>FEB0002</v>
          </cell>
          <cell r="B29" t="str">
            <v>ECB Caramel and Pecan (SG) 12 x 160g</v>
          </cell>
          <cell r="C29" t="str">
            <v>C00019</v>
          </cell>
          <cell r="D29" t="str">
            <v>Tudor Rose International</v>
          </cell>
          <cell r="E29" t="str">
            <v>Tudor Rose International ECB Caramel and Pecan (SG) 12 x 160g</v>
          </cell>
          <cell r="F29">
            <v>1</v>
          </cell>
          <cell r="G29">
            <v>12</v>
          </cell>
          <cell r="H29">
            <v>1.92</v>
          </cell>
          <cell r="I29">
            <v>0.63200000000000001</v>
          </cell>
          <cell r="J29">
            <v>7.5839999999999996</v>
          </cell>
          <cell r="K29">
            <v>3.9499999999999997</v>
          </cell>
          <cell r="L29" t="str">
            <v>Retail</v>
          </cell>
          <cell r="M29" t="str">
            <v>ROW</v>
          </cell>
          <cell r="N29" t="str">
            <v>Cookies</v>
          </cell>
          <cell r="O29" t="str">
            <v>Brand</v>
          </cell>
          <cell r="P29" t="str">
            <v>Eat Later</v>
          </cell>
          <cell r="Q29" t="str">
            <v>Tudor Rose</v>
          </cell>
        </row>
        <row r="30">
          <cell r="A30" t="str">
            <v>FEB0003</v>
          </cell>
          <cell r="B30" t="str">
            <v>Milk Chocolate Chunk Cookie 20g single pack</v>
          </cell>
          <cell r="C30" t="str">
            <v>C00015</v>
          </cell>
          <cell r="D30" t="str">
            <v>Odaios Foods</v>
          </cell>
          <cell r="E30" t="str">
            <v>Odaios Foods Milk Chocolate Chunk Cookie 20g single pack</v>
          </cell>
          <cell r="F30">
            <v>1</v>
          </cell>
          <cell r="G30">
            <v>1</v>
          </cell>
          <cell r="H30">
            <v>2</v>
          </cell>
          <cell r="I30">
            <v>9.3095999999999997</v>
          </cell>
          <cell r="J30">
            <v>9.3095999999999997</v>
          </cell>
          <cell r="K30">
            <v>4.6547999999999998</v>
          </cell>
          <cell r="L30" t="str">
            <v>Out of home</v>
          </cell>
          <cell r="M30" t="str">
            <v>Ireland</v>
          </cell>
          <cell r="N30" t="str">
            <v>Cookies</v>
          </cell>
          <cell r="O30" t="str">
            <v>Brand</v>
          </cell>
          <cell r="P30" t="str">
            <v>Eat Now</v>
          </cell>
          <cell r="Q30" t="str">
            <v>Other</v>
          </cell>
        </row>
        <row r="31">
          <cell r="A31" t="str">
            <v>FEB0003</v>
          </cell>
          <cell r="B31" t="str">
            <v>Milk Chocolate Chunk Cookie 20g single pack</v>
          </cell>
          <cell r="C31" t="str">
            <v>C00005</v>
          </cell>
          <cell r="D31" t="str">
            <v>Samples (Internal A/c)</v>
          </cell>
          <cell r="E31" t="str">
            <v>Samples (Internal A/c) Milk Chocolate Chunk Cookie 20g single pack</v>
          </cell>
          <cell r="F31">
            <v>1</v>
          </cell>
          <cell r="G31">
            <v>1</v>
          </cell>
          <cell r="H31">
            <v>2</v>
          </cell>
          <cell r="I31">
            <v>9.3095999999999997</v>
          </cell>
          <cell r="J31">
            <v>9.3095999999999997</v>
          </cell>
          <cell r="K31">
            <v>4.6547999999999998</v>
          </cell>
          <cell r="L31" t="str">
            <v>Out of home</v>
          </cell>
          <cell r="M31" t="str">
            <v>Ireland</v>
          </cell>
          <cell r="N31" t="str">
            <v>Cookies</v>
          </cell>
          <cell r="O31" t="str">
            <v>Brand</v>
          </cell>
          <cell r="P31" t="str">
            <v>Eat Now</v>
          </cell>
          <cell r="Q31" t="str">
            <v>Other</v>
          </cell>
        </row>
        <row r="32">
          <cell r="A32" t="str">
            <v>FEB0004</v>
          </cell>
          <cell r="B32" t="str">
            <v>ECB Chocolate Enrobed Milk Chocolate Chunk 12 x 160g</v>
          </cell>
          <cell r="C32" t="str">
            <v>C00014</v>
          </cell>
          <cell r="D32" t="str">
            <v>Aldi</v>
          </cell>
          <cell r="E32" t="str">
            <v>Aldi ECB Chocolate Enrobed Milk Chocolate Chunk 12 x 160g</v>
          </cell>
          <cell r="F32">
            <v>1</v>
          </cell>
          <cell r="G32">
            <v>12</v>
          </cell>
          <cell r="H32">
            <v>1.92</v>
          </cell>
          <cell r="I32">
            <v>0.501</v>
          </cell>
          <cell r="J32">
            <v>6.0120000000000005</v>
          </cell>
          <cell r="K32">
            <v>3.1312500000000005</v>
          </cell>
          <cell r="L32" t="str">
            <v>Retail</v>
          </cell>
          <cell r="M32" t="str">
            <v>Ireland</v>
          </cell>
          <cell r="N32" t="str">
            <v>Cookies</v>
          </cell>
          <cell r="O32" t="str">
            <v>Brand</v>
          </cell>
          <cell r="P32" t="str">
            <v>Eat Later</v>
          </cell>
          <cell r="Q32" t="str">
            <v>Aldi Ireland</v>
          </cell>
        </row>
        <row r="33">
          <cell r="A33" t="str">
            <v>FEB0004</v>
          </cell>
          <cell r="B33" t="str">
            <v>ECB Chocolate Enrobed Milk Chocolate Chunk 12 x 160g</v>
          </cell>
          <cell r="C33" t="str">
            <v>C00008</v>
          </cell>
          <cell r="D33" t="str">
            <v>Gerry's Fresh Foods</v>
          </cell>
          <cell r="E33" t="str">
            <v>Gerry's Fresh Foods ECB Chocolate Enrobed Milk Chocolate Chunk 12 x 160g</v>
          </cell>
          <cell r="F33">
            <v>1</v>
          </cell>
          <cell r="G33">
            <v>12</v>
          </cell>
          <cell r="H33">
            <v>1.92</v>
          </cell>
          <cell r="I33">
            <v>0.501</v>
          </cell>
          <cell r="J33">
            <v>6.0120000000000005</v>
          </cell>
          <cell r="K33">
            <v>3.1312500000000005</v>
          </cell>
          <cell r="L33" t="str">
            <v>Retail</v>
          </cell>
          <cell r="M33" t="str">
            <v>Ireland</v>
          </cell>
          <cell r="N33" t="str">
            <v>Cookies</v>
          </cell>
          <cell r="O33" t="str">
            <v>Brand</v>
          </cell>
          <cell r="P33" t="str">
            <v>Eat Later</v>
          </cell>
          <cell r="Q33" t="str">
            <v>Other</v>
          </cell>
        </row>
        <row r="34">
          <cell r="A34" t="str">
            <v>FEB0004</v>
          </cell>
          <cell r="B34" t="str">
            <v>ECB Chocolate Enrobed Milk Chocolate Chunk 12 x 160g</v>
          </cell>
          <cell r="C34" t="str">
            <v>C00007</v>
          </cell>
          <cell r="D34" t="str">
            <v>Gerry's Supermarket</v>
          </cell>
          <cell r="E34" t="str">
            <v>Gerry's Supermarket ECB Chocolate Enrobed Milk Chocolate Chunk 12 x 160g</v>
          </cell>
          <cell r="F34">
            <v>1</v>
          </cell>
          <cell r="G34">
            <v>12</v>
          </cell>
          <cell r="H34">
            <v>1.92</v>
          </cell>
          <cell r="I34">
            <v>0.501</v>
          </cell>
          <cell r="J34">
            <v>6.0120000000000005</v>
          </cell>
          <cell r="K34">
            <v>3.1312500000000005</v>
          </cell>
          <cell r="L34" t="str">
            <v>Retail</v>
          </cell>
          <cell r="M34" t="str">
            <v>Ireland</v>
          </cell>
          <cell r="N34" t="str">
            <v>Cookies</v>
          </cell>
          <cell r="O34" t="str">
            <v>Brand</v>
          </cell>
          <cell r="P34" t="str">
            <v>Eat Later</v>
          </cell>
          <cell r="Q34" t="str">
            <v>Other</v>
          </cell>
        </row>
        <row r="35">
          <cell r="A35" t="str">
            <v>FEB0004</v>
          </cell>
          <cell r="B35" t="str">
            <v>ECB Chocolate Enrobed Milk Chocolate Chunk 12 x 160g</v>
          </cell>
          <cell r="C35" t="str">
            <v>C00015</v>
          </cell>
          <cell r="D35" t="str">
            <v>Odaios Foods</v>
          </cell>
          <cell r="E35" t="str">
            <v>Odaios Foods ECB Chocolate Enrobed Milk Chocolate Chunk 12 x 160g</v>
          </cell>
          <cell r="F35">
            <v>1</v>
          </cell>
          <cell r="G35">
            <v>12</v>
          </cell>
          <cell r="H35">
            <v>1.92</v>
          </cell>
          <cell r="I35">
            <v>0.501</v>
          </cell>
          <cell r="J35">
            <v>6.0120000000000005</v>
          </cell>
          <cell r="K35">
            <v>3.1312500000000005</v>
          </cell>
          <cell r="L35" t="str">
            <v>Retail</v>
          </cell>
          <cell r="M35" t="str">
            <v>Ireland</v>
          </cell>
          <cell r="N35" t="str">
            <v>Cookies</v>
          </cell>
          <cell r="O35" t="str">
            <v>Brand</v>
          </cell>
          <cell r="P35" t="str">
            <v>Eat Later</v>
          </cell>
          <cell r="Q35" t="str">
            <v>Other</v>
          </cell>
        </row>
        <row r="36">
          <cell r="A36" t="str">
            <v>FEB0004</v>
          </cell>
          <cell r="B36" t="str">
            <v>ECB Chocolate Enrobed Milk Chocolate Chunk 12 x 160g</v>
          </cell>
          <cell r="C36" t="str">
            <v>C00001</v>
          </cell>
          <cell r="D36" t="str">
            <v>Primeline</v>
          </cell>
          <cell r="E36" t="str">
            <v>Primeline ECB Chocolate Enrobed Milk Chocolate Chunk 12 x 160g</v>
          </cell>
          <cell r="F36">
            <v>1</v>
          </cell>
          <cell r="G36">
            <v>12</v>
          </cell>
          <cell r="H36">
            <v>1.92</v>
          </cell>
          <cell r="I36">
            <v>0.501</v>
          </cell>
          <cell r="J36">
            <v>6.0120000000000005</v>
          </cell>
          <cell r="K36">
            <v>3.1312500000000005</v>
          </cell>
          <cell r="L36" t="str">
            <v>Retail</v>
          </cell>
          <cell r="M36" t="str">
            <v>Ireland</v>
          </cell>
          <cell r="N36" t="str">
            <v>Cookies</v>
          </cell>
          <cell r="O36" t="str">
            <v>Brand</v>
          </cell>
          <cell r="P36" t="str">
            <v>Eat Later</v>
          </cell>
          <cell r="Q36" t="str">
            <v>Other</v>
          </cell>
        </row>
        <row r="37">
          <cell r="A37" t="str">
            <v>FEB0004</v>
          </cell>
          <cell r="B37" t="str">
            <v>ECB Chocolate Enrobed Milk Chocolate Chunk 12 x 160g</v>
          </cell>
          <cell r="C37" t="str">
            <v>C00005</v>
          </cell>
          <cell r="D37" t="str">
            <v>Samples (Internal A/c)</v>
          </cell>
          <cell r="E37" t="str">
            <v>Samples (Internal A/c) ECB Chocolate Enrobed Milk Chocolate Chunk 12 x 160g</v>
          </cell>
          <cell r="F37">
            <v>1</v>
          </cell>
          <cell r="G37">
            <v>12</v>
          </cell>
          <cell r="H37">
            <v>1.92</v>
          </cell>
          <cell r="I37">
            <v>0.501</v>
          </cell>
          <cell r="J37">
            <v>6.0120000000000005</v>
          </cell>
          <cell r="K37">
            <v>3.1312500000000005</v>
          </cell>
          <cell r="L37" t="str">
            <v>Retail</v>
          </cell>
          <cell r="M37" t="str">
            <v>Ireland</v>
          </cell>
          <cell r="N37" t="str">
            <v>Cookies</v>
          </cell>
          <cell r="O37" t="str">
            <v>Brand</v>
          </cell>
          <cell r="P37" t="str">
            <v>Eat Later</v>
          </cell>
          <cell r="Q37" t="str">
            <v>Other</v>
          </cell>
        </row>
        <row r="38">
          <cell r="A38" t="str">
            <v>FEB0004</v>
          </cell>
          <cell r="B38" t="str">
            <v>ECB Chocolate Enrobed Milk Chocolate Chunk 12 x 160g</v>
          </cell>
          <cell r="C38" t="str">
            <v>C00006</v>
          </cell>
          <cell r="D38" t="str">
            <v>Staff Sales</v>
          </cell>
          <cell r="E38" t="str">
            <v>Staff Sales ECB Chocolate Enrobed Milk Chocolate Chunk 12 x 160g</v>
          </cell>
          <cell r="F38">
            <v>1</v>
          </cell>
          <cell r="G38">
            <v>12</v>
          </cell>
          <cell r="H38">
            <v>1.92</v>
          </cell>
          <cell r="I38">
            <v>0.501</v>
          </cell>
          <cell r="J38">
            <v>6.0120000000000005</v>
          </cell>
          <cell r="K38">
            <v>3.1312500000000005</v>
          </cell>
          <cell r="L38" t="str">
            <v>Retail</v>
          </cell>
          <cell r="M38" t="str">
            <v>Ireland</v>
          </cell>
          <cell r="N38" t="str">
            <v>Cookies</v>
          </cell>
          <cell r="O38" t="str">
            <v>Brand</v>
          </cell>
          <cell r="P38" t="str">
            <v>Eat Later</v>
          </cell>
          <cell r="Q38" t="str">
            <v>Other</v>
          </cell>
        </row>
        <row r="39">
          <cell r="A39" t="str">
            <v>FEB0004</v>
          </cell>
          <cell r="B39" t="str">
            <v>ECB Chocolate Enrobed Milk Chocolate Chunk 12 x 160g</v>
          </cell>
          <cell r="C39" t="str">
            <v>C00016</v>
          </cell>
          <cell r="D39" t="str">
            <v>Tennant &amp; Ruttle Distribution Ltd</v>
          </cell>
          <cell r="E39" t="str">
            <v>Tennant &amp; Ruttle Distribution Ltd ECB Chocolate Enrobed Milk Chocolate Chunk 12 x 160g</v>
          </cell>
          <cell r="F39">
            <v>1</v>
          </cell>
          <cell r="G39">
            <v>12</v>
          </cell>
          <cell r="H39">
            <v>1.92</v>
          </cell>
          <cell r="I39">
            <v>0.501</v>
          </cell>
          <cell r="J39">
            <v>6.0120000000000005</v>
          </cell>
          <cell r="K39">
            <v>3.1312500000000005</v>
          </cell>
          <cell r="L39" t="str">
            <v>Retail</v>
          </cell>
          <cell r="M39" t="str">
            <v>Ireland</v>
          </cell>
          <cell r="N39" t="str">
            <v>Cookies</v>
          </cell>
          <cell r="O39" t="str">
            <v>Brand</v>
          </cell>
          <cell r="P39" t="str">
            <v>Eat Later</v>
          </cell>
          <cell r="Q39" t="str">
            <v>T&amp;R</v>
          </cell>
        </row>
        <row r="40">
          <cell r="A40" t="str">
            <v>FEB0004</v>
          </cell>
          <cell r="B40" t="str">
            <v>ECB Chocolate Enrobed Milk Chocolate Chunk 12 x 160g</v>
          </cell>
          <cell r="C40" t="str">
            <v>C00019</v>
          </cell>
          <cell r="D40" t="str">
            <v>Tudor Rose International</v>
          </cell>
          <cell r="E40" t="str">
            <v>Tudor Rose International ECB Chocolate Enrobed Milk Chocolate Chunk 12 x 160g</v>
          </cell>
          <cell r="F40">
            <v>1</v>
          </cell>
          <cell r="G40">
            <v>12</v>
          </cell>
          <cell r="H40">
            <v>1.92</v>
          </cell>
          <cell r="I40">
            <v>0.501</v>
          </cell>
          <cell r="J40">
            <v>6.0120000000000005</v>
          </cell>
          <cell r="K40">
            <v>3.1312500000000005</v>
          </cell>
          <cell r="L40" t="str">
            <v>Retail</v>
          </cell>
          <cell r="M40" t="str">
            <v>ROW</v>
          </cell>
          <cell r="N40" t="str">
            <v>Cookies</v>
          </cell>
          <cell r="O40" t="str">
            <v>Brand</v>
          </cell>
          <cell r="P40" t="str">
            <v>Eat Later</v>
          </cell>
          <cell r="Q40" t="str">
            <v>Tudor Rose</v>
          </cell>
        </row>
        <row r="41">
          <cell r="A41" t="str">
            <v>FEB0005</v>
          </cell>
          <cell r="B41" t="str">
            <v>ECB Stem Ginger &amp; Chocolate Chunk Crunchy 12 x 160g</v>
          </cell>
          <cell r="C41" t="str">
            <v>C00014</v>
          </cell>
          <cell r="D41" t="str">
            <v>Aldi</v>
          </cell>
          <cell r="E41" t="str">
            <v>Aldi ECB Stem Ginger &amp; Chocolate Chunk Crunchy 12 x 160g</v>
          </cell>
          <cell r="F41">
            <v>1</v>
          </cell>
          <cell r="G41">
            <v>12</v>
          </cell>
          <cell r="H41">
            <v>1.92</v>
          </cell>
          <cell r="I41">
            <v>0.52800000000000002</v>
          </cell>
          <cell r="J41">
            <v>6.3360000000000003</v>
          </cell>
          <cell r="K41">
            <v>3.3000000000000003</v>
          </cell>
          <cell r="L41" t="str">
            <v>Retail</v>
          </cell>
          <cell r="M41" t="str">
            <v>Ireland</v>
          </cell>
          <cell r="N41" t="str">
            <v>Cookies</v>
          </cell>
          <cell r="O41" t="str">
            <v>Brand</v>
          </cell>
          <cell r="P41" t="str">
            <v>Eat Later</v>
          </cell>
          <cell r="Q41" t="str">
            <v>Aldi Ireland</v>
          </cell>
        </row>
        <row r="42">
          <cell r="A42" t="str">
            <v>FEB0005</v>
          </cell>
          <cell r="B42" t="str">
            <v>ECB Stem Ginger &amp; Chocolate Chunk Crunchy 12 x 160g</v>
          </cell>
          <cell r="C42" t="str">
            <v>C00017</v>
          </cell>
          <cell r="D42" t="str">
            <v>Fordham Fine Foods Ltd</v>
          </cell>
          <cell r="E42" t="str">
            <v>Fordham Fine Foods Ltd ECB Stem Ginger &amp; Chocolate Chunk Crunchy 12 x 160g</v>
          </cell>
          <cell r="F42">
            <v>1</v>
          </cell>
          <cell r="G42">
            <v>12</v>
          </cell>
          <cell r="H42">
            <v>1.92</v>
          </cell>
          <cell r="I42">
            <v>0.52800000000000002</v>
          </cell>
          <cell r="J42">
            <v>6.3360000000000003</v>
          </cell>
          <cell r="K42">
            <v>3.3000000000000003</v>
          </cell>
          <cell r="L42" t="str">
            <v>Retail</v>
          </cell>
          <cell r="M42" t="str">
            <v>UK</v>
          </cell>
          <cell r="N42" t="str">
            <v>Cookies</v>
          </cell>
          <cell r="O42" t="str">
            <v>Brand</v>
          </cell>
          <cell r="P42" t="str">
            <v>Eat Later</v>
          </cell>
          <cell r="Q42" t="str">
            <v>Fordham</v>
          </cell>
        </row>
        <row r="43">
          <cell r="A43" t="str">
            <v>FEB0005</v>
          </cell>
          <cell r="B43" t="str">
            <v>ECB Stem Ginger &amp; Chocolate Chunk Crunchy 12 x 160g</v>
          </cell>
          <cell r="C43" t="str">
            <v>C00008</v>
          </cell>
          <cell r="D43" t="str">
            <v>Gerry's Fresh Foods</v>
          </cell>
          <cell r="E43" t="str">
            <v>Gerry's Fresh Foods ECB Stem Ginger &amp; Chocolate Chunk Crunchy 12 x 160g</v>
          </cell>
          <cell r="F43">
            <v>1</v>
          </cell>
          <cell r="G43">
            <v>12</v>
          </cell>
          <cell r="H43">
            <v>1.92</v>
          </cell>
          <cell r="I43">
            <v>0.52800000000000002</v>
          </cell>
          <cell r="J43">
            <v>6.3360000000000003</v>
          </cell>
          <cell r="K43">
            <v>3.3000000000000003</v>
          </cell>
          <cell r="L43" t="str">
            <v>Retail</v>
          </cell>
          <cell r="M43" t="str">
            <v>Ireland</v>
          </cell>
          <cell r="N43" t="str">
            <v>Cookies</v>
          </cell>
          <cell r="O43" t="str">
            <v>Brand</v>
          </cell>
          <cell r="P43" t="str">
            <v>Eat Later</v>
          </cell>
          <cell r="Q43" t="str">
            <v>Other</v>
          </cell>
        </row>
        <row r="44">
          <cell r="A44" t="str">
            <v>FEB0005</v>
          </cell>
          <cell r="B44" t="str">
            <v>ECB Stem Ginger &amp; Chocolate Chunk Crunchy 12 x 160g</v>
          </cell>
          <cell r="C44" t="str">
            <v>C00007</v>
          </cell>
          <cell r="D44" t="str">
            <v>Gerry's Supermarket</v>
          </cell>
          <cell r="E44" t="str">
            <v>Gerry's Supermarket ECB Stem Ginger &amp; Chocolate Chunk Crunchy 12 x 160g</v>
          </cell>
          <cell r="F44">
            <v>1</v>
          </cell>
          <cell r="G44">
            <v>12</v>
          </cell>
          <cell r="H44">
            <v>1.92</v>
          </cell>
          <cell r="I44">
            <v>0.52800000000000002</v>
          </cell>
          <cell r="J44">
            <v>6.3360000000000003</v>
          </cell>
          <cell r="K44">
            <v>3.3000000000000003</v>
          </cell>
          <cell r="L44" t="str">
            <v>Retail</v>
          </cell>
          <cell r="M44" t="str">
            <v>Ireland</v>
          </cell>
          <cell r="N44" t="str">
            <v>Cookies</v>
          </cell>
          <cell r="O44" t="str">
            <v>Brand</v>
          </cell>
          <cell r="P44" t="str">
            <v>Eat Later</v>
          </cell>
          <cell r="Q44" t="str">
            <v>Other</v>
          </cell>
        </row>
        <row r="45">
          <cell r="A45" t="str">
            <v>FEB0005</v>
          </cell>
          <cell r="B45" t="str">
            <v>ECB Stem Ginger &amp; Chocolate Chunk Crunchy 12 x 160g</v>
          </cell>
          <cell r="C45" t="str">
            <v>C00013</v>
          </cell>
          <cell r="D45" t="str">
            <v>Leydens Cash &amp; Carry</v>
          </cell>
          <cell r="E45" t="str">
            <v>Leydens Cash &amp; Carry ECB Stem Ginger &amp; Chocolate Chunk Crunchy 12 x 160g</v>
          </cell>
          <cell r="F45">
            <v>1</v>
          </cell>
          <cell r="G45">
            <v>12</v>
          </cell>
          <cell r="H45">
            <v>1.92</v>
          </cell>
          <cell r="I45">
            <v>0.52800000000000002</v>
          </cell>
          <cell r="J45">
            <v>6.3360000000000003</v>
          </cell>
          <cell r="K45">
            <v>3.3000000000000003</v>
          </cell>
          <cell r="L45" t="str">
            <v>Retail</v>
          </cell>
          <cell r="M45" t="str">
            <v>Ireland</v>
          </cell>
          <cell r="N45" t="str">
            <v>Cookies</v>
          </cell>
          <cell r="O45" t="str">
            <v>Brand</v>
          </cell>
          <cell r="P45" t="str">
            <v>Eat Later</v>
          </cell>
          <cell r="Q45" t="str">
            <v>Other</v>
          </cell>
        </row>
        <row r="46">
          <cell r="A46" t="str">
            <v>FEB0005</v>
          </cell>
          <cell r="B46" t="str">
            <v>ECB Stem Ginger &amp; Chocolate Chunk Crunchy 12 x 160g</v>
          </cell>
          <cell r="C46" t="str">
            <v>C00015</v>
          </cell>
          <cell r="D46" t="str">
            <v>Odaios Foods</v>
          </cell>
          <cell r="E46" t="str">
            <v>Odaios Foods ECB Stem Ginger &amp; Chocolate Chunk Crunchy 12 x 160g</v>
          </cell>
          <cell r="F46">
            <v>1</v>
          </cell>
          <cell r="G46">
            <v>12</v>
          </cell>
          <cell r="H46">
            <v>1.92</v>
          </cell>
          <cell r="I46">
            <v>0.52800000000000002</v>
          </cell>
          <cell r="J46">
            <v>6.3360000000000003</v>
          </cell>
          <cell r="K46">
            <v>3.3000000000000003</v>
          </cell>
          <cell r="L46" t="str">
            <v>Retail</v>
          </cell>
          <cell r="M46" t="str">
            <v>Ireland</v>
          </cell>
          <cell r="N46" t="str">
            <v>Cookies</v>
          </cell>
          <cell r="O46" t="str">
            <v>Brand</v>
          </cell>
          <cell r="P46" t="str">
            <v>Eat Later</v>
          </cell>
          <cell r="Q46" t="str">
            <v>Other</v>
          </cell>
        </row>
        <row r="47">
          <cell r="A47" t="str">
            <v>FEB0005</v>
          </cell>
          <cell r="B47" t="str">
            <v>ECB Stem Ginger &amp; Chocolate Chunk Crunchy 12 x 160g</v>
          </cell>
          <cell r="C47" t="str">
            <v>C00005</v>
          </cell>
          <cell r="D47" t="str">
            <v>Samples (Internal A/c)</v>
          </cell>
          <cell r="E47" t="str">
            <v>Samples (Internal A/c) ECB Stem Ginger &amp; Chocolate Chunk Crunchy 12 x 160g</v>
          </cell>
          <cell r="F47">
            <v>1</v>
          </cell>
          <cell r="G47">
            <v>12</v>
          </cell>
          <cell r="H47">
            <v>1.92</v>
          </cell>
          <cell r="I47">
            <v>0.52800000000000002</v>
          </cell>
          <cell r="J47">
            <v>6.3360000000000003</v>
          </cell>
          <cell r="K47">
            <v>3.3000000000000003</v>
          </cell>
          <cell r="L47" t="str">
            <v>Retail</v>
          </cell>
          <cell r="M47" t="str">
            <v>Ireland</v>
          </cell>
          <cell r="N47" t="str">
            <v>Cookies</v>
          </cell>
          <cell r="O47" t="str">
            <v>Brand</v>
          </cell>
          <cell r="P47" t="str">
            <v>Eat Later</v>
          </cell>
          <cell r="Q47" t="str">
            <v>Other</v>
          </cell>
        </row>
        <row r="48">
          <cell r="A48" t="str">
            <v>FEB0005</v>
          </cell>
          <cell r="B48" t="str">
            <v>ECB Stem Ginger &amp; Chocolate Chunk Crunchy 12 x 160g</v>
          </cell>
          <cell r="C48" t="str">
            <v>C00006</v>
          </cell>
          <cell r="D48" t="str">
            <v>Staff Sales</v>
          </cell>
          <cell r="E48" t="str">
            <v>Staff Sales ECB Stem Ginger &amp; Chocolate Chunk Crunchy 12 x 160g</v>
          </cell>
          <cell r="F48">
            <v>1</v>
          </cell>
          <cell r="G48">
            <v>12</v>
          </cell>
          <cell r="H48">
            <v>1.92</v>
          </cell>
          <cell r="I48">
            <v>0.52800000000000002</v>
          </cell>
          <cell r="J48">
            <v>6.3360000000000003</v>
          </cell>
          <cell r="K48">
            <v>3.3000000000000003</v>
          </cell>
          <cell r="L48" t="str">
            <v>Retail</v>
          </cell>
          <cell r="M48" t="str">
            <v>Ireland</v>
          </cell>
          <cell r="N48" t="str">
            <v>Cookies</v>
          </cell>
          <cell r="O48" t="str">
            <v>Brand</v>
          </cell>
          <cell r="P48" t="str">
            <v>Eat Later</v>
          </cell>
          <cell r="Q48" t="str">
            <v>Other</v>
          </cell>
        </row>
        <row r="49">
          <cell r="A49" t="str">
            <v>FEB0005</v>
          </cell>
          <cell r="B49" t="str">
            <v>ECB Stem Ginger &amp; Chocolate Chunk Crunchy 12 x 160g</v>
          </cell>
          <cell r="C49" t="str">
            <v>C00016</v>
          </cell>
          <cell r="D49" t="str">
            <v>Tennant &amp; Ruttle Distribution Ltd</v>
          </cell>
          <cell r="E49" t="str">
            <v>Tennant &amp; Ruttle Distribution Ltd ECB Stem Ginger &amp; Chocolate Chunk Crunchy 12 x 160g</v>
          </cell>
          <cell r="F49">
            <v>1</v>
          </cell>
          <cell r="G49">
            <v>12</v>
          </cell>
          <cell r="H49">
            <v>1.92</v>
          </cell>
          <cell r="I49">
            <v>0.52800000000000002</v>
          </cell>
          <cell r="J49">
            <v>6.3360000000000003</v>
          </cell>
          <cell r="K49">
            <v>3.3000000000000003</v>
          </cell>
          <cell r="L49" t="str">
            <v>Retail</v>
          </cell>
          <cell r="M49" t="str">
            <v>Ireland</v>
          </cell>
          <cell r="N49" t="str">
            <v>Cookies</v>
          </cell>
          <cell r="O49" t="str">
            <v>Brand</v>
          </cell>
          <cell r="P49" t="str">
            <v>Eat Later</v>
          </cell>
          <cell r="Q49" t="str">
            <v>T&amp;R</v>
          </cell>
        </row>
        <row r="50">
          <cell r="A50" t="str">
            <v>FEB0005</v>
          </cell>
          <cell r="B50" t="str">
            <v>ECB Stem Ginger &amp; Chocolate Chunk Crunchy 12 x 160g</v>
          </cell>
          <cell r="C50" t="str">
            <v>C00019</v>
          </cell>
          <cell r="D50" t="str">
            <v>Tudor Rose International</v>
          </cell>
          <cell r="E50" t="str">
            <v>Tudor Rose International ECB Stem Ginger &amp; Chocolate Chunk Crunchy 12 x 160g</v>
          </cell>
          <cell r="F50">
            <v>1</v>
          </cell>
          <cell r="G50">
            <v>12</v>
          </cell>
          <cell r="H50">
            <v>1.92</v>
          </cell>
          <cell r="I50">
            <v>0.52800000000000002</v>
          </cell>
          <cell r="J50">
            <v>6.3360000000000003</v>
          </cell>
          <cell r="K50">
            <v>3.3000000000000003</v>
          </cell>
          <cell r="L50" t="str">
            <v>Retail</v>
          </cell>
          <cell r="M50" t="str">
            <v>ROW</v>
          </cell>
          <cell r="N50" t="str">
            <v>Cookies</v>
          </cell>
          <cell r="O50" t="str">
            <v>Brand</v>
          </cell>
          <cell r="P50" t="str">
            <v>Eat Later</v>
          </cell>
          <cell r="Q50" t="str">
            <v>Tudor Rose</v>
          </cell>
        </row>
        <row r="51">
          <cell r="A51" t="str">
            <v>FEB0006</v>
          </cell>
          <cell r="B51" t="str">
            <v>ECB Crunch'ems Ginger Crunch</v>
          </cell>
          <cell r="C51" t="str">
            <v>C00017</v>
          </cell>
          <cell r="D51" t="str">
            <v>Fordham Fine Foods Ltd</v>
          </cell>
          <cell r="E51" t="str">
            <v>Fordham Fine Foods Ltd ECB Crunch'ems Ginger Crunch</v>
          </cell>
          <cell r="F51">
            <v>1</v>
          </cell>
          <cell r="G51">
            <v>12</v>
          </cell>
          <cell r="H51">
            <v>2.58</v>
          </cell>
          <cell r="I51">
            <v>0.48199999999999998</v>
          </cell>
          <cell r="J51">
            <v>5.7839999999999998</v>
          </cell>
          <cell r="K51">
            <v>2.2418604651162788</v>
          </cell>
          <cell r="L51" t="str">
            <v>Retail</v>
          </cell>
          <cell r="M51" t="str">
            <v>UK</v>
          </cell>
          <cell r="N51" t="str">
            <v>Crunch/Oat</v>
          </cell>
          <cell r="O51" t="str">
            <v>Brand</v>
          </cell>
          <cell r="P51" t="str">
            <v>Eat Later</v>
          </cell>
          <cell r="Q51" t="str">
            <v>Fordham</v>
          </cell>
        </row>
        <row r="52">
          <cell r="A52" t="str">
            <v>FEB0006</v>
          </cell>
          <cell r="B52" t="str">
            <v>ECB Crunch'ems Ginger Crunch</v>
          </cell>
          <cell r="C52" t="str">
            <v>C00008</v>
          </cell>
          <cell r="D52" t="str">
            <v>Gerry's Fresh Foods</v>
          </cell>
          <cell r="E52" t="str">
            <v>Gerry's Fresh Foods ECB Crunch'ems Ginger Crunch</v>
          </cell>
          <cell r="F52">
            <v>1</v>
          </cell>
          <cell r="G52">
            <v>12</v>
          </cell>
          <cell r="H52">
            <v>2.58</v>
          </cell>
          <cell r="I52">
            <v>0.48199999999999998</v>
          </cell>
          <cell r="J52">
            <v>5.7839999999999998</v>
          </cell>
          <cell r="K52">
            <v>2.2418604651162788</v>
          </cell>
          <cell r="L52" t="str">
            <v>Retail</v>
          </cell>
          <cell r="M52" t="str">
            <v>Ireland</v>
          </cell>
          <cell r="N52" t="str">
            <v>Crunch/Oat</v>
          </cell>
          <cell r="O52" t="str">
            <v>Brand</v>
          </cell>
          <cell r="P52" t="str">
            <v>Eat Later</v>
          </cell>
          <cell r="Q52" t="str">
            <v>Other</v>
          </cell>
        </row>
        <row r="53">
          <cell r="A53" t="str">
            <v>FEB0006</v>
          </cell>
          <cell r="B53" t="str">
            <v>ECB Crunch'ems Ginger Crunch</v>
          </cell>
          <cell r="C53" t="str">
            <v>C00007</v>
          </cell>
          <cell r="D53" t="str">
            <v>Gerry's Supermarket</v>
          </cell>
          <cell r="E53" t="str">
            <v>Gerry's Supermarket ECB Crunch'ems Ginger Crunch</v>
          </cell>
          <cell r="F53">
            <v>1</v>
          </cell>
          <cell r="G53">
            <v>12</v>
          </cell>
          <cell r="H53">
            <v>2.58</v>
          </cell>
          <cell r="I53">
            <v>0.48199999999999998</v>
          </cell>
          <cell r="J53">
            <v>5.7839999999999998</v>
          </cell>
          <cell r="K53">
            <v>2.2418604651162788</v>
          </cell>
          <cell r="L53" t="str">
            <v>Retail</v>
          </cell>
          <cell r="M53" t="str">
            <v>Ireland</v>
          </cell>
          <cell r="N53" t="str">
            <v>Crunch/Oat</v>
          </cell>
          <cell r="O53" t="str">
            <v>Brand</v>
          </cell>
          <cell r="P53" t="str">
            <v>Eat Later</v>
          </cell>
          <cell r="Q53" t="str">
            <v>Other</v>
          </cell>
        </row>
        <row r="54">
          <cell r="A54" t="str">
            <v>FEB0006</v>
          </cell>
          <cell r="B54" t="str">
            <v>ECB Crunch'ems Ginger Crunch</v>
          </cell>
          <cell r="C54" t="str">
            <v>C00013</v>
          </cell>
          <cell r="D54" t="str">
            <v>Leydens Cash &amp; Carry</v>
          </cell>
          <cell r="E54" t="str">
            <v>Leydens Cash &amp; Carry ECB Crunch'ems Ginger Crunch</v>
          </cell>
          <cell r="F54">
            <v>1</v>
          </cell>
          <cell r="G54">
            <v>12</v>
          </cell>
          <cell r="H54">
            <v>2.58</v>
          </cell>
          <cell r="I54">
            <v>0.48199999999999998</v>
          </cell>
          <cell r="J54">
            <v>5.7839999999999998</v>
          </cell>
          <cell r="K54">
            <v>2.2418604651162788</v>
          </cell>
          <cell r="L54" t="str">
            <v>Retail</v>
          </cell>
          <cell r="M54" t="str">
            <v>Ireland</v>
          </cell>
          <cell r="N54" t="str">
            <v>Crunch/Oat</v>
          </cell>
          <cell r="O54" t="str">
            <v>Brand</v>
          </cell>
          <cell r="P54" t="str">
            <v>Eat Later</v>
          </cell>
          <cell r="Q54" t="str">
            <v>Other</v>
          </cell>
        </row>
        <row r="55">
          <cell r="A55" t="str">
            <v>FEB0006</v>
          </cell>
          <cell r="B55" t="str">
            <v>ECB Crunch'ems Ginger Crunch</v>
          </cell>
          <cell r="C55" t="str">
            <v>C00015</v>
          </cell>
          <cell r="D55" t="str">
            <v>Odaios Foods</v>
          </cell>
          <cell r="E55" t="str">
            <v>Odaios Foods ECB Crunch'ems Ginger Crunch</v>
          </cell>
          <cell r="F55">
            <v>1</v>
          </cell>
          <cell r="G55">
            <v>12</v>
          </cell>
          <cell r="H55">
            <v>2.58</v>
          </cell>
          <cell r="I55">
            <v>0.48199999999999998</v>
          </cell>
          <cell r="J55">
            <v>5.7839999999999998</v>
          </cell>
          <cell r="K55">
            <v>2.2418604651162788</v>
          </cell>
          <cell r="L55" t="str">
            <v>Retail</v>
          </cell>
          <cell r="M55" t="str">
            <v>Ireland</v>
          </cell>
          <cell r="N55" t="str">
            <v>Crunch/Oat</v>
          </cell>
          <cell r="O55" t="str">
            <v>Brand</v>
          </cell>
          <cell r="P55" t="str">
            <v>Eat Later</v>
          </cell>
          <cell r="Q55" t="str">
            <v>Other</v>
          </cell>
        </row>
        <row r="56">
          <cell r="A56" t="str">
            <v>FEB0006</v>
          </cell>
          <cell r="B56" t="str">
            <v>ECB Crunch'ems Ginger Crunch</v>
          </cell>
          <cell r="C56" t="str">
            <v>C00005</v>
          </cell>
          <cell r="D56" t="str">
            <v>Samples (Internal A/c)</v>
          </cell>
          <cell r="E56" t="str">
            <v>Samples (Internal A/c) ECB Crunch'ems Ginger Crunch</v>
          </cell>
          <cell r="F56">
            <v>1</v>
          </cell>
          <cell r="G56">
            <v>12</v>
          </cell>
          <cell r="H56">
            <v>2.58</v>
          </cell>
          <cell r="I56">
            <v>0.48199999999999998</v>
          </cell>
          <cell r="J56">
            <v>5.7839999999999998</v>
          </cell>
          <cell r="K56">
            <v>2.2418604651162788</v>
          </cell>
          <cell r="L56" t="str">
            <v>Retail</v>
          </cell>
          <cell r="M56" t="str">
            <v>Ireland</v>
          </cell>
          <cell r="N56" t="str">
            <v>Crunch/Oat</v>
          </cell>
          <cell r="O56" t="str">
            <v>Brand</v>
          </cell>
          <cell r="P56" t="str">
            <v>Eat Later</v>
          </cell>
          <cell r="Q56" t="str">
            <v>Other</v>
          </cell>
        </row>
        <row r="57">
          <cell r="A57" t="str">
            <v>FEB0006</v>
          </cell>
          <cell r="B57" t="str">
            <v>ECB Crunch'ems Ginger Crunch</v>
          </cell>
          <cell r="C57" t="str">
            <v>C00020</v>
          </cell>
          <cell r="D57" t="str">
            <v>Sotrexco International</v>
          </cell>
          <cell r="E57" t="str">
            <v>Sotrexco International ECB Crunch'ems Ginger Crunch</v>
          </cell>
          <cell r="F57">
            <v>1</v>
          </cell>
          <cell r="G57">
            <v>12</v>
          </cell>
          <cell r="H57">
            <v>2.58</v>
          </cell>
          <cell r="I57">
            <v>0.48199999999999998</v>
          </cell>
          <cell r="J57">
            <v>5.7839999999999998</v>
          </cell>
          <cell r="K57">
            <v>2.2418604651162788</v>
          </cell>
          <cell r="L57" t="str">
            <v>Retail</v>
          </cell>
          <cell r="M57" t="str">
            <v>ROW</v>
          </cell>
          <cell r="N57" t="str">
            <v>Crunch/Oat</v>
          </cell>
          <cell r="O57" t="str">
            <v>Brand</v>
          </cell>
          <cell r="P57" t="str">
            <v>Eat Later</v>
          </cell>
          <cell r="Q57" t="str">
            <v>Other USA Direct</v>
          </cell>
        </row>
        <row r="58">
          <cell r="A58" t="str">
            <v>FEB0006</v>
          </cell>
          <cell r="B58" t="str">
            <v>ECB Crunch'ems Ginger Crunch</v>
          </cell>
          <cell r="C58" t="str">
            <v>C00016</v>
          </cell>
          <cell r="D58" t="str">
            <v>Tennant &amp; Ruttle Distribution Ltd</v>
          </cell>
          <cell r="E58" t="str">
            <v>Tennant &amp; Ruttle Distribution Ltd ECB Crunch'ems Ginger Crunch</v>
          </cell>
          <cell r="F58">
            <v>1</v>
          </cell>
          <cell r="G58">
            <v>12</v>
          </cell>
          <cell r="H58">
            <v>2.58</v>
          </cell>
          <cell r="I58">
            <v>0.48199999999999998</v>
          </cell>
          <cell r="J58">
            <v>5.7839999999999998</v>
          </cell>
          <cell r="K58">
            <v>2.2418604651162788</v>
          </cell>
          <cell r="L58" t="str">
            <v>Retail</v>
          </cell>
          <cell r="M58" t="str">
            <v>Ireland</v>
          </cell>
          <cell r="N58" t="str">
            <v>Crunch/Oat</v>
          </cell>
          <cell r="O58" t="str">
            <v>Brand</v>
          </cell>
          <cell r="P58" t="str">
            <v>Eat Later</v>
          </cell>
          <cell r="Q58" t="str">
            <v>T&amp;R</v>
          </cell>
        </row>
        <row r="59">
          <cell r="A59" t="str">
            <v>FEB0006</v>
          </cell>
          <cell r="B59" t="str">
            <v>ECB Crunch'ems Ginger Crunch</v>
          </cell>
          <cell r="C59" t="str">
            <v>C00019</v>
          </cell>
          <cell r="D59" t="str">
            <v>Tudor Rose International</v>
          </cell>
          <cell r="E59" t="str">
            <v>Tudor Rose International ECB Crunch'ems Ginger Crunch</v>
          </cell>
          <cell r="F59">
            <v>1</v>
          </cell>
          <cell r="G59">
            <v>12</v>
          </cell>
          <cell r="H59">
            <v>2.58</v>
          </cell>
          <cell r="I59">
            <v>0.48199999999999998</v>
          </cell>
          <cell r="J59">
            <v>5.7839999999999998</v>
          </cell>
          <cell r="K59">
            <v>2.2418604651162788</v>
          </cell>
          <cell r="L59" t="str">
            <v>Retail</v>
          </cell>
          <cell r="M59" t="str">
            <v>ROW</v>
          </cell>
          <cell r="N59" t="str">
            <v>Crunch/Oat</v>
          </cell>
          <cell r="O59" t="str">
            <v>Brand</v>
          </cell>
          <cell r="P59" t="str">
            <v>Eat Later</v>
          </cell>
          <cell r="Q59" t="str">
            <v>Tudor Rose</v>
          </cell>
        </row>
        <row r="60">
          <cell r="A60" t="str">
            <v>FEB0007</v>
          </cell>
          <cell r="B60" t="str">
            <v>ECB Crunch'ems Coconut Crunch</v>
          </cell>
          <cell r="C60" t="str">
            <v>C00017</v>
          </cell>
          <cell r="D60" t="str">
            <v>Fordham Fine Foods Ltd</v>
          </cell>
          <cell r="E60" t="str">
            <v>Fordham Fine Foods Ltd ECB Crunch'ems Coconut Crunch</v>
          </cell>
          <cell r="F60">
            <v>1</v>
          </cell>
          <cell r="G60">
            <v>12</v>
          </cell>
          <cell r="H60">
            <v>2.58</v>
          </cell>
          <cell r="I60">
            <v>0.49199999999999999</v>
          </cell>
          <cell r="J60">
            <v>5.9039999999999999</v>
          </cell>
          <cell r="K60">
            <v>2.2883720930232556</v>
          </cell>
          <cell r="L60" t="str">
            <v>Retail</v>
          </cell>
          <cell r="M60" t="str">
            <v>UK</v>
          </cell>
          <cell r="N60" t="str">
            <v>Crunch/Oat</v>
          </cell>
          <cell r="O60" t="str">
            <v>Brand</v>
          </cell>
          <cell r="P60" t="str">
            <v>Eat Later</v>
          </cell>
          <cell r="Q60" t="str">
            <v>Fordham</v>
          </cell>
        </row>
        <row r="61">
          <cell r="A61" t="str">
            <v>FEB0007</v>
          </cell>
          <cell r="B61" t="str">
            <v>ECB Crunch'ems Coconut Crunch</v>
          </cell>
          <cell r="C61" t="str">
            <v>C00008</v>
          </cell>
          <cell r="D61" t="str">
            <v>Gerry's Fresh Foods</v>
          </cell>
          <cell r="E61" t="str">
            <v>Gerry's Fresh Foods ECB Crunch'ems Coconut Crunch</v>
          </cell>
          <cell r="F61">
            <v>1</v>
          </cell>
          <cell r="G61">
            <v>12</v>
          </cell>
          <cell r="H61">
            <v>2.58</v>
          </cell>
          <cell r="I61">
            <v>0.49199999999999999</v>
          </cell>
          <cell r="J61">
            <v>5.9039999999999999</v>
          </cell>
          <cell r="K61">
            <v>2.2883720930232556</v>
          </cell>
          <cell r="L61" t="str">
            <v>Retail</v>
          </cell>
          <cell r="M61" t="str">
            <v>Ireland</v>
          </cell>
          <cell r="N61" t="str">
            <v>Crunch/Oat</v>
          </cell>
          <cell r="O61" t="str">
            <v>Brand</v>
          </cell>
          <cell r="P61" t="str">
            <v>Eat Later</v>
          </cell>
          <cell r="Q61" t="str">
            <v>Other</v>
          </cell>
        </row>
        <row r="62">
          <cell r="A62" t="str">
            <v>FEB0007</v>
          </cell>
          <cell r="B62" t="str">
            <v>ECB Crunch'ems Coconut Crunch</v>
          </cell>
          <cell r="C62" t="str">
            <v>C00007</v>
          </cell>
          <cell r="D62" t="str">
            <v>Gerry's Supermarket</v>
          </cell>
          <cell r="E62" t="str">
            <v>Gerry's Supermarket ECB Crunch'ems Coconut Crunch</v>
          </cell>
          <cell r="F62">
            <v>1</v>
          </cell>
          <cell r="G62">
            <v>12</v>
          </cell>
          <cell r="H62">
            <v>2.58</v>
          </cell>
          <cell r="I62">
            <v>0.49199999999999999</v>
          </cell>
          <cell r="J62">
            <v>5.9039999999999999</v>
          </cell>
          <cell r="K62">
            <v>2.2883720930232556</v>
          </cell>
          <cell r="L62" t="str">
            <v>Retail</v>
          </cell>
          <cell r="M62" t="str">
            <v>Ireland</v>
          </cell>
          <cell r="N62" t="str">
            <v>Crunch/Oat</v>
          </cell>
          <cell r="O62" t="str">
            <v>Brand</v>
          </cell>
          <cell r="P62" t="str">
            <v>Eat Later</v>
          </cell>
          <cell r="Q62" t="str">
            <v>Other</v>
          </cell>
        </row>
        <row r="63">
          <cell r="A63" t="str">
            <v>FEB0007</v>
          </cell>
          <cell r="B63" t="str">
            <v>ECB Crunch'ems Coconut Crunch</v>
          </cell>
          <cell r="C63" t="str">
            <v>C00013</v>
          </cell>
          <cell r="D63" t="str">
            <v>Leydens Cash &amp; Carry</v>
          </cell>
          <cell r="E63" t="str">
            <v>Leydens Cash &amp; Carry ECB Crunch'ems Coconut Crunch</v>
          </cell>
          <cell r="F63">
            <v>1</v>
          </cell>
          <cell r="G63">
            <v>12</v>
          </cell>
          <cell r="H63">
            <v>2.58</v>
          </cell>
          <cell r="I63">
            <v>0.49199999999999999</v>
          </cell>
          <cell r="J63">
            <v>5.9039999999999999</v>
          </cell>
          <cell r="K63">
            <v>2.2883720930232556</v>
          </cell>
          <cell r="L63" t="str">
            <v>Retail</v>
          </cell>
          <cell r="M63" t="str">
            <v>Ireland</v>
          </cell>
          <cell r="N63" t="str">
            <v>Crunch/Oat</v>
          </cell>
          <cell r="O63" t="str">
            <v>Brand</v>
          </cell>
          <cell r="P63" t="str">
            <v>Eat Later</v>
          </cell>
          <cell r="Q63" t="str">
            <v>Other</v>
          </cell>
        </row>
        <row r="64">
          <cell r="A64" t="str">
            <v>FEB0007</v>
          </cell>
          <cell r="B64" t="str">
            <v>ECB Crunch'ems Coconut Crunch</v>
          </cell>
          <cell r="C64" t="str">
            <v>C00015</v>
          </cell>
          <cell r="D64" t="str">
            <v>Odaios Foods</v>
          </cell>
          <cell r="E64" t="str">
            <v>Odaios Foods ECB Crunch'ems Coconut Crunch</v>
          </cell>
          <cell r="F64">
            <v>1</v>
          </cell>
          <cell r="G64">
            <v>12</v>
          </cell>
          <cell r="H64">
            <v>2.58</v>
          </cell>
          <cell r="I64">
            <v>0.49199999999999999</v>
          </cell>
          <cell r="J64">
            <v>5.9039999999999999</v>
          </cell>
          <cell r="K64">
            <v>2.2883720930232556</v>
          </cell>
          <cell r="L64" t="str">
            <v>Retail</v>
          </cell>
          <cell r="M64" t="str">
            <v>Ireland</v>
          </cell>
          <cell r="N64" t="str">
            <v>Crunch/Oat</v>
          </cell>
          <cell r="O64" t="str">
            <v>Brand</v>
          </cell>
          <cell r="P64" t="str">
            <v>Eat Later</v>
          </cell>
          <cell r="Q64" t="str">
            <v>Other</v>
          </cell>
        </row>
        <row r="65">
          <cell r="A65" t="str">
            <v>FEB0007</v>
          </cell>
          <cell r="B65" t="str">
            <v>ECB Crunch'ems Coconut Crunch</v>
          </cell>
          <cell r="C65" t="str">
            <v>C00005</v>
          </cell>
          <cell r="D65" t="str">
            <v>Samples (Internal A/c)</v>
          </cell>
          <cell r="E65" t="str">
            <v>Samples (Internal A/c) ECB Crunch'ems Coconut Crunch</v>
          </cell>
          <cell r="F65">
            <v>1</v>
          </cell>
          <cell r="G65">
            <v>12</v>
          </cell>
          <cell r="H65">
            <v>2.58</v>
          </cell>
          <cell r="I65">
            <v>0.49199999999999999</v>
          </cell>
          <cell r="J65">
            <v>5.9039999999999999</v>
          </cell>
          <cell r="K65">
            <v>2.2883720930232556</v>
          </cell>
          <cell r="L65" t="str">
            <v>Retail</v>
          </cell>
          <cell r="M65" t="str">
            <v>Ireland</v>
          </cell>
          <cell r="N65" t="str">
            <v>Crunch/Oat</v>
          </cell>
          <cell r="O65" t="str">
            <v>Brand</v>
          </cell>
          <cell r="P65" t="str">
            <v>Eat Later</v>
          </cell>
          <cell r="Q65" t="str">
            <v>Other</v>
          </cell>
        </row>
        <row r="66">
          <cell r="A66" t="str">
            <v>FEB0007</v>
          </cell>
          <cell r="B66" t="str">
            <v>ECB Crunch'ems Coconut Crunch</v>
          </cell>
          <cell r="C66" t="str">
            <v>C00020</v>
          </cell>
          <cell r="D66" t="str">
            <v>Sotrexco International</v>
          </cell>
          <cell r="E66" t="str">
            <v>Sotrexco International ECB Crunch'ems Coconut Crunch</v>
          </cell>
          <cell r="F66">
            <v>1</v>
          </cell>
          <cell r="G66">
            <v>12</v>
          </cell>
          <cell r="H66">
            <v>2.58</v>
          </cell>
          <cell r="I66">
            <v>0.49199999999999999</v>
          </cell>
          <cell r="J66">
            <v>5.9039999999999999</v>
          </cell>
          <cell r="K66">
            <v>2.2883720930232556</v>
          </cell>
          <cell r="L66" t="str">
            <v>Retail</v>
          </cell>
          <cell r="M66" t="str">
            <v>ROW</v>
          </cell>
          <cell r="N66" t="str">
            <v>Crunch/Oat</v>
          </cell>
          <cell r="O66" t="str">
            <v>Brand</v>
          </cell>
          <cell r="P66" t="str">
            <v>Eat Later</v>
          </cell>
          <cell r="Q66" t="str">
            <v>Other USA Direct</v>
          </cell>
        </row>
        <row r="67">
          <cell r="A67" t="str">
            <v>FEB0007</v>
          </cell>
          <cell r="B67" t="str">
            <v>ECB Crunch'ems Coconut Crunch</v>
          </cell>
          <cell r="C67" t="str">
            <v>C00006</v>
          </cell>
          <cell r="D67" t="str">
            <v>Staff Sales</v>
          </cell>
          <cell r="E67" t="str">
            <v>Staff Sales ECB Crunch'ems Coconut Crunch</v>
          </cell>
          <cell r="F67">
            <v>1</v>
          </cell>
          <cell r="G67">
            <v>12</v>
          </cell>
          <cell r="H67">
            <v>2.58</v>
          </cell>
          <cell r="I67">
            <v>0.49199999999999999</v>
          </cell>
          <cell r="J67">
            <v>5.9039999999999999</v>
          </cell>
          <cell r="K67">
            <v>2.2883720930232556</v>
          </cell>
          <cell r="L67" t="str">
            <v>Retail</v>
          </cell>
          <cell r="M67" t="str">
            <v>Ireland</v>
          </cell>
          <cell r="N67" t="str">
            <v>Crunch/Oat</v>
          </cell>
          <cell r="O67" t="str">
            <v>Brand</v>
          </cell>
          <cell r="P67" t="str">
            <v>Eat Later</v>
          </cell>
          <cell r="Q67" t="str">
            <v>Other</v>
          </cell>
        </row>
        <row r="68">
          <cell r="A68" t="str">
            <v>FEB0007</v>
          </cell>
          <cell r="B68" t="str">
            <v>ECB Crunch'ems Coconut Crunch</v>
          </cell>
          <cell r="C68" t="str">
            <v>C00016</v>
          </cell>
          <cell r="D68" t="str">
            <v>Tennant &amp; Ruttle Distribution Ltd</v>
          </cell>
          <cell r="E68" t="str">
            <v>Tennant &amp; Ruttle Distribution Ltd ECB Crunch'ems Coconut Crunch</v>
          </cell>
          <cell r="F68">
            <v>1</v>
          </cell>
          <cell r="G68">
            <v>12</v>
          </cell>
          <cell r="H68">
            <v>2.58</v>
          </cell>
          <cell r="I68">
            <v>0.49199999999999999</v>
          </cell>
          <cell r="J68">
            <v>5.9039999999999999</v>
          </cell>
          <cell r="K68">
            <v>2.2883720930232556</v>
          </cell>
          <cell r="L68" t="str">
            <v>Retail</v>
          </cell>
          <cell r="M68" t="str">
            <v>Ireland</v>
          </cell>
          <cell r="N68" t="str">
            <v>Crunch/Oat</v>
          </cell>
          <cell r="O68" t="str">
            <v>Brand</v>
          </cell>
          <cell r="P68" t="str">
            <v>Eat Later</v>
          </cell>
          <cell r="Q68" t="str">
            <v>T&amp;R</v>
          </cell>
        </row>
        <row r="69">
          <cell r="A69" t="str">
            <v>FEB0007</v>
          </cell>
          <cell r="B69" t="str">
            <v>ECB Crunch'ems Coconut Crunch</v>
          </cell>
          <cell r="C69" t="str">
            <v>C00019</v>
          </cell>
          <cell r="D69" t="str">
            <v>Tudor Rose International</v>
          </cell>
          <cell r="E69" t="str">
            <v>Tudor Rose International ECB Crunch'ems Coconut Crunch</v>
          </cell>
          <cell r="F69">
            <v>1</v>
          </cell>
          <cell r="G69">
            <v>12</v>
          </cell>
          <cell r="H69">
            <v>2.58</v>
          </cell>
          <cell r="I69">
            <v>0.49199999999999999</v>
          </cell>
          <cell r="J69">
            <v>5.9039999999999999</v>
          </cell>
          <cell r="K69">
            <v>2.2883720930232556</v>
          </cell>
          <cell r="L69" t="str">
            <v>Retail</v>
          </cell>
          <cell r="M69" t="str">
            <v>ROW</v>
          </cell>
          <cell r="N69" t="str">
            <v>Crunch/Oat</v>
          </cell>
          <cell r="O69" t="str">
            <v>Brand</v>
          </cell>
          <cell r="P69" t="str">
            <v>Eat Later</v>
          </cell>
          <cell r="Q69" t="str">
            <v>Tudor Rose</v>
          </cell>
        </row>
        <row r="70">
          <cell r="A70" t="str">
            <v>FEB0008</v>
          </cell>
          <cell r="B70" t="str">
            <v>ECB Milk Chocolate Enrobed Butter Crunch</v>
          </cell>
          <cell r="C70" t="str">
            <v>C00017</v>
          </cell>
          <cell r="D70" t="str">
            <v>Fordham Fine Foods Ltd</v>
          </cell>
          <cell r="E70" t="str">
            <v>Fordham Fine Foods Ltd ECB Milk Chocolate Enrobed Butter Crunch</v>
          </cell>
          <cell r="F70">
            <v>1</v>
          </cell>
          <cell r="G70">
            <v>12</v>
          </cell>
          <cell r="H70">
            <v>2.7</v>
          </cell>
          <cell r="I70">
            <v>0.55200000000000005</v>
          </cell>
          <cell r="J70">
            <v>6.6240000000000006</v>
          </cell>
          <cell r="K70">
            <v>2.4533333333333336</v>
          </cell>
          <cell r="L70" t="str">
            <v>Retail</v>
          </cell>
          <cell r="M70" t="str">
            <v>UK</v>
          </cell>
          <cell r="N70" t="str">
            <v>Crunch/Oat</v>
          </cell>
          <cell r="O70" t="str">
            <v>Brand</v>
          </cell>
          <cell r="P70" t="str">
            <v>Eat Later</v>
          </cell>
          <cell r="Q70" t="str">
            <v>Fordham</v>
          </cell>
        </row>
        <row r="71">
          <cell r="A71" t="str">
            <v>FEB0008</v>
          </cell>
          <cell r="B71" t="str">
            <v>ECB Milk Chocolate Enrobed Butter Crunch</v>
          </cell>
          <cell r="C71" t="str">
            <v>C00008</v>
          </cell>
          <cell r="D71" t="str">
            <v>Gerry's Fresh Foods</v>
          </cell>
          <cell r="E71" t="str">
            <v>Gerry's Fresh Foods ECB Milk Chocolate Enrobed Butter Crunch</v>
          </cell>
          <cell r="F71">
            <v>1</v>
          </cell>
          <cell r="G71">
            <v>12</v>
          </cell>
          <cell r="H71">
            <v>2.7</v>
          </cell>
          <cell r="I71">
            <v>0.55200000000000005</v>
          </cell>
          <cell r="J71">
            <v>6.6240000000000006</v>
          </cell>
          <cell r="K71">
            <v>2.4533333333333336</v>
          </cell>
          <cell r="L71" t="str">
            <v>Retail</v>
          </cell>
          <cell r="M71" t="str">
            <v>Ireland</v>
          </cell>
          <cell r="N71" t="str">
            <v>Crunch/Oat</v>
          </cell>
          <cell r="O71" t="str">
            <v>Brand</v>
          </cell>
          <cell r="P71" t="str">
            <v>Eat Later</v>
          </cell>
          <cell r="Q71" t="str">
            <v>Other</v>
          </cell>
        </row>
        <row r="72">
          <cell r="A72" t="str">
            <v>FEB0008</v>
          </cell>
          <cell r="B72" t="str">
            <v>ECB Milk Chocolate Enrobed Butter Crunch</v>
          </cell>
          <cell r="C72" t="str">
            <v>C00013</v>
          </cell>
          <cell r="D72" t="str">
            <v>Leydens Cash &amp; Carry</v>
          </cell>
          <cell r="E72" t="str">
            <v>Leydens Cash &amp; Carry ECB Milk Chocolate Enrobed Butter Crunch</v>
          </cell>
          <cell r="F72">
            <v>1</v>
          </cell>
          <cell r="G72">
            <v>12</v>
          </cell>
          <cell r="H72">
            <v>2.7</v>
          </cell>
          <cell r="I72">
            <v>0.55200000000000005</v>
          </cell>
          <cell r="J72">
            <v>6.6240000000000006</v>
          </cell>
          <cell r="K72">
            <v>2.4533333333333336</v>
          </cell>
          <cell r="L72" t="str">
            <v>Retail</v>
          </cell>
          <cell r="M72" t="str">
            <v>Ireland</v>
          </cell>
          <cell r="N72" t="str">
            <v>Crunch/Oat</v>
          </cell>
          <cell r="O72" t="str">
            <v>Brand</v>
          </cell>
          <cell r="P72" t="str">
            <v>Eat Later</v>
          </cell>
          <cell r="Q72" t="str">
            <v>Other</v>
          </cell>
        </row>
        <row r="73">
          <cell r="A73" t="str">
            <v>FEB0008</v>
          </cell>
          <cell r="B73" t="str">
            <v>ECB Milk Chocolate Enrobed Butter Crunch</v>
          </cell>
          <cell r="C73" t="str">
            <v>C00015</v>
          </cell>
          <cell r="D73" t="str">
            <v>Odaios Foods</v>
          </cell>
          <cell r="E73" t="str">
            <v>Odaios Foods ECB Milk Chocolate Enrobed Butter Crunch</v>
          </cell>
          <cell r="F73">
            <v>1</v>
          </cell>
          <cell r="G73">
            <v>12</v>
          </cell>
          <cell r="H73">
            <v>2.7</v>
          </cell>
          <cell r="I73">
            <v>0.55200000000000005</v>
          </cell>
          <cell r="J73">
            <v>6.6240000000000006</v>
          </cell>
          <cell r="K73">
            <v>2.4533333333333336</v>
          </cell>
          <cell r="L73" t="str">
            <v>Retail</v>
          </cell>
          <cell r="M73" t="str">
            <v>Ireland</v>
          </cell>
          <cell r="N73" t="str">
            <v>Crunch/Oat</v>
          </cell>
          <cell r="O73" t="str">
            <v>Brand</v>
          </cell>
          <cell r="P73" t="str">
            <v>Eat Later</v>
          </cell>
          <cell r="Q73" t="str">
            <v>Other</v>
          </cell>
        </row>
        <row r="74">
          <cell r="A74" t="str">
            <v>FEB0008</v>
          </cell>
          <cell r="B74" t="str">
            <v>ECB Milk Chocolate Enrobed Butter Crunch</v>
          </cell>
          <cell r="C74" t="str">
            <v>C00005</v>
          </cell>
          <cell r="D74" t="str">
            <v>Samples (Internal A/c)</v>
          </cell>
          <cell r="E74" t="str">
            <v>Samples (Internal A/c) ECB Milk Chocolate Enrobed Butter Crunch</v>
          </cell>
          <cell r="F74">
            <v>1</v>
          </cell>
          <cell r="G74">
            <v>12</v>
          </cell>
          <cell r="H74">
            <v>2.7</v>
          </cell>
          <cell r="I74">
            <v>0.55200000000000005</v>
          </cell>
          <cell r="J74">
            <v>6.6240000000000006</v>
          </cell>
          <cell r="K74">
            <v>2.4533333333333336</v>
          </cell>
          <cell r="L74" t="str">
            <v>Retail</v>
          </cell>
          <cell r="M74" t="str">
            <v>Ireland</v>
          </cell>
          <cell r="N74" t="str">
            <v>Crunch/Oat</v>
          </cell>
          <cell r="O74" t="str">
            <v>Brand</v>
          </cell>
          <cell r="P74" t="str">
            <v>Eat Later</v>
          </cell>
          <cell r="Q74" t="str">
            <v>Other</v>
          </cell>
        </row>
        <row r="75">
          <cell r="A75" t="str">
            <v>FEB0008</v>
          </cell>
          <cell r="B75" t="str">
            <v>ECB Milk Chocolate Enrobed Butter Crunch</v>
          </cell>
          <cell r="C75" t="str">
            <v>C00006</v>
          </cell>
          <cell r="D75" t="str">
            <v>Staff Sales</v>
          </cell>
          <cell r="E75" t="str">
            <v>Staff Sales ECB Milk Chocolate Enrobed Butter Crunch</v>
          </cell>
          <cell r="F75">
            <v>1</v>
          </cell>
          <cell r="G75">
            <v>12</v>
          </cell>
          <cell r="H75">
            <v>2.7</v>
          </cell>
          <cell r="I75">
            <v>0.55200000000000005</v>
          </cell>
          <cell r="J75">
            <v>6.6240000000000006</v>
          </cell>
          <cell r="K75">
            <v>2.4533333333333336</v>
          </cell>
          <cell r="L75" t="str">
            <v>Retail</v>
          </cell>
          <cell r="M75" t="str">
            <v>Ireland</v>
          </cell>
          <cell r="N75" t="str">
            <v>Crunch/Oat</v>
          </cell>
          <cell r="O75" t="str">
            <v>Brand</v>
          </cell>
          <cell r="P75" t="str">
            <v>Eat Later</v>
          </cell>
          <cell r="Q75" t="str">
            <v>Other</v>
          </cell>
        </row>
        <row r="76">
          <cell r="A76" t="str">
            <v>FEB0008</v>
          </cell>
          <cell r="B76" t="str">
            <v>ECB Milk Chocolate Enrobed Butter Crunch</v>
          </cell>
          <cell r="C76" t="str">
            <v>C00016</v>
          </cell>
          <cell r="D76" t="str">
            <v>Tennant &amp; Ruttle Distribution Ltd</v>
          </cell>
          <cell r="E76" t="str">
            <v>Tennant &amp; Ruttle Distribution Ltd ECB Milk Chocolate Enrobed Butter Crunch</v>
          </cell>
          <cell r="F76">
            <v>1</v>
          </cell>
          <cell r="G76">
            <v>12</v>
          </cell>
          <cell r="H76">
            <v>2.7</v>
          </cell>
          <cell r="I76">
            <v>0.55200000000000005</v>
          </cell>
          <cell r="J76">
            <v>6.6240000000000006</v>
          </cell>
          <cell r="K76">
            <v>2.4533333333333336</v>
          </cell>
          <cell r="L76" t="str">
            <v>Retail</v>
          </cell>
          <cell r="M76" t="str">
            <v>Ireland</v>
          </cell>
          <cell r="N76" t="str">
            <v>Crunch/Oat</v>
          </cell>
          <cell r="O76" t="str">
            <v>Brand</v>
          </cell>
          <cell r="P76" t="str">
            <v>Eat Later</v>
          </cell>
          <cell r="Q76" t="str">
            <v>T&amp;R</v>
          </cell>
        </row>
        <row r="77">
          <cell r="A77" t="str">
            <v>FEB0008</v>
          </cell>
          <cell r="B77" t="str">
            <v>ECB Milk Chocolate Enrobed Butter Crunch</v>
          </cell>
          <cell r="C77" t="str">
            <v>C00019</v>
          </cell>
          <cell r="D77" t="str">
            <v>Tudor Rose International</v>
          </cell>
          <cell r="E77" t="str">
            <v>Tudor Rose International ECB Milk Chocolate Enrobed Butter Crunch</v>
          </cell>
          <cell r="F77">
            <v>1</v>
          </cell>
          <cell r="G77">
            <v>12</v>
          </cell>
          <cell r="H77">
            <v>2.7</v>
          </cell>
          <cell r="I77">
            <v>0.55200000000000005</v>
          </cell>
          <cell r="J77">
            <v>6.6240000000000006</v>
          </cell>
          <cell r="K77">
            <v>2.4533333333333336</v>
          </cell>
          <cell r="L77" t="str">
            <v>Retail</v>
          </cell>
          <cell r="M77" t="str">
            <v>ROW</v>
          </cell>
          <cell r="N77" t="str">
            <v>Crunch/Oat</v>
          </cell>
          <cell r="O77" t="str">
            <v>Brand</v>
          </cell>
          <cell r="P77" t="str">
            <v>Eat Later</v>
          </cell>
          <cell r="Q77" t="str">
            <v>Tudor Rose</v>
          </cell>
        </row>
        <row r="78">
          <cell r="A78" t="str">
            <v>FEB0009</v>
          </cell>
          <cell r="B78" t="str">
            <v>ECB Milk Chocolate Enrobed Oat Biscuits</v>
          </cell>
          <cell r="C78" t="str">
            <v>C00017</v>
          </cell>
          <cell r="D78" t="str">
            <v>Fordham Fine Foods Ltd</v>
          </cell>
          <cell r="E78" t="str">
            <v>Fordham Fine Foods Ltd ECB Milk Chocolate Enrobed Oat Biscuits</v>
          </cell>
          <cell r="F78">
            <v>1</v>
          </cell>
          <cell r="G78">
            <v>12</v>
          </cell>
          <cell r="H78">
            <v>2.76</v>
          </cell>
          <cell r="I78">
            <v>0.57899999999999996</v>
          </cell>
          <cell r="J78">
            <v>6.9479999999999995</v>
          </cell>
          <cell r="K78">
            <v>2.517391304347826</v>
          </cell>
          <cell r="L78" t="str">
            <v>Retail</v>
          </cell>
          <cell r="M78" t="str">
            <v>UK</v>
          </cell>
          <cell r="N78" t="str">
            <v>Crunch/Oat</v>
          </cell>
          <cell r="O78" t="str">
            <v>Brand</v>
          </cell>
          <cell r="P78" t="str">
            <v>Eat Later</v>
          </cell>
          <cell r="Q78" t="str">
            <v>Fordham</v>
          </cell>
        </row>
        <row r="79">
          <cell r="A79" t="str">
            <v>FEB0009</v>
          </cell>
          <cell r="B79" t="str">
            <v>ECB Milk Chocolate Enrobed Oat Biscuits</v>
          </cell>
          <cell r="C79" t="str">
            <v>C00008</v>
          </cell>
          <cell r="D79" t="str">
            <v>Gerry's Fresh Foods</v>
          </cell>
          <cell r="E79" t="str">
            <v>Gerry's Fresh Foods ECB Milk Chocolate Enrobed Oat Biscuits</v>
          </cell>
          <cell r="F79">
            <v>1</v>
          </cell>
          <cell r="G79">
            <v>12</v>
          </cell>
          <cell r="H79">
            <v>2.76</v>
          </cell>
          <cell r="I79">
            <v>0.57899999999999996</v>
          </cell>
          <cell r="J79">
            <v>6.9479999999999995</v>
          </cell>
          <cell r="K79">
            <v>2.517391304347826</v>
          </cell>
          <cell r="L79" t="str">
            <v>Retail</v>
          </cell>
          <cell r="M79" t="str">
            <v>Ireland</v>
          </cell>
          <cell r="N79" t="str">
            <v>Crunch/Oat</v>
          </cell>
          <cell r="O79" t="str">
            <v>Brand</v>
          </cell>
          <cell r="P79" t="str">
            <v>Eat Later</v>
          </cell>
          <cell r="Q79" t="str">
            <v>Other</v>
          </cell>
        </row>
        <row r="80">
          <cell r="A80" t="str">
            <v>FEB0009</v>
          </cell>
          <cell r="B80" t="str">
            <v>ECB Milk Chocolate Enrobed Oat Biscuits</v>
          </cell>
          <cell r="C80" t="str">
            <v>C00007</v>
          </cell>
          <cell r="D80" t="str">
            <v>Gerry's Supermarket</v>
          </cell>
          <cell r="E80" t="str">
            <v>Gerry's Supermarket ECB Milk Chocolate Enrobed Oat Biscuits</v>
          </cell>
          <cell r="F80">
            <v>1</v>
          </cell>
          <cell r="G80">
            <v>12</v>
          </cell>
          <cell r="H80">
            <v>2.76</v>
          </cell>
          <cell r="I80">
            <v>0.57899999999999996</v>
          </cell>
          <cell r="J80">
            <v>6.9479999999999995</v>
          </cell>
          <cell r="K80">
            <v>2.517391304347826</v>
          </cell>
          <cell r="L80" t="str">
            <v>Retail</v>
          </cell>
          <cell r="M80" t="str">
            <v>Ireland</v>
          </cell>
          <cell r="N80" t="str">
            <v>Crunch/Oat</v>
          </cell>
          <cell r="O80" t="str">
            <v>Brand</v>
          </cell>
          <cell r="P80" t="str">
            <v>Eat Later</v>
          </cell>
          <cell r="Q80" t="str">
            <v>Other</v>
          </cell>
        </row>
        <row r="81">
          <cell r="A81" t="str">
            <v>FEB0009</v>
          </cell>
          <cell r="B81" t="str">
            <v>ECB Milk Chocolate Enrobed Oat Biscuits</v>
          </cell>
          <cell r="C81" t="str">
            <v>C00013</v>
          </cell>
          <cell r="D81" t="str">
            <v>Leydens Cash &amp; Carry</v>
          </cell>
          <cell r="E81" t="str">
            <v>Leydens Cash &amp; Carry ECB Milk Chocolate Enrobed Oat Biscuits</v>
          </cell>
          <cell r="F81">
            <v>1</v>
          </cell>
          <cell r="G81">
            <v>12</v>
          </cell>
          <cell r="H81">
            <v>2.76</v>
          </cell>
          <cell r="I81">
            <v>0.57899999999999996</v>
          </cell>
          <cell r="J81">
            <v>6.9479999999999995</v>
          </cell>
          <cell r="K81">
            <v>2.517391304347826</v>
          </cell>
          <cell r="L81" t="str">
            <v>Retail</v>
          </cell>
          <cell r="M81" t="str">
            <v>Ireland</v>
          </cell>
          <cell r="N81" t="str">
            <v>Crunch/Oat</v>
          </cell>
          <cell r="O81" t="str">
            <v>Brand</v>
          </cell>
          <cell r="P81" t="str">
            <v>Eat Later</v>
          </cell>
          <cell r="Q81" t="str">
            <v>Other</v>
          </cell>
        </row>
        <row r="82">
          <cell r="A82" t="str">
            <v>FEB0009</v>
          </cell>
          <cell r="B82" t="str">
            <v>ECB Milk Chocolate Enrobed Oat Biscuits</v>
          </cell>
          <cell r="C82" t="str">
            <v>C00015</v>
          </cell>
          <cell r="D82" t="str">
            <v>Odaios Foods</v>
          </cell>
          <cell r="E82" t="str">
            <v>Odaios Foods ECB Milk Chocolate Enrobed Oat Biscuits</v>
          </cell>
          <cell r="F82">
            <v>1</v>
          </cell>
          <cell r="G82">
            <v>12</v>
          </cell>
          <cell r="H82">
            <v>2.76</v>
          </cell>
          <cell r="I82">
            <v>0.57899999999999996</v>
          </cell>
          <cell r="J82">
            <v>6.9479999999999995</v>
          </cell>
          <cell r="K82">
            <v>2.517391304347826</v>
          </cell>
          <cell r="L82" t="str">
            <v>Retail</v>
          </cell>
          <cell r="M82" t="str">
            <v>Ireland</v>
          </cell>
          <cell r="N82" t="str">
            <v>Crunch/Oat</v>
          </cell>
          <cell r="O82" t="str">
            <v>Brand</v>
          </cell>
          <cell r="P82" t="str">
            <v>Eat Later</v>
          </cell>
          <cell r="Q82" t="str">
            <v>Other</v>
          </cell>
        </row>
        <row r="83">
          <cell r="A83" t="str">
            <v>FEB0009</v>
          </cell>
          <cell r="B83" t="str">
            <v>ECB Milk Chocolate Enrobed Oat Biscuits</v>
          </cell>
          <cell r="C83" t="str">
            <v>C00005</v>
          </cell>
          <cell r="D83" t="str">
            <v>Samples (Internal A/c)</v>
          </cell>
          <cell r="E83" t="str">
            <v>Samples (Internal A/c) ECB Milk Chocolate Enrobed Oat Biscuits</v>
          </cell>
          <cell r="F83">
            <v>1</v>
          </cell>
          <cell r="G83">
            <v>12</v>
          </cell>
          <cell r="H83">
            <v>2.76</v>
          </cell>
          <cell r="I83">
            <v>0.57899999999999996</v>
          </cell>
          <cell r="J83">
            <v>6.9479999999999995</v>
          </cell>
          <cell r="K83">
            <v>2.517391304347826</v>
          </cell>
          <cell r="L83" t="str">
            <v>Retail</v>
          </cell>
          <cell r="M83" t="str">
            <v>Ireland</v>
          </cell>
          <cell r="N83" t="str">
            <v>Crunch/Oat</v>
          </cell>
          <cell r="O83" t="str">
            <v>Brand</v>
          </cell>
          <cell r="P83" t="str">
            <v>Eat Later</v>
          </cell>
          <cell r="Q83" t="str">
            <v>Other</v>
          </cell>
        </row>
        <row r="84">
          <cell r="A84" t="str">
            <v>FEB0009</v>
          </cell>
          <cell r="B84" t="str">
            <v>ECB Milk Chocolate Enrobed Oat Biscuits</v>
          </cell>
          <cell r="C84" t="str">
            <v>C00016</v>
          </cell>
          <cell r="D84" t="str">
            <v>Tennant &amp; Ruttle Distribution Ltd</v>
          </cell>
          <cell r="E84" t="str">
            <v>Tennant &amp; Ruttle Distribution Ltd ECB Milk Chocolate Enrobed Oat Biscuits</v>
          </cell>
          <cell r="F84">
            <v>1</v>
          </cell>
          <cell r="G84">
            <v>12</v>
          </cell>
          <cell r="H84">
            <v>2.76</v>
          </cell>
          <cell r="I84">
            <v>0.57899999999999996</v>
          </cell>
          <cell r="J84">
            <v>6.9479999999999995</v>
          </cell>
          <cell r="K84">
            <v>2.517391304347826</v>
          </cell>
          <cell r="L84" t="str">
            <v>Retail</v>
          </cell>
          <cell r="M84" t="str">
            <v>Ireland</v>
          </cell>
          <cell r="N84" t="str">
            <v>Crunch/Oat</v>
          </cell>
          <cell r="O84" t="str">
            <v>Brand</v>
          </cell>
          <cell r="P84" t="str">
            <v>Eat Later</v>
          </cell>
          <cell r="Q84" t="str">
            <v>T&amp;R</v>
          </cell>
        </row>
        <row r="85">
          <cell r="A85" t="str">
            <v>FEB0009</v>
          </cell>
          <cell r="B85" t="str">
            <v>ECB Milk Chocolate Enrobed Oat Biscuits</v>
          </cell>
          <cell r="C85" t="str">
            <v>C00019</v>
          </cell>
          <cell r="D85" t="str">
            <v>Tudor Rose International</v>
          </cell>
          <cell r="E85" t="str">
            <v>Tudor Rose International ECB Milk Chocolate Enrobed Oat Biscuits</v>
          </cell>
          <cell r="F85">
            <v>1</v>
          </cell>
          <cell r="G85">
            <v>12</v>
          </cell>
          <cell r="H85">
            <v>2.76</v>
          </cell>
          <cell r="I85">
            <v>0.57899999999999996</v>
          </cell>
          <cell r="J85">
            <v>6.9479999999999995</v>
          </cell>
          <cell r="K85">
            <v>2.517391304347826</v>
          </cell>
          <cell r="L85" t="str">
            <v>Retail</v>
          </cell>
          <cell r="M85" t="str">
            <v>ROW</v>
          </cell>
          <cell r="N85" t="str">
            <v>Crunch/Oat</v>
          </cell>
          <cell r="O85" t="str">
            <v>Brand</v>
          </cell>
          <cell r="P85" t="str">
            <v>Eat Later</v>
          </cell>
          <cell r="Q85" t="str">
            <v>Tudor Rose</v>
          </cell>
        </row>
        <row r="86">
          <cell r="A86" t="str">
            <v>FEB0010</v>
          </cell>
          <cell r="B86" t="str">
            <v>Milk Chocolate Chunk Cookie Half Coated 45g ( 2 X 24 ) SRP</v>
          </cell>
          <cell r="C86" t="str">
            <v>C00026</v>
          </cell>
          <cell r="D86" t="str">
            <v>Bewleys Tea &amp; Coffee ltd</v>
          </cell>
          <cell r="E86" t="str">
            <v>Bewleys Tea &amp; Coffee ltd Milk Chocolate Chunk Cookie Half Coated 45g ( 2 X 24 ) SRP</v>
          </cell>
          <cell r="F86">
            <v>1</v>
          </cell>
          <cell r="G86">
            <v>1</v>
          </cell>
          <cell r="H86">
            <v>1.08</v>
          </cell>
          <cell r="I86">
            <v>5.0410000000000004</v>
          </cell>
          <cell r="J86">
            <v>5.0410000000000004</v>
          </cell>
          <cell r="K86">
            <v>4.6675925925925927</v>
          </cell>
          <cell r="L86" t="str">
            <v>Out of home</v>
          </cell>
          <cell r="M86" t="str">
            <v>Ireland</v>
          </cell>
          <cell r="N86" t="str">
            <v>Cookies</v>
          </cell>
          <cell r="O86" t="str">
            <v>Brand</v>
          </cell>
          <cell r="P86" t="str">
            <v>Eat Now</v>
          </cell>
          <cell r="Q86" t="str">
            <v>Other</v>
          </cell>
        </row>
        <row r="87">
          <cell r="A87" t="str">
            <v>FEB0010</v>
          </cell>
          <cell r="B87" t="str">
            <v>Milk Chocolate Chunk Cookie Half Coated 45g ( 2 X 24 ) SRP</v>
          </cell>
          <cell r="C87" t="str">
            <v>C00025</v>
          </cell>
          <cell r="D87" t="str">
            <v>FMF Group</v>
          </cell>
          <cell r="E87" t="str">
            <v>FMF Group Milk Chocolate Chunk Cookie Half Coated 45g ( 2 X 24 ) SRP</v>
          </cell>
          <cell r="F87">
            <v>1</v>
          </cell>
          <cell r="G87">
            <v>1</v>
          </cell>
          <cell r="H87">
            <v>1.08</v>
          </cell>
          <cell r="I87">
            <v>5.0410000000000004</v>
          </cell>
          <cell r="J87">
            <v>5.0410000000000004</v>
          </cell>
          <cell r="K87">
            <v>4.6675925925925927</v>
          </cell>
          <cell r="L87" t="str">
            <v>Out of home</v>
          </cell>
          <cell r="M87" t="str">
            <v>Ireland</v>
          </cell>
          <cell r="N87" t="str">
            <v>Cookies</v>
          </cell>
          <cell r="O87" t="str">
            <v>Brand</v>
          </cell>
          <cell r="P87" t="str">
            <v>Eat Now</v>
          </cell>
          <cell r="Q87" t="str">
            <v>Other</v>
          </cell>
        </row>
        <row r="88">
          <cell r="A88" t="str">
            <v>FEB0010</v>
          </cell>
          <cell r="B88" t="str">
            <v>Milk Chocolate Chunk Cookie Half Coated 45g ( 2 X 24 ) SRP</v>
          </cell>
          <cell r="C88" t="str">
            <v>C00022</v>
          </cell>
          <cell r="D88" t="str">
            <v>Innovative Brands Ltd</v>
          </cell>
          <cell r="E88" t="str">
            <v>Innovative Brands Ltd Milk Chocolate Chunk Cookie Half Coated 45g ( 2 X 24 ) SRP</v>
          </cell>
          <cell r="F88">
            <v>1</v>
          </cell>
          <cell r="G88">
            <v>1</v>
          </cell>
          <cell r="H88">
            <v>1.08</v>
          </cell>
          <cell r="I88">
            <v>5.0410000000000004</v>
          </cell>
          <cell r="J88">
            <v>5.0410000000000004</v>
          </cell>
          <cell r="K88">
            <v>4.6675925925925927</v>
          </cell>
          <cell r="L88" t="str">
            <v>Out of home</v>
          </cell>
          <cell r="M88" t="str">
            <v>Ireland</v>
          </cell>
          <cell r="N88" t="str">
            <v>Cookies</v>
          </cell>
          <cell r="O88" t="str">
            <v>Brand</v>
          </cell>
          <cell r="P88" t="str">
            <v>Eat Now</v>
          </cell>
          <cell r="Q88" t="str">
            <v>Other</v>
          </cell>
        </row>
        <row r="89">
          <cell r="A89" t="str">
            <v>FEB0010</v>
          </cell>
          <cell r="B89" t="str">
            <v>Milk Chocolate Chunk Cookie Half Coated 45g ( 2 X 24 ) SRP</v>
          </cell>
          <cell r="C89" t="str">
            <v>C00015</v>
          </cell>
          <cell r="D89" t="str">
            <v>Odaios Foods</v>
          </cell>
          <cell r="E89" t="str">
            <v>Odaios Foods Milk Chocolate Chunk Cookie Half Coated 45g ( 2 X 24 ) SRP</v>
          </cell>
          <cell r="F89">
            <v>1</v>
          </cell>
          <cell r="G89">
            <v>1</v>
          </cell>
          <cell r="H89">
            <v>1.08</v>
          </cell>
          <cell r="I89">
            <v>5.0410000000000004</v>
          </cell>
          <cell r="J89">
            <v>5.0410000000000004</v>
          </cell>
          <cell r="K89">
            <v>4.6675925925925927</v>
          </cell>
          <cell r="L89" t="str">
            <v>Out of home</v>
          </cell>
          <cell r="M89" t="str">
            <v>Ireland</v>
          </cell>
          <cell r="N89" t="str">
            <v>Cookies</v>
          </cell>
          <cell r="O89" t="str">
            <v>Brand</v>
          </cell>
          <cell r="P89" t="str">
            <v>Eat Now</v>
          </cell>
          <cell r="Q89" t="str">
            <v>Other</v>
          </cell>
        </row>
        <row r="90">
          <cell r="A90" t="str">
            <v>FEB0010</v>
          </cell>
          <cell r="B90" t="str">
            <v>Milk Chocolate Chunk Cookie Half Coated 45g ( 2 X 24 ) SRP</v>
          </cell>
          <cell r="C90" t="str">
            <v>C00005</v>
          </cell>
          <cell r="D90" t="str">
            <v>Samples (Internal A/c)</v>
          </cell>
          <cell r="E90" t="str">
            <v>Samples (Internal A/c) Milk Chocolate Chunk Cookie Half Coated 45g ( 2 X 24 ) SRP</v>
          </cell>
          <cell r="F90">
            <v>1</v>
          </cell>
          <cell r="G90">
            <v>1</v>
          </cell>
          <cell r="H90">
            <v>1.08</v>
          </cell>
          <cell r="I90">
            <v>5.0410000000000004</v>
          </cell>
          <cell r="J90">
            <v>5.0410000000000004</v>
          </cell>
          <cell r="K90">
            <v>4.6675925925925927</v>
          </cell>
          <cell r="L90" t="str">
            <v>Out of home</v>
          </cell>
          <cell r="M90" t="str">
            <v>Ireland</v>
          </cell>
          <cell r="N90" t="str">
            <v>Cookies</v>
          </cell>
          <cell r="O90" t="str">
            <v>Brand</v>
          </cell>
          <cell r="P90" t="str">
            <v>Eat Now</v>
          </cell>
          <cell r="Q90" t="str">
            <v>Other</v>
          </cell>
        </row>
        <row r="91">
          <cell r="A91" t="str">
            <v>FEB0010</v>
          </cell>
          <cell r="B91" t="str">
            <v>Milk Chocolate Chunk Cookie Half Coated 45g ( 2 X 24 ) SRP</v>
          </cell>
          <cell r="C91" t="str">
            <v>C00006</v>
          </cell>
          <cell r="D91" t="str">
            <v>Staff Sales</v>
          </cell>
          <cell r="E91" t="str">
            <v>Staff Sales Milk Chocolate Chunk Cookie Half Coated 45g ( 2 X 24 ) SRP</v>
          </cell>
          <cell r="F91">
            <v>1</v>
          </cell>
          <cell r="G91">
            <v>1</v>
          </cell>
          <cell r="H91">
            <v>1.08</v>
          </cell>
          <cell r="I91">
            <v>5.0410000000000004</v>
          </cell>
          <cell r="J91">
            <v>5.0410000000000004</v>
          </cell>
          <cell r="K91">
            <v>4.6675925925925927</v>
          </cell>
          <cell r="L91" t="str">
            <v>Out of home</v>
          </cell>
          <cell r="M91" t="str">
            <v>Ireland</v>
          </cell>
          <cell r="N91" t="str">
            <v>Cookies</v>
          </cell>
          <cell r="O91" t="str">
            <v>Brand</v>
          </cell>
          <cell r="P91" t="str">
            <v>Eat Now</v>
          </cell>
          <cell r="Q91" t="str">
            <v>Other</v>
          </cell>
        </row>
        <row r="92">
          <cell r="A92" t="str">
            <v>FEB0010</v>
          </cell>
          <cell r="B92" t="str">
            <v>Milk Chocolate Chunk Cookie Half Coated 45g ( 2 X 24 ) SRP</v>
          </cell>
          <cell r="C92" t="str">
            <v>C00016</v>
          </cell>
          <cell r="D92" t="str">
            <v>Tennant &amp; Ruttle Distribution Ltd</v>
          </cell>
          <cell r="E92" t="str">
            <v>Tennant &amp; Ruttle Distribution Ltd Milk Chocolate Chunk Cookie Half Coated 45g ( 2 X 24 ) SRP</v>
          </cell>
          <cell r="F92">
            <v>1</v>
          </cell>
          <cell r="G92">
            <v>1</v>
          </cell>
          <cell r="H92">
            <v>1.08</v>
          </cell>
          <cell r="I92">
            <v>5.0410000000000004</v>
          </cell>
          <cell r="J92">
            <v>5.0410000000000004</v>
          </cell>
          <cell r="K92">
            <v>4.6675925925925927</v>
          </cell>
          <cell r="L92" t="str">
            <v>Out of home</v>
          </cell>
          <cell r="M92" t="str">
            <v>Ireland</v>
          </cell>
          <cell r="N92" t="str">
            <v>Cookies</v>
          </cell>
          <cell r="O92" t="str">
            <v>Brand</v>
          </cell>
          <cell r="P92" t="str">
            <v>Eat Now</v>
          </cell>
          <cell r="Q92" t="str">
            <v>T&amp;R</v>
          </cell>
        </row>
        <row r="93">
          <cell r="A93" t="str">
            <v>FEB0010</v>
          </cell>
          <cell r="B93" t="str">
            <v>Milk Chocolate Chunk Cookie Half Coated 45g ( 2 X 24 ) SRP</v>
          </cell>
          <cell r="C93" t="str">
            <v>C00021</v>
          </cell>
          <cell r="D93" t="str">
            <v>Town &amp; Country Fine Foods Ltd</v>
          </cell>
          <cell r="E93" t="str">
            <v>Town &amp; Country Fine Foods Ltd Milk Chocolate Chunk Cookie Half Coated 45g ( 2 X 24 ) SRP</v>
          </cell>
          <cell r="F93">
            <v>1</v>
          </cell>
          <cell r="G93">
            <v>1</v>
          </cell>
          <cell r="H93">
            <v>1.08</v>
          </cell>
          <cell r="I93">
            <v>5.0410000000000004</v>
          </cell>
          <cell r="J93">
            <v>5.0410000000000004</v>
          </cell>
          <cell r="K93">
            <v>4.6675925925925927</v>
          </cell>
          <cell r="L93" t="str">
            <v>Out of home</v>
          </cell>
          <cell r="M93" t="str">
            <v>UK</v>
          </cell>
          <cell r="N93" t="str">
            <v>Cookies</v>
          </cell>
          <cell r="O93" t="str">
            <v>Brand</v>
          </cell>
          <cell r="P93" t="str">
            <v>Eat Now</v>
          </cell>
          <cell r="Q93" t="str">
            <v>Other</v>
          </cell>
        </row>
        <row r="94">
          <cell r="A94" t="str">
            <v>FEB0011</v>
          </cell>
          <cell r="B94" t="str">
            <v>Milk Chocolate Chunk Cookie 40g Twin Pack SRP</v>
          </cell>
          <cell r="C94" t="str">
            <v>C00026</v>
          </cell>
          <cell r="D94" t="str">
            <v>Bewleys Tea &amp; Coffee ltd</v>
          </cell>
          <cell r="E94" t="str">
            <v>Bewleys Tea &amp; Coffee ltd Milk Chocolate Chunk Cookie 40g Twin Pack SRP</v>
          </cell>
          <cell r="F94">
            <v>1</v>
          </cell>
          <cell r="G94">
            <v>1</v>
          </cell>
          <cell r="H94">
            <v>0.96</v>
          </cell>
          <cell r="I94">
            <v>4.5911</v>
          </cell>
          <cell r="J94">
            <v>4.5911</v>
          </cell>
          <cell r="K94">
            <v>4.7823958333333332</v>
          </cell>
          <cell r="L94" t="str">
            <v>Out of home</v>
          </cell>
          <cell r="M94" t="str">
            <v>Ireland</v>
          </cell>
          <cell r="N94" t="str">
            <v>Cookies</v>
          </cell>
          <cell r="O94" t="str">
            <v>Brand</v>
          </cell>
          <cell r="P94" t="str">
            <v>Eat Now</v>
          </cell>
          <cell r="Q94" t="str">
            <v>Other</v>
          </cell>
        </row>
        <row r="95">
          <cell r="A95" t="str">
            <v>FEB0011</v>
          </cell>
          <cell r="B95" t="str">
            <v>Milk Chocolate Chunk Cookie 40g Twin Pack SRP</v>
          </cell>
          <cell r="C95" t="str">
            <v>C00025</v>
          </cell>
          <cell r="D95" t="str">
            <v>FMF Group</v>
          </cell>
          <cell r="E95" t="str">
            <v>FMF Group Milk Chocolate Chunk Cookie 40g Twin Pack SRP</v>
          </cell>
          <cell r="F95">
            <v>1</v>
          </cell>
          <cell r="G95">
            <v>1</v>
          </cell>
          <cell r="H95">
            <v>0.96</v>
          </cell>
          <cell r="I95">
            <v>4.5911</v>
          </cell>
          <cell r="J95">
            <v>4.5911</v>
          </cell>
          <cell r="K95">
            <v>4.7823958333333332</v>
          </cell>
          <cell r="L95" t="str">
            <v>Out of home</v>
          </cell>
          <cell r="M95" t="str">
            <v>Ireland</v>
          </cell>
          <cell r="N95" t="str">
            <v>Cookies</v>
          </cell>
          <cell r="O95" t="str">
            <v>Brand</v>
          </cell>
          <cell r="P95" t="str">
            <v>Eat Now</v>
          </cell>
          <cell r="Q95" t="str">
            <v>Other</v>
          </cell>
        </row>
        <row r="96">
          <cell r="A96" t="str">
            <v>FEB0011</v>
          </cell>
          <cell r="B96" t="str">
            <v>Milk Chocolate Chunk Cookie 40g Twin Pack SRP</v>
          </cell>
          <cell r="C96" t="str">
            <v>C00022</v>
          </cell>
          <cell r="D96" t="str">
            <v>Innovative Brands Ltd</v>
          </cell>
          <cell r="E96" t="str">
            <v>Innovative Brands Ltd Milk Chocolate Chunk Cookie 40g Twin Pack SRP</v>
          </cell>
          <cell r="F96">
            <v>1</v>
          </cell>
          <cell r="G96">
            <v>1</v>
          </cell>
          <cell r="H96">
            <v>0.96</v>
          </cell>
          <cell r="I96">
            <v>4.5911</v>
          </cell>
          <cell r="J96">
            <v>4.5911</v>
          </cell>
          <cell r="K96">
            <v>4.7823958333333332</v>
          </cell>
          <cell r="L96" t="str">
            <v>Out of home</v>
          </cell>
          <cell r="M96" t="str">
            <v>Ireland</v>
          </cell>
          <cell r="N96" t="str">
            <v>Cookies</v>
          </cell>
          <cell r="O96" t="str">
            <v>Brand</v>
          </cell>
          <cell r="P96" t="str">
            <v>Eat Now</v>
          </cell>
          <cell r="Q96" t="str">
            <v>Other</v>
          </cell>
        </row>
        <row r="97">
          <cell r="A97" t="str">
            <v>FEB0011</v>
          </cell>
          <cell r="B97" t="str">
            <v>Milk Chocolate Chunk Cookie 40g Twin Pack SRP</v>
          </cell>
          <cell r="C97" t="str">
            <v>C00005</v>
          </cell>
          <cell r="D97" t="str">
            <v>Samples (Internal A/c)</v>
          </cell>
          <cell r="E97" t="str">
            <v>Samples (Internal A/c) Milk Chocolate Chunk Cookie 40g Twin Pack SRP</v>
          </cell>
          <cell r="F97">
            <v>1</v>
          </cell>
          <cell r="G97">
            <v>1</v>
          </cell>
          <cell r="H97">
            <v>0.96</v>
          </cell>
          <cell r="I97">
            <v>4.5911</v>
          </cell>
          <cell r="J97">
            <v>4.5911</v>
          </cell>
          <cell r="K97">
            <v>4.7823958333333332</v>
          </cell>
          <cell r="L97" t="str">
            <v>Out of home</v>
          </cell>
          <cell r="M97" t="str">
            <v>Ireland</v>
          </cell>
          <cell r="N97" t="str">
            <v>Cookies</v>
          </cell>
          <cell r="O97" t="str">
            <v>Brand</v>
          </cell>
          <cell r="P97" t="str">
            <v>Eat Now</v>
          </cell>
          <cell r="Q97" t="str">
            <v>Other</v>
          </cell>
        </row>
        <row r="98">
          <cell r="A98" t="str">
            <v>FEB0011</v>
          </cell>
          <cell r="B98" t="str">
            <v>Milk Chocolate Chunk Cookie 40g Twin Pack SRP</v>
          </cell>
          <cell r="C98" t="str">
            <v>C00016</v>
          </cell>
          <cell r="D98" t="str">
            <v>Tennant &amp; Ruttle Distribution Ltd</v>
          </cell>
          <cell r="E98" t="str">
            <v>Tennant &amp; Ruttle Distribution Ltd Milk Chocolate Chunk Cookie 40g Twin Pack SRP</v>
          </cell>
          <cell r="F98">
            <v>1</v>
          </cell>
          <cell r="G98">
            <v>1</v>
          </cell>
          <cell r="H98">
            <v>0.96</v>
          </cell>
          <cell r="I98">
            <v>4.5911</v>
          </cell>
          <cell r="J98">
            <v>4.5911</v>
          </cell>
          <cell r="K98">
            <v>4.7823958333333332</v>
          </cell>
          <cell r="L98" t="str">
            <v>Out of home</v>
          </cell>
          <cell r="M98" t="str">
            <v>Ireland</v>
          </cell>
          <cell r="N98" t="str">
            <v>Cookies</v>
          </cell>
          <cell r="O98" t="str">
            <v>Brand</v>
          </cell>
          <cell r="P98" t="str">
            <v>Eat Now</v>
          </cell>
          <cell r="Q98" t="str">
            <v>T&amp;R</v>
          </cell>
        </row>
        <row r="99">
          <cell r="A99" t="str">
            <v>FEB0011</v>
          </cell>
          <cell r="B99" t="str">
            <v>Milk Chocolate Chunk Cookie 40g Twin Pack SRP</v>
          </cell>
          <cell r="C99" t="str">
            <v>C00021</v>
          </cell>
          <cell r="D99" t="str">
            <v>Town &amp; Country Fine Foods Ltd</v>
          </cell>
          <cell r="E99" t="str">
            <v>Town &amp; Country Fine Foods Ltd Milk Chocolate Chunk Cookie 40g Twin Pack SRP</v>
          </cell>
          <cell r="F99">
            <v>1</v>
          </cell>
          <cell r="G99">
            <v>1</v>
          </cell>
          <cell r="H99">
            <v>0.96</v>
          </cell>
          <cell r="I99">
            <v>4.5911</v>
          </cell>
          <cell r="J99">
            <v>4.5911</v>
          </cell>
          <cell r="K99">
            <v>4.7823958333333332</v>
          </cell>
          <cell r="L99" t="str">
            <v>Out of home</v>
          </cell>
          <cell r="M99" t="str">
            <v>UK</v>
          </cell>
          <cell r="N99" t="str">
            <v>Cookies</v>
          </cell>
          <cell r="O99" t="str">
            <v>Brand</v>
          </cell>
          <cell r="P99" t="str">
            <v>Eat Now</v>
          </cell>
          <cell r="Q99" t="str">
            <v>Other</v>
          </cell>
        </row>
        <row r="100">
          <cell r="A100" t="str">
            <v>FOM0002</v>
          </cell>
          <cell r="B100" t="str">
            <v>Oh My Chocolate Chip Cookie (SG ) 24 x 200g</v>
          </cell>
          <cell r="C100" t="str">
            <v>C00018</v>
          </cell>
          <cell r="D100" t="str">
            <v>Candy Plus Ltd</v>
          </cell>
          <cell r="E100" t="str">
            <v>Candy Plus Ltd Oh My Chocolate Chip Cookie (SG ) 24 x 200g</v>
          </cell>
          <cell r="F100">
            <v>1</v>
          </cell>
          <cell r="G100">
            <v>24</v>
          </cell>
          <cell r="H100">
            <v>4.8000000000000007</v>
          </cell>
          <cell r="I100">
            <v>0.30780000000000002</v>
          </cell>
          <cell r="J100">
            <v>7.3872</v>
          </cell>
          <cell r="K100">
            <v>1.5389999999999997</v>
          </cell>
          <cell r="L100" t="str">
            <v>Retail</v>
          </cell>
          <cell r="M100" t="str">
            <v>ROW</v>
          </cell>
          <cell r="N100" t="str">
            <v>Cookies</v>
          </cell>
          <cell r="O100" t="str">
            <v>Brand</v>
          </cell>
          <cell r="P100" t="str">
            <v>Eat Later</v>
          </cell>
          <cell r="Q100" t="str">
            <v>Other USA Direct</v>
          </cell>
        </row>
        <row r="101">
          <cell r="A101" t="str">
            <v>FOM0002</v>
          </cell>
          <cell r="B101" t="str">
            <v>Oh My Chocolate Chip Cookie (SG ) 24 x 200g</v>
          </cell>
          <cell r="C101" t="str">
            <v>C00017</v>
          </cell>
          <cell r="D101" t="str">
            <v>Fordham Fine Foods Ltd</v>
          </cell>
          <cell r="E101" t="str">
            <v>Fordham Fine Foods Ltd Oh My Chocolate Chip Cookie (SG ) 24 x 200g</v>
          </cell>
          <cell r="F101">
            <v>1</v>
          </cell>
          <cell r="G101">
            <v>24</v>
          </cell>
          <cell r="H101">
            <v>4.8000000000000007</v>
          </cell>
          <cell r="I101">
            <v>0.30780000000000002</v>
          </cell>
          <cell r="J101">
            <v>7.3872</v>
          </cell>
          <cell r="K101">
            <v>1.5389999999999997</v>
          </cell>
          <cell r="L101" t="str">
            <v>Retail</v>
          </cell>
          <cell r="M101" t="str">
            <v>UK</v>
          </cell>
          <cell r="N101" t="str">
            <v>Cookies</v>
          </cell>
          <cell r="O101" t="str">
            <v>Brand</v>
          </cell>
          <cell r="P101" t="str">
            <v>Eat Later</v>
          </cell>
          <cell r="Q101" t="str">
            <v>Fordham</v>
          </cell>
        </row>
        <row r="102">
          <cell r="A102" t="str">
            <v>FOM0002</v>
          </cell>
          <cell r="B102" t="str">
            <v>Oh My Chocolate Chip Cookie (SG ) 24 x 200g</v>
          </cell>
          <cell r="C102" t="str">
            <v>C00005</v>
          </cell>
          <cell r="D102" t="str">
            <v>Samples (Internal A/c)</v>
          </cell>
          <cell r="E102" t="str">
            <v>Samples (Internal A/c) Oh My Chocolate Chip Cookie (SG ) 24 x 200g</v>
          </cell>
          <cell r="F102">
            <v>1</v>
          </cell>
          <cell r="G102">
            <v>24</v>
          </cell>
          <cell r="H102">
            <v>4.8000000000000007</v>
          </cell>
          <cell r="I102">
            <v>0.30780000000000002</v>
          </cell>
          <cell r="J102">
            <v>7.3872</v>
          </cell>
          <cell r="K102">
            <v>1.5389999999999997</v>
          </cell>
          <cell r="L102" t="str">
            <v>Retail</v>
          </cell>
          <cell r="M102" t="str">
            <v>Ireland</v>
          </cell>
          <cell r="N102" t="str">
            <v>Cookies</v>
          </cell>
          <cell r="O102" t="str">
            <v>Brand</v>
          </cell>
          <cell r="P102" t="str">
            <v>Eat Later</v>
          </cell>
          <cell r="Q102" t="str">
            <v>Other</v>
          </cell>
        </row>
        <row r="103">
          <cell r="A103" t="str">
            <v>FOM0002</v>
          </cell>
          <cell r="B103" t="str">
            <v>Oh My Chocolate Chip Cookie (SG ) 24 x 200g</v>
          </cell>
          <cell r="C103" t="str">
            <v>C00016</v>
          </cell>
          <cell r="D103" t="str">
            <v>Tennant &amp; Ruttle Distribution Ltd</v>
          </cell>
          <cell r="E103" t="str">
            <v>Tennant &amp; Ruttle Distribution Ltd Oh My Chocolate Chip Cookie (SG ) 24 x 200g</v>
          </cell>
          <cell r="F103">
            <v>1</v>
          </cell>
          <cell r="G103">
            <v>24</v>
          </cell>
          <cell r="H103">
            <v>4.8000000000000007</v>
          </cell>
          <cell r="I103">
            <v>0.30780000000000002</v>
          </cell>
          <cell r="J103">
            <v>7.3872</v>
          </cell>
          <cell r="K103">
            <v>1.5389999999999997</v>
          </cell>
          <cell r="L103" t="str">
            <v>Retail</v>
          </cell>
          <cell r="M103" t="str">
            <v>Ireland</v>
          </cell>
          <cell r="N103" t="str">
            <v>Cookies</v>
          </cell>
          <cell r="O103" t="str">
            <v>Brand</v>
          </cell>
          <cell r="P103" t="str">
            <v>Eat Later</v>
          </cell>
          <cell r="Q103" t="str">
            <v>T&amp;R</v>
          </cell>
        </row>
        <row r="104">
          <cell r="A104" t="str">
            <v>FOM0002</v>
          </cell>
          <cell r="B104" t="str">
            <v>Oh My Chocolate Chip Cookie (SG ) 24 x 200g</v>
          </cell>
          <cell r="C104" t="str">
            <v>C00019</v>
          </cell>
          <cell r="D104" t="str">
            <v>Tudor Rose International</v>
          </cell>
          <cell r="E104" t="str">
            <v>Tudor Rose International Oh My Chocolate Chip Cookie (SG ) 24 x 200g</v>
          </cell>
          <cell r="F104">
            <v>1</v>
          </cell>
          <cell r="G104">
            <v>24</v>
          </cell>
          <cell r="H104">
            <v>4.8000000000000007</v>
          </cell>
          <cell r="I104">
            <v>0.30780000000000002</v>
          </cell>
          <cell r="J104">
            <v>7.3872</v>
          </cell>
          <cell r="K104">
            <v>1.5389999999999997</v>
          </cell>
          <cell r="L104" t="str">
            <v>Retail</v>
          </cell>
          <cell r="M104" t="str">
            <v>ROW</v>
          </cell>
          <cell r="N104" t="str">
            <v>Cookies</v>
          </cell>
          <cell r="O104" t="str">
            <v>Brand</v>
          </cell>
          <cell r="P104" t="str">
            <v>Eat Later</v>
          </cell>
          <cell r="Q104" t="str">
            <v>Tudor Rose</v>
          </cell>
        </row>
        <row r="105">
          <cell r="A105" t="str">
            <v>FOM0003</v>
          </cell>
          <cell r="B105" t="str">
            <v>Oh My Tub ( SG ) 6  X 700g</v>
          </cell>
          <cell r="C105" t="str">
            <v>C00013</v>
          </cell>
          <cell r="D105" t="str">
            <v>Leydens Cash &amp; Carry</v>
          </cell>
          <cell r="E105" t="str">
            <v>Leydens Cash &amp; Carry Oh My Tub ( SG ) 6  X 700g</v>
          </cell>
          <cell r="F105">
            <v>1</v>
          </cell>
          <cell r="G105">
            <v>24</v>
          </cell>
          <cell r="H105">
            <v>4.1999999999999993</v>
          </cell>
          <cell r="I105">
            <v>1.94</v>
          </cell>
          <cell r="J105">
            <v>46.56</v>
          </cell>
          <cell r="K105">
            <v>11.085714285714289</v>
          </cell>
          <cell r="L105" t="str">
            <v>Retail</v>
          </cell>
          <cell r="M105" t="str">
            <v>Ireland</v>
          </cell>
          <cell r="N105" t="str">
            <v>Cookies</v>
          </cell>
          <cell r="O105" t="str">
            <v>Brand</v>
          </cell>
          <cell r="P105" t="str">
            <v>Eat Later</v>
          </cell>
          <cell r="Q105" t="str">
            <v>Other</v>
          </cell>
        </row>
        <row r="106">
          <cell r="A106" t="str">
            <v>FOM0003</v>
          </cell>
          <cell r="B106" t="str">
            <v>Oh My Tub ( SG ) 6  X 700g</v>
          </cell>
          <cell r="C106" t="str">
            <v>C00019</v>
          </cell>
          <cell r="D106" t="str">
            <v>Tudor Rose International</v>
          </cell>
          <cell r="E106" t="str">
            <v>Tudor Rose International Oh My Tub ( SG ) 6  X 700g</v>
          </cell>
          <cell r="F106">
            <v>1</v>
          </cell>
          <cell r="G106">
            <v>24</v>
          </cell>
          <cell r="H106">
            <v>4.1999999999999993</v>
          </cell>
          <cell r="I106">
            <v>1.94</v>
          </cell>
          <cell r="J106">
            <v>46.56</v>
          </cell>
          <cell r="K106">
            <v>11.085714285714289</v>
          </cell>
          <cell r="L106" t="str">
            <v>Retail</v>
          </cell>
          <cell r="M106" t="str">
            <v>ROW</v>
          </cell>
          <cell r="N106" t="str">
            <v>Cookies</v>
          </cell>
          <cell r="O106" t="str">
            <v>Brand</v>
          </cell>
          <cell r="P106" t="str">
            <v>Eat Later</v>
          </cell>
          <cell r="Q106" t="str">
            <v>Tudor Rose</v>
          </cell>
        </row>
        <row r="107">
          <cell r="A107" t="str">
            <v>FOM0004</v>
          </cell>
          <cell r="B107" t="str">
            <v>Oh My 14% Choc Chip with 16% HC (SG ) 24 x 185g</v>
          </cell>
          <cell r="C107" t="str">
            <v>C00017</v>
          </cell>
          <cell r="D107" t="str">
            <v>Fordham Fine Foods Ltd</v>
          </cell>
          <cell r="E107" t="str">
            <v>Fordham Fine Foods Ltd Oh My 14% Choc Chip with 16% HC (SG ) 24 x 185g</v>
          </cell>
          <cell r="F107">
            <v>1</v>
          </cell>
          <cell r="G107">
            <v>24</v>
          </cell>
          <cell r="H107">
            <v>4.4399999999999995</v>
          </cell>
          <cell r="I107">
            <v>0.32390000000000002</v>
          </cell>
          <cell r="J107">
            <v>7.7736000000000001</v>
          </cell>
          <cell r="K107">
            <v>1.7508108108108109</v>
          </cell>
          <cell r="L107" t="str">
            <v>Retail</v>
          </cell>
          <cell r="M107" t="str">
            <v>UK</v>
          </cell>
          <cell r="N107" t="str">
            <v>Cookies</v>
          </cell>
          <cell r="O107" t="str">
            <v>Brand</v>
          </cell>
          <cell r="P107" t="str">
            <v>Eat Later</v>
          </cell>
          <cell r="Q107" t="str">
            <v>Fordham</v>
          </cell>
        </row>
        <row r="108">
          <cell r="A108" t="str">
            <v>FOM0004</v>
          </cell>
          <cell r="B108" t="str">
            <v>Oh My 14% Choc Chip with 16% HC (SG ) 24 x 185g</v>
          </cell>
          <cell r="C108" t="str">
            <v>C00013</v>
          </cell>
          <cell r="D108" t="str">
            <v>Leydens Cash &amp; Carry</v>
          </cell>
          <cell r="E108" t="str">
            <v>Leydens Cash &amp; Carry Oh My 14% Choc Chip with 16% HC (SG ) 24 x 185g</v>
          </cell>
          <cell r="F108">
            <v>1</v>
          </cell>
          <cell r="G108">
            <v>24</v>
          </cell>
          <cell r="H108">
            <v>4.4399999999999995</v>
          </cell>
          <cell r="I108">
            <v>0.32390000000000002</v>
          </cell>
          <cell r="J108">
            <v>7.7736000000000001</v>
          </cell>
          <cell r="K108">
            <v>1.7508108108108109</v>
          </cell>
          <cell r="L108" t="str">
            <v>Retail</v>
          </cell>
          <cell r="M108" t="str">
            <v>Ireland</v>
          </cell>
          <cell r="N108" t="str">
            <v>Cookies</v>
          </cell>
          <cell r="O108" t="str">
            <v>Brand</v>
          </cell>
          <cell r="P108" t="str">
            <v>Eat Later</v>
          </cell>
          <cell r="Q108" t="str">
            <v>Other</v>
          </cell>
        </row>
        <row r="109">
          <cell r="A109" t="str">
            <v>FOM0004</v>
          </cell>
          <cell r="B109" t="str">
            <v>Oh My 14% Choc Chip with 16% HC (SG ) 24 x 185g</v>
          </cell>
          <cell r="C109" t="str">
            <v>C00005</v>
          </cell>
          <cell r="D109" t="str">
            <v>Samples (Internal A/c)</v>
          </cell>
          <cell r="E109" t="str">
            <v>Samples (Internal A/c) Oh My 14% Choc Chip with 16% HC (SG ) 24 x 185g</v>
          </cell>
          <cell r="F109">
            <v>1</v>
          </cell>
          <cell r="G109">
            <v>24</v>
          </cell>
          <cell r="H109">
            <v>4.4399999999999995</v>
          </cell>
          <cell r="I109">
            <v>0.32390000000000002</v>
          </cell>
          <cell r="J109">
            <v>7.7736000000000001</v>
          </cell>
          <cell r="K109">
            <v>1.7508108108108109</v>
          </cell>
          <cell r="L109" t="str">
            <v>Retail</v>
          </cell>
          <cell r="M109" t="str">
            <v>Ireland</v>
          </cell>
          <cell r="N109" t="str">
            <v>Cookies</v>
          </cell>
          <cell r="O109" t="str">
            <v>Brand</v>
          </cell>
          <cell r="P109" t="str">
            <v>Eat Later</v>
          </cell>
          <cell r="Q109" t="str">
            <v>Other</v>
          </cell>
        </row>
        <row r="110">
          <cell r="A110" t="str">
            <v>FOM0004</v>
          </cell>
          <cell r="B110" t="str">
            <v>Oh My 14% Choc Chip with 16% HC (SG ) 24 x 185g</v>
          </cell>
          <cell r="C110" t="str">
            <v>C00006</v>
          </cell>
          <cell r="D110" t="str">
            <v>Staff Sales</v>
          </cell>
          <cell r="E110" t="str">
            <v>Staff Sales Oh My 14% Choc Chip with 16% HC (SG ) 24 x 185g</v>
          </cell>
          <cell r="F110">
            <v>1</v>
          </cell>
          <cell r="G110">
            <v>24</v>
          </cell>
          <cell r="H110">
            <v>4.4399999999999995</v>
          </cell>
          <cell r="I110">
            <v>0.32390000000000002</v>
          </cell>
          <cell r="J110">
            <v>7.7736000000000001</v>
          </cell>
          <cell r="K110">
            <v>1.7508108108108109</v>
          </cell>
          <cell r="L110" t="str">
            <v>Retail</v>
          </cell>
          <cell r="M110" t="str">
            <v>Ireland</v>
          </cell>
          <cell r="N110" t="str">
            <v>Cookies</v>
          </cell>
          <cell r="O110" t="str">
            <v>Brand</v>
          </cell>
          <cell r="P110" t="str">
            <v>Eat Later</v>
          </cell>
          <cell r="Q110" t="str">
            <v>Other</v>
          </cell>
        </row>
        <row r="111">
          <cell r="A111" t="str">
            <v>FOM0004</v>
          </cell>
          <cell r="B111" t="str">
            <v>Oh My 14% Choc Chip with 16% HC (SG ) 24 x 185g</v>
          </cell>
          <cell r="C111" t="str">
            <v>C00016</v>
          </cell>
          <cell r="D111" t="str">
            <v>Tennant &amp; Ruttle Distribution Ltd</v>
          </cell>
          <cell r="E111" t="str">
            <v>Tennant &amp; Ruttle Distribution Ltd Oh My 14% Choc Chip with 16% HC (SG ) 24 x 185g</v>
          </cell>
          <cell r="F111">
            <v>1</v>
          </cell>
          <cell r="G111">
            <v>24</v>
          </cell>
          <cell r="H111">
            <v>4.4399999999999995</v>
          </cell>
          <cell r="I111">
            <v>0.32390000000000002</v>
          </cell>
          <cell r="J111">
            <v>7.7736000000000001</v>
          </cell>
          <cell r="K111">
            <v>1.7508108108108109</v>
          </cell>
          <cell r="L111" t="str">
            <v>Retail</v>
          </cell>
          <cell r="M111" t="str">
            <v>Ireland</v>
          </cell>
          <cell r="N111" t="str">
            <v>Cookies</v>
          </cell>
          <cell r="O111" t="str">
            <v>Brand</v>
          </cell>
          <cell r="P111" t="str">
            <v>Eat Later</v>
          </cell>
          <cell r="Q111" t="str">
            <v>T&amp;R</v>
          </cell>
        </row>
        <row r="112">
          <cell r="A112" t="str">
            <v>FOM0004</v>
          </cell>
          <cell r="B112" t="str">
            <v>Oh My 14% Choc Chip with 16% HC (SG ) 24 x 185g</v>
          </cell>
          <cell r="C112" t="str">
            <v>C00019</v>
          </cell>
          <cell r="D112" t="str">
            <v>Tudor Rose International</v>
          </cell>
          <cell r="E112" t="str">
            <v>Tudor Rose International Oh My 14% Choc Chip with 16% HC (SG ) 24 x 185g</v>
          </cell>
          <cell r="F112">
            <v>1</v>
          </cell>
          <cell r="G112">
            <v>24</v>
          </cell>
          <cell r="H112">
            <v>4.4399999999999995</v>
          </cell>
          <cell r="I112">
            <v>0.32390000000000002</v>
          </cell>
          <cell r="J112">
            <v>7.7736000000000001</v>
          </cell>
          <cell r="K112">
            <v>1.7508108108108109</v>
          </cell>
          <cell r="L112" t="str">
            <v>Retail</v>
          </cell>
          <cell r="M112" t="str">
            <v>ROW</v>
          </cell>
          <cell r="N112" t="str">
            <v>Cookies</v>
          </cell>
          <cell r="O112" t="str">
            <v>Brand</v>
          </cell>
          <cell r="P112" t="str">
            <v>Eat Later</v>
          </cell>
          <cell r="Q112" t="str">
            <v>Tudor Rose</v>
          </cell>
        </row>
        <row r="113">
          <cell r="A113" t="str">
            <v>FEB0010</v>
          </cell>
          <cell r="B113" t="str">
            <v>Milk Chocolate Chunk Cookie Half Coated 45g ( 2 X 24 ) SRP</v>
          </cell>
          <cell r="C113" t="str">
            <v>C00030</v>
          </cell>
          <cell r="D113" t="str">
            <v>BDS Vending</v>
          </cell>
          <cell r="E113" t="str">
            <v>BDS Vending Milk Chocolate Chunk Cookie Half Coated 45g ( 2 X 24 ) SRP</v>
          </cell>
          <cell r="F113">
            <v>1</v>
          </cell>
          <cell r="G113">
            <v>1</v>
          </cell>
          <cell r="H113">
            <v>1.08</v>
          </cell>
          <cell r="I113">
            <v>5.0410000000000004</v>
          </cell>
          <cell r="J113">
            <v>5.0410000000000004</v>
          </cell>
          <cell r="K113">
            <v>4.6675925925925927</v>
          </cell>
          <cell r="L113" t="str">
            <v>Out of home</v>
          </cell>
          <cell r="M113" t="str">
            <v>Ireland</v>
          </cell>
          <cell r="N113" t="str">
            <v>Cookies</v>
          </cell>
          <cell r="O113" t="str">
            <v>Brand</v>
          </cell>
          <cell r="P113" t="str">
            <v>Eat Now</v>
          </cell>
          <cell r="Q113" t="str">
            <v>Other</v>
          </cell>
        </row>
        <row r="114">
          <cell r="A114" t="str">
            <v>FEB0011</v>
          </cell>
          <cell r="B114" t="str">
            <v>Milk Chocolate Chunk Cookie 40g Twin Pack SRP</v>
          </cell>
          <cell r="C114" t="str">
            <v>C00030</v>
          </cell>
          <cell r="D114" t="str">
            <v>BDS Vending</v>
          </cell>
          <cell r="E114" t="str">
            <v>BDS Vending Milk Chocolate Chunk Cookie 40g Twin Pack SRP</v>
          </cell>
          <cell r="F114">
            <v>1</v>
          </cell>
          <cell r="G114">
            <v>1</v>
          </cell>
          <cell r="H114">
            <v>0.96</v>
          </cell>
          <cell r="I114">
            <v>4.5911</v>
          </cell>
          <cell r="J114">
            <v>4.5911</v>
          </cell>
          <cell r="K114">
            <v>4.7823958333333332</v>
          </cell>
          <cell r="L114" t="str">
            <v>Out of home</v>
          </cell>
          <cell r="M114" t="str">
            <v>Ireland</v>
          </cell>
          <cell r="N114" t="str">
            <v>Cookies</v>
          </cell>
          <cell r="O114" t="str">
            <v>Brand</v>
          </cell>
          <cell r="P114" t="str">
            <v>Eat Now</v>
          </cell>
          <cell r="Q114" t="str">
            <v>Other</v>
          </cell>
        </row>
        <row r="115">
          <cell r="A115" t="str">
            <v>FEB0011</v>
          </cell>
          <cell r="B115" t="str">
            <v>Milk Chocolate Chunk Cookie 40g Twin Pack SRP</v>
          </cell>
          <cell r="C115" t="str">
            <v>C00015</v>
          </cell>
          <cell r="D115" t="str">
            <v>Odaios Foods</v>
          </cell>
          <cell r="E115" t="str">
            <v>Odaios Foods Milk Chocolate Chunk Cookie 40g Twin Pack SRP</v>
          </cell>
          <cell r="F115">
            <v>1</v>
          </cell>
          <cell r="G115">
            <v>1</v>
          </cell>
          <cell r="H115">
            <v>0.96</v>
          </cell>
          <cell r="I115">
            <v>4.5911</v>
          </cell>
          <cell r="J115">
            <v>4.5911</v>
          </cell>
          <cell r="K115">
            <v>4.7823958333333332</v>
          </cell>
          <cell r="L115" t="str">
            <v>Out of home</v>
          </cell>
          <cell r="M115" t="str">
            <v>Ireland</v>
          </cell>
          <cell r="N115" t="str">
            <v>Cookies</v>
          </cell>
          <cell r="O115" t="str">
            <v>Brand</v>
          </cell>
          <cell r="P115" t="str">
            <v>Eat Now</v>
          </cell>
          <cell r="Q115" t="str">
            <v>Other</v>
          </cell>
        </row>
        <row r="116">
          <cell r="A116" t="str">
            <v>FEB0012</v>
          </cell>
          <cell r="B116" t="str">
            <v>ECB Granola Crunchy  with Nuts &amp; Seeds 160g</v>
          </cell>
          <cell r="C116" t="str">
            <v>C00005</v>
          </cell>
          <cell r="D116" t="str">
            <v>Samples (Internal A/c)</v>
          </cell>
          <cell r="E116" t="str">
            <v>Samples (Internal A/c) ECB Granola Crunchy  with Nuts &amp; Seeds 160g</v>
          </cell>
          <cell r="F116">
            <v>1</v>
          </cell>
          <cell r="G116">
            <v>12</v>
          </cell>
          <cell r="H116">
            <v>1.92</v>
          </cell>
          <cell r="I116">
            <v>0.501</v>
          </cell>
          <cell r="J116">
            <v>6.0120000000000005</v>
          </cell>
          <cell r="K116">
            <v>3.1312500000000005</v>
          </cell>
          <cell r="L116" t="str">
            <v>Retail</v>
          </cell>
          <cell r="M116" t="str">
            <v>Ireland</v>
          </cell>
          <cell r="N116" t="str">
            <v>Cookies</v>
          </cell>
          <cell r="O116" t="str">
            <v>Brand</v>
          </cell>
          <cell r="P116" t="str">
            <v>Eat Later</v>
          </cell>
          <cell r="Q116" t="str">
            <v>Other</v>
          </cell>
        </row>
        <row r="117">
          <cell r="A117" t="str">
            <v>FEB0012</v>
          </cell>
          <cell r="B117" t="str">
            <v>ECB Granola Crunchy with Nuts &amp; Seeds 160g</v>
          </cell>
          <cell r="C117" t="str">
            <v>C00016</v>
          </cell>
          <cell r="D117" t="str">
            <v>Tennant &amp; Ruttle Distribution Ltd</v>
          </cell>
          <cell r="E117" t="str">
            <v>Tennant &amp; Ruttle Distribution Ltd ECB Granola Crunchy with Nuts &amp; Seeds 160g</v>
          </cell>
          <cell r="F117">
            <v>1</v>
          </cell>
          <cell r="G117">
            <v>12</v>
          </cell>
          <cell r="H117">
            <v>1.92</v>
          </cell>
          <cell r="I117">
            <v>0.501</v>
          </cell>
          <cell r="J117">
            <v>6.0120000000000005</v>
          </cell>
          <cell r="K117">
            <v>3.1312500000000005</v>
          </cell>
          <cell r="L117" t="str">
            <v>Retail</v>
          </cell>
          <cell r="M117" t="str">
            <v>Ireland</v>
          </cell>
          <cell r="N117" t="str">
            <v>Cookies</v>
          </cell>
          <cell r="O117" t="str">
            <v>Brand</v>
          </cell>
          <cell r="P117" t="str">
            <v>Eat Later</v>
          </cell>
          <cell r="Q117" t="str">
            <v>T&amp;R</v>
          </cell>
        </row>
        <row r="118">
          <cell r="A118" t="str">
            <v>FEB0013</v>
          </cell>
          <cell r="B118" t="str">
            <v>ECB Granola Crunchy with Choc Chips</v>
          </cell>
          <cell r="C118" t="str">
            <v>C00005</v>
          </cell>
          <cell r="D118" t="str">
            <v>Samples (Internal A/c)</v>
          </cell>
          <cell r="E118" t="str">
            <v>Samples (Internal A/c) ECB Granola Crunchy with Choc Chips</v>
          </cell>
          <cell r="F118">
            <v>1</v>
          </cell>
          <cell r="G118">
            <v>12</v>
          </cell>
          <cell r="H118">
            <v>1.92</v>
          </cell>
          <cell r="I118">
            <v>0.501</v>
          </cell>
          <cell r="J118">
            <v>6.0120000000000005</v>
          </cell>
          <cell r="K118">
            <v>3.1312500000000005</v>
          </cell>
          <cell r="L118" t="str">
            <v>Retail</v>
          </cell>
          <cell r="M118" t="str">
            <v>Ireland</v>
          </cell>
          <cell r="N118" t="str">
            <v>Cookies</v>
          </cell>
          <cell r="O118" t="str">
            <v>Brand</v>
          </cell>
          <cell r="P118" t="str">
            <v>Eat Later</v>
          </cell>
          <cell r="Q118" t="str">
            <v>Other</v>
          </cell>
        </row>
        <row r="119">
          <cell r="A119" t="str">
            <v>FEB0013</v>
          </cell>
          <cell r="B119" t="str">
            <v>ECB Granola Crunchy with Choc Chips</v>
          </cell>
          <cell r="C119" t="str">
            <v>C00016</v>
          </cell>
          <cell r="D119" t="str">
            <v>Tennant &amp; Ruttle Distribution Ltd</v>
          </cell>
          <cell r="E119" t="str">
            <v>Tennant &amp; Ruttle Distribution Ltd ECB Granola Crunchy with Choc Chips</v>
          </cell>
          <cell r="F119">
            <v>1</v>
          </cell>
          <cell r="G119">
            <v>12</v>
          </cell>
          <cell r="H119">
            <v>1.92</v>
          </cell>
          <cell r="I119">
            <v>0.501</v>
          </cell>
          <cell r="J119">
            <v>6.0120000000000005</v>
          </cell>
          <cell r="K119">
            <v>3.1312500000000005</v>
          </cell>
          <cell r="L119" t="str">
            <v>Retail</v>
          </cell>
          <cell r="M119" t="str">
            <v>Ireland</v>
          </cell>
          <cell r="N119" t="str">
            <v>Cookies</v>
          </cell>
          <cell r="O119" t="str">
            <v>Brand</v>
          </cell>
          <cell r="P119" t="str">
            <v>Eat Later</v>
          </cell>
          <cell r="Q119" t="str">
            <v>T&amp;R</v>
          </cell>
        </row>
        <row r="120">
          <cell r="A120" t="str">
            <v>FEB0010</v>
          </cell>
          <cell r="B120" t="str">
            <v>Milk Chocolate Chunk Cookie Half Coated 45g ( 2 X 24 ) SRP</v>
          </cell>
          <cell r="C120" t="str">
            <v>C00033</v>
          </cell>
          <cell r="D120" t="str">
            <v>Supermacs</v>
          </cell>
          <cell r="E120" t="str">
            <v>Supermacs Milk Chocolate Chunk Cookie Half Coated 45g ( 2 X 24 ) SRP</v>
          </cell>
          <cell r="F120">
            <v>1</v>
          </cell>
          <cell r="G120">
            <v>1</v>
          </cell>
          <cell r="H120">
            <v>1.08</v>
          </cell>
          <cell r="I120">
            <v>5.0410000000000004</v>
          </cell>
          <cell r="J120">
            <v>5.0410000000000004</v>
          </cell>
          <cell r="K120">
            <v>4.6675925925925927</v>
          </cell>
          <cell r="L120" t="str">
            <v>Out of home</v>
          </cell>
          <cell r="M120" t="str">
            <v>Ireland</v>
          </cell>
          <cell r="N120" t="str">
            <v>Cookies</v>
          </cell>
          <cell r="O120" t="str">
            <v>Brand</v>
          </cell>
          <cell r="P120" t="str">
            <v>Eat Now</v>
          </cell>
          <cell r="Q120" t="str">
            <v>Other</v>
          </cell>
        </row>
        <row r="121">
          <cell r="A121" t="str">
            <v>FEB0011</v>
          </cell>
          <cell r="B121" t="str">
            <v>Milk Chocolate Chunk Cookie 40g Twin Pack SRP</v>
          </cell>
          <cell r="C121" t="str">
            <v>C00033</v>
          </cell>
          <cell r="D121" t="str">
            <v>Supermacs</v>
          </cell>
          <cell r="E121" t="str">
            <v>Supermacs Milk Chocolate Chunk Cookie 40g Twin Pack SRP</v>
          </cell>
          <cell r="F121">
            <v>1</v>
          </cell>
          <cell r="G121">
            <v>1</v>
          </cell>
          <cell r="H121">
            <v>0.96</v>
          </cell>
          <cell r="I121">
            <v>4.5911</v>
          </cell>
          <cell r="J121">
            <v>4.5911</v>
          </cell>
          <cell r="K121">
            <v>4.7823958333333332</v>
          </cell>
          <cell r="L121" t="str">
            <v>Out of home</v>
          </cell>
          <cell r="M121" t="str">
            <v>Ireland</v>
          </cell>
          <cell r="N121" t="str">
            <v>Cookies</v>
          </cell>
          <cell r="O121" t="str">
            <v>Brand</v>
          </cell>
          <cell r="P121" t="str">
            <v>Eat Now</v>
          </cell>
          <cell r="Q121" t="str">
            <v>Other</v>
          </cell>
        </row>
        <row r="122">
          <cell r="A122" t="str">
            <v>FAL0002</v>
          </cell>
          <cell r="B122" t="str">
            <v>Everyday Essentials Chocolate Chip (RSPO SG) (UTZ MB)</v>
          </cell>
          <cell r="C122" t="str">
            <v>C00014</v>
          </cell>
          <cell r="D122" t="str">
            <v>Aldi</v>
          </cell>
          <cell r="E122" t="str">
            <v>Aldi Everyday Essentials Chocolate Chip (RSPO SG) (UTZ MB)</v>
          </cell>
          <cell r="F122">
            <v>1</v>
          </cell>
          <cell r="G122">
            <v>15</v>
          </cell>
          <cell r="H122">
            <v>6</v>
          </cell>
          <cell r="I122">
            <v>0.50639999999999996</v>
          </cell>
          <cell r="J122">
            <v>7.5959999999999992</v>
          </cell>
          <cell r="K122">
            <v>1.2659999999999998</v>
          </cell>
          <cell r="L122" t="str">
            <v>Retail</v>
          </cell>
          <cell r="M122" t="str">
            <v>Ireland</v>
          </cell>
          <cell r="N122" t="str">
            <v>Cookies</v>
          </cell>
          <cell r="O122" t="str">
            <v>PL</v>
          </cell>
          <cell r="P122" t="str">
            <v>Eat Later</v>
          </cell>
          <cell r="Q122" t="str">
            <v>Aldi Ireland</v>
          </cell>
        </row>
        <row r="123">
          <cell r="A123" t="str">
            <v>FCM0001</v>
          </cell>
          <cell r="B123" t="str">
            <v>Coconut Crunch ( Squares )</v>
          </cell>
          <cell r="C123" t="str">
            <v>C00038</v>
          </cell>
          <cell r="D123" t="str">
            <v>Coolmore Fresh Foods</v>
          </cell>
          <cell r="E123" t="str">
            <v>Coolmore Fresh Foods Coconut Crunch ( Squares )</v>
          </cell>
          <cell r="F123">
            <v>0</v>
          </cell>
          <cell r="G123">
            <v>1</v>
          </cell>
          <cell r="H123">
            <v>1</v>
          </cell>
          <cell r="I123">
            <v>3.21</v>
          </cell>
          <cell r="J123">
            <v>3.21</v>
          </cell>
          <cell r="K123">
            <v>3.21</v>
          </cell>
          <cell r="L123" t="str">
            <v>Retail</v>
          </cell>
          <cell r="M123" t="str">
            <v>Ireland</v>
          </cell>
          <cell r="N123" t="str">
            <v>Crunch/Oat</v>
          </cell>
          <cell r="O123" t="str">
            <v>CM</v>
          </cell>
          <cell r="P123" t="str">
            <v>Eat Later</v>
          </cell>
          <cell r="Q123" t="str">
            <v>Other</v>
          </cell>
        </row>
        <row r="124">
          <cell r="A124" t="str">
            <v>FEB0002</v>
          </cell>
          <cell r="B124" t="str">
            <v>ECB Caramel and Pecan (SG) 12 x 160g</v>
          </cell>
          <cell r="C124" t="str">
            <v>C00008</v>
          </cell>
          <cell r="D124" t="str">
            <v>Gerry's Fresh Foods</v>
          </cell>
          <cell r="E124" t="str">
            <v>Gerry's Fresh Foods ECB Caramel and Pecan (SG) 12 x 160g</v>
          </cell>
          <cell r="F124">
            <v>0</v>
          </cell>
          <cell r="G124">
            <v>12</v>
          </cell>
          <cell r="H124">
            <v>1.92</v>
          </cell>
          <cell r="I124">
            <v>0.63200000000000001</v>
          </cell>
          <cell r="J124">
            <v>7.5839999999999996</v>
          </cell>
          <cell r="K124">
            <v>3.9499999999999997</v>
          </cell>
          <cell r="L124" t="str">
            <v>Retail</v>
          </cell>
          <cell r="M124" t="str">
            <v>Ireland</v>
          </cell>
          <cell r="N124" t="str">
            <v>Cookies</v>
          </cell>
          <cell r="O124" t="str">
            <v>Brand</v>
          </cell>
          <cell r="P124" t="str">
            <v>Eat Later</v>
          </cell>
          <cell r="Q124" t="str">
            <v>Other</v>
          </cell>
        </row>
        <row r="125">
          <cell r="A125" t="str">
            <v>FEB0012</v>
          </cell>
          <cell r="B125" t="str">
            <v>ECB Granola Crunchy with Nuts &amp; Seeds 160g</v>
          </cell>
          <cell r="C125" t="str">
            <v>C00005</v>
          </cell>
          <cell r="D125" t="str">
            <v>Samples (Internal A/c)</v>
          </cell>
          <cell r="E125" t="str">
            <v>Samples (Internal A/c) ECB Granola Crunchy with Nuts &amp; Seeds 160g</v>
          </cell>
          <cell r="G125">
            <v>12</v>
          </cell>
          <cell r="H125">
            <v>1.92</v>
          </cell>
          <cell r="I125">
            <v>0.501</v>
          </cell>
          <cell r="J125">
            <v>6.0120000000000005</v>
          </cell>
          <cell r="K125">
            <v>3.1312500000000005</v>
          </cell>
          <cell r="L125" t="str">
            <v>Retail</v>
          </cell>
          <cell r="M125" t="str">
            <v>Ireland</v>
          </cell>
          <cell r="N125" t="str">
            <v>Cookies</v>
          </cell>
          <cell r="O125" t="str">
            <v>Brand</v>
          </cell>
          <cell r="P125" t="str">
            <v>Eat Later</v>
          </cell>
          <cell r="Q125" t="str">
            <v>Other</v>
          </cell>
        </row>
        <row r="126">
          <cell r="A126" t="str">
            <v>FEB0008</v>
          </cell>
          <cell r="B126" t="str">
            <v>ECB Milk Chocolate Enrobed Butter Crunch</v>
          </cell>
          <cell r="C126" t="str">
            <v>C00005</v>
          </cell>
          <cell r="D126" t="str">
            <v>Samples (Internal A/c)</v>
          </cell>
          <cell r="E126" t="str">
            <v>Samples (Internal A/c) ECB Milk Chocolate Enrobed Butter Crunch</v>
          </cell>
          <cell r="G126">
            <v>12</v>
          </cell>
          <cell r="H126">
            <v>2.7</v>
          </cell>
          <cell r="I126">
            <v>0.55200000000000005</v>
          </cell>
          <cell r="J126">
            <v>6.6240000000000006</v>
          </cell>
          <cell r="K126">
            <v>2.4533333333333336</v>
          </cell>
          <cell r="L126" t="str">
            <v>Retail</v>
          </cell>
          <cell r="M126" t="str">
            <v>Ireland</v>
          </cell>
          <cell r="N126" t="str">
            <v>Crunch/Oat</v>
          </cell>
          <cell r="O126" t="str">
            <v>Brand</v>
          </cell>
          <cell r="P126" t="str">
            <v>Eat Later</v>
          </cell>
          <cell r="Q126" t="str">
            <v>Other</v>
          </cell>
        </row>
        <row r="127">
          <cell r="A127" t="str">
            <v>FEB0013</v>
          </cell>
          <cell r="B127" t="str">
            <v>ECB Granola Crunchy with Choc Chips</v>
          </cell>
          <cell r="C127" t="str">
            <v>C00006</v>
          </cell>
          <cell r="D127" t="str">
            <v>Staff Sales</v>
          </cell>
          <cell r="E127" t="str">
            <v>Staff Sales ECB Granola Crunchy with Choc Chips</v>
          </cell>
          <cell r="F127">
            <v>0</v>
          </cell>
          <cell r="G127">
            <v>12</v>
          </cell>
          <cell r="H127">
            <v>1.92</v>
          </cell>
          <cell r="I127">
            <v>0.501</v>
          </cell>
          <cell r="J127">
            <v>6.0120000000000005</v>
          </cell>
          <cell r="K127">
            <v>3.1312500000000005</v>
          </cell>
          <cell r="L127" t="str">
            <v>Retail</v>
          </cell>
          <cell r="M127" t="str">
            <v>Ireland</v>
          </cell>
          <cell r="N127" t="str">
            <v>Cookies</v>
          </cell>
          <cell r="O127" t="str">
            <v>Brand</v>
          </cell>
          <cell r="P127" t="str">
            <v>Eat Later</v>
          </cell>
          <cell r="Q127" t="str">
            <v>Other</v>
          </cell>
        </row>
        <row r="128">
          <cell r="A128" t="str">
            <v>FEB0012</v>
          </cell>
          <cell r="B128" t="str">
            <v>ECB Granola Crunchy with Nuts &amp; Seeds 160g</v>
          </cell>
          <cell r="C128" t="str">
            <v>C00006</v>
          </cell>
          <cell r="D128" t="str">
            <v>Staff Sales</v>
          </cell>
          <cell r="E128" t="str">
            <v>Staff Sales ECB Granola Crunchy with Nuts &amp; Seeds 160g</v>
          </cell>
          <cell r="F128">
            <v>0</v>
          </cell>
          <cell r="G128">
            <v>12</v>
          </cell>
          <cell r="H128">
            <v>1.92</v>
          </cell>
          <cell r="I128">
            <v>0.501</v>
          </cell>
          <cell r="J128">
            <v>6.0120000000000005</v>
          </cell>
          <cell r="K128">
            <v>3.1312500000000005</v>
          </cell>
          <cell r="L128" t="str">
            <v>Retail</v>
          </cell>
          <cell r="M128" t="str">
            <v>Ireland</v>
          </cell>
          <cell r="N128" t="str">
            <v>Cookies</v>
          </cell>
          <cell r="O128" t="str">
            <v>Brand</v>
          </cell>
          <cell r="P128" t="str">
            <v>Eat Later</v>
          </cell>
          <cell r="Q128" t="str">
            <v>Other</v>
          </cell>
        </row>
        <row r="129">
          <cell r="A129" t="str">
            <v>FEB0012</v>
          </cell>
          <cell r="B129" t="str">
            <v>ECB Granola Crunchy with Nuts &amp; Seeds 160g</v>
          </cell>
          <cell r="C129" t="str">
            <v>C00016</v>
          </cell>
          <cell r="D129" t="str">
            <v>Tennant &amp; Ruttle Distribution Ltd</v>
          </cell>
          <cell r="E129" t="str">
            <v>ECB Granola Crunchy with Nuts &amp; Seeds 160g</v>
          </cell>
          <cell r="G129">
            <v>12</v>
          </cell>
          <cell r="H129">
            <v>1.92</v>
          </cell>
          <cell r="I129">
            <v>0.501</v>
          </cell>
          <cell r="J129">
            <v>6.0120000000000005</v>
          </cell>
          <cell r="K129">
            <v>3.1312500000000005</v>
          </cell>
          <cell r="L129" t="str">
            <v>Retail</v>
          </cell>
          <cell r="M129" t="str">
            <v>Ireland</v>
          </cell>
          <cell r="N129" t="str">
            <v>Cookies</v>
          </cell>
          <cell r="O129" t="str">
            <v>Brand</v>
          </cell>
          <cell r="P129" t="str">
            <v>Eat Later</v>
          </cell>
          <cell r="Q129" t="str">
            <v>T&amp;R</v>
          </cell>
        </row>
        <row r="130">
          <cell r="A130" t="str">
            <v>FEB0010</v>
          </cell>
          <cell r="B130" t="str">
            <v>Milk Chocolate Chunk Cookie Half Coated 45g ( 2 X 24 ) SRP</v>
          </cell>
          <cell r="C130" t="str">
            <v>C00019</v>
          </cell>
          <cell r="D130" t="str">
            <v>Tudor Rose International</v>
          </cell>
          <cell r="E130" t="str">
            <v>Tudor Rose International Milk Chocolate Chunk Cookie Half Coated 45g ( 2 X 24 ) SRP</v>
          </cell>
          <cell r="G130">
            <v>1</v>
          </cell>
          <cell r="H130">
            <v>1.08</v>
          </cell>
          <cell r="I130">
            <v>5.0410000000000004</v>
          </cell>
          <cell r="J130">
            <v>5.0410000000000004</v>
          </cell>
          <cell r="K130">
            <v>4.6675925925925927</v>
          </cell>
          <cell r="L130" t="str">
            <v>Out of home</v>
          </cell>
          <cell r="M130" t="str">
            <v>ROW</v>
          </cell>
          <cell r="N130" t="str">
            <v>Cookies</v>
          </cell>
          <cell r="O130" t="str">
            <v>Brand</v>
          </cell>
          <cell r="P130" t="str">
            <v>Eat Now</v>
          </cell>
          <cell r="Q130" t="str">
            <v>Tudor Rose</v>
          </cell>
        </row>
        <row r="131">
          <cell r="A131" t="str">
            <v>FEB0011</v>
          </cell>
          <cell r="B131" t="str">
            <v>Milk Chocolate Chunk Cookie 40g Twin Pack SRP</v>
          </cell>
          <cell r="C131" t="str">
            <v>C00019</v>
          </cell>
          <cell r="D131" t="str">
            <v>Tudor Rose International</v>
          </cell>
          <cell r="E131" t="str">
            <v>Tudor Rose International Milk Chocolate Chunk Cookie 40g Twin Pack SRP</v>
          </cell>
          <cell r="G131">
            <v>1</v>
          </cell>
          <cell r="H131">
            <v>0.96</v>
          </cell>
          <cell r="I131">
            <v>4.5911</v>
          </cell>
          <cell r="J131">
            <v>4.5911</v>
          </cell>
          <cell r="K131">
            <v>4.7823958333333332</v>
          </cell>
          <cell r="L131" t="str">
            <v>Out of home</v>
          </cell>
          <cell r="M131" t="str">
            <v>ROW</v>
          </cell>
          <cell r="N131" t="str">
            <v>Cookies</v>
          </cell>
          <cell r="O131" t="str">
            <v>Brand</v>
          </cell>
          <cell r="P131" t="str">
            <v>Eat Now</v>
          </cell>
          <cell r="Q131" t="str">
            <v>Tudor Rose</v>
          </cell>
        </row>
        <row r="132">
          <cell r="A132" t="str">
            <v>FEB0012</v>
          </cell>
          <cell r="B132" t="str">
            <v>ECB Granola Crunchy with Nuts &amp; Seeds 160g</v>
          </cell>
          <cell r="C132" t="str">
            <v>C00019</v>
          </cell>
          <cell r="D132" t="str">
            <v>Tudor Rose International</v>
          </cell>
          <cell r="E132" t="str">
            <v>Tudor Rose International ECB Granola Crunchy with Nuts &amp; Seeds 160g</v>
          </cell>
          <cell r="G132">
            <v>12</v>
          </cell>
          <cell r="H132">
            <v>1.92</v>
          </cell>
          <cell r="I132">
            <v>0.501</v>
          </cell>
          <cell r="J132">
            <v>6.0120000000000005</v>
          </cell>
          <cell r="K132">
            <v>3.1312500000000005</v>
          </cell>
          <cell r="L132" t="str">
            <v>Retail</v>
          </cell>
          <cell r="M132" t="str">
            <v>ROW</v>
          </cell>
          <cell r="N132" t="str">
            <v>Cookies</v>
          </cell>
          <cell r="O132" t="str">
            <v>Brand</v>
          </cell>
          <cell r="P132" t="str">
            <v>Eat Later</v>
          </cell>
          <cell r="Q132" t="str">
            <v>Tudor Rose</v>
          </cell>
        </row>
        <row r="133">
          <cell r="A133" t="str">
            <v>FEB0013</v>
          </cell>
          <cell r="B133" t="str">
            <v>ECB Granola Crunchy with Choc Chips</v>
          </cell>
          <cell r="C133" t="str">
            <v>C00019</v>
          </cell>
          <cell r="D133" t="str">
            <v>Tudor Rose International</v>
          </cell>
          <cell r="E133" t="str">
            <v>Tudor Rose International ECB Granola Crunchy with Choc Chips</v>
          </cell>
          <cell r="F133">
            <v>0</v>
          </cell>
          <cell r="G133">
            <v>12</v>
          </cell>
          <cell r="H133">
            <v>1.92</v>
          </cell>
          <cell r="I133">
            <v>0.501</v>
          </cell>
          <cell r="J133">
            <v>6.0120000000000005</v>
          </cell>
          <cell r="K133">
            <v>3.1312500000000005</v>
          </cell>
          <cell r="L133" t="str">
            <v>Retail</v>
          </cell>
          <cell r="M133" t="str">
            <v>ROW</v>
          </cell>
          <cell r="N133" t="str">
            <v>Cookies</v>
          </cell>
          <cell r="O133" t="str">
            <v>Brand</v>
          </cell>
          <cell r="P133" t="str">
            <v>Eat Later</v>
          </cell>
          <cell r="Q133" t="str">
            <v>Tudor Rose</v>
          </cell>
        </row>
        <row r="134">
          <cell r="A134" t="str">
            <v>FHL0001</v>
          </cell>
          <cell r="B134" t="str">
            <v>Hills Chocolate Chip ( 14 % ) Cookie</v>
          </cell>
          <cell r="C134" t="str">
            <v>C00005</v>
          </cell>
          <cell r="D134" t="str">
            <v>Samples (Internal A/c)</v>
          </cell>
          <cell r="E134" t="str">
            <v>Samples (Internal A/c) Hills Chocolate Chip ( 14 % ) Cookie</v>
          </cell>
          <cell r="F134">
            <v>0</v>
          </cell>
          <cell r="H134">
            <v>2.4</v>
          </cell>
          <cell r="L134" t="str">
            <v>Retail</v>
          </cell>
          <cell r="M134" t="str">
            <v>UK</v>
          </cell>
          <cell r="N134" t="str">
            <v>Cookies</v>
          </cell>
          <cell r="O134" t="str">
            <v>CM</v>
          </cell>
          <cell r="P134" t="str">
            <v>Eat Later</v>
          </cell>
          <cell r="Q134" t="str">
            <v>Project Bill</v>
          </cell>
        </row>
        <row r="135">
          <cell r="A135" t="str">
            <v>FOM0006</v>
          </cell>
          <cell r="B135" t="str">
            <v>Oh My Choc Chip Cookies ( 14 % ) 145g</v>
          </cell>
          <cell r="C135" t="str">
            <v>C00005</v>
          </cell>
          <cell r="D135" t="str">
            <v>Samples (Internal A/c)</v>
          </cell>
          <cell r="E135" t="str">
            <v>Samples (Internal A/c) Oh My Choc Chip Cookies ( 14 % ) 145g</v>
          </cell>
          <cell r="F135">
            <v>0</v>
          </cell>
          <cell r="G135">
            <v>20</v>
          </cell>
          <cell r="H135">
            <v>2.9</v>
          </cell>
          <cell r="I135">
            <v>0.1605</v>
          </cell>
          <cell r="J135">
            <v>3.21</v>
          </cell>
          <cell r="K135">
            <v>1.106896551724138</v>
          </cell>
          <cell r="L135" t="str">
            <v>Retail</v>
          </cell>
          <cell r="M135" t="str">
            <v>Ireland</v>
          </cell>
          <cell r="N135" t="str">
            <v>Cookies</v>
          </cell>
          <cell r="O135" t="str">
            <v>Brand</v>
          </cell>
          <cell r="P135" t="str">
            <v>Eat Later</v>
          </cell>
          <cell r="Q135" t="str">
            <v>Other</v>
          </cell>
        </row>
        <row r="136">
          <cell r="A136" t="str">
            <v>FOM0005</v>
          </cell>
          <cell r="B136" t="str">
            <v>Oh My Double Choc Chip Cookie ( 14 % ) 145g</v>
          </cell>
          <cell r="C136" t="str">
            <v>C00005</v>
          </cell>
          <cell r="D136" t="str">
            <v>Samples (Internal A/c)</v>
          </cell>
          <cell r="E136" t="str">
            <v>Samples (Internal A/c) Oh My Double Choc Chip Cookie ( 14 % ) 145g</v>
          </cell>
          <cell r="F136">
            <v>0</v>
          </cell>
          <cell r="G136">
            <v>20</v>
          </cell>
          <cell r="H136">
            <v>2.9</v>
          </cell>
          <cell r="I136">
            <v>0.1605</v>
          </cell>
          <cell r="J136">
            <v>3.21</v>
          </cell>
          <cell r="K136">
            <v>1.106896551724138</v>
          </cell>
          <cell r="L136" t="str">
            <v>Retail</v>
          </cell>
          <cell r="M136" t="str">
            <v>Ireland</v>
          </cell>
          <cell r="N136" t="str">
            <v>Cookies</v>
          </cell>
          <cell r="O136" t="str">
            <v>Brand</v>
          </cell>
          <cell r="P136" t="str">
            <v>Eat Later</v>
          </cell>
          <cell r="Q136" t="str">
            <v>Other</v>
          </cell>
        </row>
        <row r="137">
          <cell r="A137" t="str">
            <v>FHL0001</v>
          </cell>
          <cell r="B137" t="str">
            <v>Hills Chocolate Chip ( 14 % ) Cookie</v>
          </cell>
          <cell r="C137" t="str">
            <v>C00005</v>
          </cell>
          <cell r="D137" t="str">
            <v>Samples (Internal A/c)</v>
          </cell>
          <cell r="E137" t="str">
            <v>Samples (Internal A/c) Hills Chocolate Chip ( 14 % ) Cookie</v>
          </cell>
          <cell r="F137">
            <v>0</v>
          </cell>
          <cell r="H137">
            <v>2.4</v>
          </cell>
          <cell r="L137" t="str">
            <v>Retail</v>
          </cell>
          <cell r="M137" t="str">
            <v>UK</v>
          </cell>
          <cell r="N137" t="str">
            <v>Cookies</v>
          </cell>
          <cell r="O137" t="str">
            <v>CM</v>
          </cell>
          <cell r="P137" t="str">
            <v>Eat Later</v>
          </cell>
          <cell r="Q137" t="str">
            <v>Project Bill</v>
          </cell>
        </row>
        <row r="138">
          <cell r="A138" t="str">
            <v>FEB0001</v>
          </cell>
          <cell r="B138" t="str">
            <v>ECB Milk Chocolate Chunk 12 x160g</v>
          </cell>
          <cell r="C138" t="str">
            <v>C00027</v>
          </cell>
          <cell r="D138" t="str">
            <v>Lidl Ireland</v>
          </cell>
          <cell r="E138" t="str">
            <v>Lidl Ireland ECB Milk Chocolate Chunk 12 x160g</v>
          </cell>
          <cell r="F138">
            <v>0</v>
          </cell>
          <cell r="G138">
            <v>12</v>
          </cell>
          <cell r="H138">
            <v>1.92</v>
          </cell>
          <cell r="I138">
            <v>0.495</v>
          </cell>
          <cell r="J138">
            <v>5.9399999999999995</v>
          </cell>
          <cell r="K138">
            <v>3.09375</v>
          </cell>
          <cell r="L138" t="str">
            <v>Retail</v>
          </cell>
          <cell r="M138" t="str">
            <v>Ireland</v>
          </cell>
          <cell r="N138" t="str">
            <v>Cookies</v>
          </cell>
          <cell r="O138" t="str">
            <v>Brand</v>
          </cell>
          <cell r="P138" t="str">
            <v>Eat Later</v>
          </cell>
          <cell r="Q138" t="str">
            <v>Other</v>
          </cell>
        </row>
        <row r="139">
          <cell r="A139" t="str">
            <v>FEB0002</v>
          </cell>
          <cell r="B139" t="str">
            <v>ECB Caramel and Pecan (SG) 12 x 160g</v>
          </cell>
          <cell r="C139" t="str">
            <v>C00027</v>
          </cell>
          <cell r="D139" t="str">
            <v>Lidl Ireland</v>
          </cell>
          <cell r="E139" t="str">
            <v>Lidl Ireland ECB Caramel and Pecan (SG) 12 x 160g</v>
          </cell>
          <cell r="F139">
            <v>0</v>
          </cell>
          <cell r="G139">
            <v>12</v>
          </cell>
          <cell r="H139">
            <v>1.92</v>
          </cell>
          <cell r="I139">
            <v>0.63200000000000001</v>
          </cell>
          <cell r="J139">
            <v>7.5839999999999996</v>
          </cell>
          <cell r="K139">
            <v>3.9499999999999997</v>
          </cell>
          <cell r="L139" t="str">
            <v>Retail</v>
          </cell>
          <cell r="M139" t="str">
            <v>Ireland</v>
          </cell>
          <cell r="N139" t="str">
            <v>Cookies</v>
          </cell>
          <cell r="O139" t="str">
            <v>Brand</v>
          </cell>
          <cell r="P139" t="str">
            <v>Eat Later</v>
          </cell>
          <cell r="Q139" t="str">
            <v>Other</v>
          </cell>
        </row>
        <row r="140">
          <cell r="A140" t="str">
            <v>FEB0004</v>
          </cell>
          <cell r="B140" t="str">
            <v>ECB Chocolate Enrobed Milk Chocolate Chunk 12 x 160g</v>
          </cell>
          <cell r="C140" t="str">
            <v>C00027</v>
          </cell>
          <cell r="D140" t="str">
            <v>Lidl Ireland</v>
          </cell>
          <cell r="E140" t="str">
            <v>Lidl Ireland ECB Chocolate Enrobed Milk Chocolate Chunk 12 x 160g</v>
          </cell>
          <cell r="F140">
            <v>0</v>
          </cell>
          <cell r="G140">
            <v>12</v>
          </cell>
          <cell r="H140">
            <v>1.92</v>
          </cell>
          <cell r="I140">
            <v>0.501</v>
          </cell>
          <cell r="J140">
            <v>6.0120000000000005</v>
          </cell>
          <cell r="K140">
            <v>3.1312500000000005</v>
          </cell>
          <cell r="L140" t="str">
            <v>Retail</v>
          </cell>
          <cell r="M140" t="str">
            <v>Ireland</v>
          </cell>
          <cell r="N140" t="str">
            <v>Cookies</v>
          </cell>
          <cell r="O140" t="str">
            <v>Brand</v>
          </cell>
          <cell r="P140" t="str">
            <v>Eat Later</v>
          </cell>
          <cell r="Q140" t="str">
            <v>Other</v>
          </cell>
        </row>
        <row r="141">
          <cell r="A141" t="str">
            <v>FEB0005</v>
          </cell>
          <cell r="B141" t="str">
            <v>ECB Stem Ginger &amp; Chocolate Chunk Crunchy 12 x 160g</v>
          </cell>
          <cell r="C141" t="str">
            <v>C00027</v>
          </cell>
          <cell r="D141" t="str">
            <v>Lidl Ireland</v>
          </cell>
          <cell r="E141" t="str">
            <v>Lidl Ireland ECB Stem Ginger &amp; Chocolate Chunk Crunchy 12 x 160g</v>
          </cell>
          <cell r="F141">
            <v>0</v>
          </cell>
          <cell r="G141">
            <v>12</v>
          </cell>
          <cell r="H141">
            <v>1.92</v>
          </cell>
          <cell r="I141">
            <v>0.52800000000000002</v>
          </cell>
          <cell r="J141">
            <v>6.3360000000000003</v>
          </cell>
          <cell r="K141">
            <v>3.3000000000000003</v>
          </cell>
          <cell r="L141" t="str">
            <v>Retail</v>
          </cell>
          <cell r="M141" t="str">
            <v>Ireland</v>
          </cell>
          <cell r="N141" t="str">
            <v>Cookies</v>
          </cell>
          <cell r="O141" t="str">
            <v>Brand</v>
          </cell>
          <cell r="P141" t="str">
            <v>Eat Later</v>
          </cell>
          <cell r="Q141" t="str">
            <v>Other</v>
          </cell>
        </row>
        <row r="142">
          <cell r="A142" t="str">
            <v>FAL0002</v>
          </cell>
          <cell r="B142" t="str">
            <v>Everyday Essentials Chocolate Chip (RSPO SG) (UTZ MB)</v>
          </cell>
          <cell r="C142" t="str">
            <v>C00005</v>
          </cell>
          <cell r="D142" t="str">
            <v>Samples (Internal A/c)</v>
          </cell>
          <cell r="E142" t="str">
            <v>Samples (Internal A/c) Everyday Essentials Chocolate Chip (RSPO SG) (UTZ MB)</v>
          </cell>
          <cell r="F142">
            <v>0</v>
          </cell>
          <cell r="H142">
            <v>6</v>
          </cell>
          <cell r="L142" t="str">
            <v>Retail</v>
          </cell>
          <cell r="N142" t="str">
            <v>Cookies</v>
          </cell>
          <cell r="O142" t="str">
            <v>PL</v>
          </cell>
          <cell r="P142" t="str">
            <v>Eat Later</v>
          </cell>
        </row>
        <row r="143">
          <cell r="A143" t="str">
            <v>FEB0002</v>
          </cell>
          <cell r="B143" t="str">
            <v>ECB Caramel and Pecan (SG) 12 x 160g</v>
          </cell>
          <cell r="C143" t="str">
            <v>C00013</v>
          </cell>
          <cell r="D143" t="str">
            <v>Leydens Cash &amp; Carry</v>
          </cell>
          <cell r="E143" t="str">
            <v>Leydens Cash &amp; Carry ECB Caramel and Pecan (SG) 12 x 160g</v>
          </cell>
          <cell r="F143">
            <v>0</v>
          </cell>
          <cell r="G143">
            <v>12</v>
          </cell>
          <cell r="H143">
            <v>1.92</v>
          </cell>
          <cell r="I143">
            <v>0.63200000000000001</v>
          </cell>
          <cell r="J143">
            <v>7.5839999999999996</v>
          </cell>
          <cell r="K143">
            <v>3.9499999999999997</v>
          </cell>
          <cell r="L143" t="str">
            <v>Retail</v>
          </cell>
          <cell r="M143" t="str">
            <v>Ireland</v>
          </cell>
          <cell r="N143" t="str">
            <v>Cookies</v>
          </cell>
          <cell r="O143" t="str">
            <v>Brand</v>
          </cell>
          <cell r="P143" t="str">
            <v>Eat Later</v>
          </cell>
          <cell r="Q143" t="str">
            <v>Other</v>
          </cell>
        </row>
        <row r="144">
          <cell r="A144" t="str">
            <v>FAL0002</v>
          </cell>
          <cell r="B144" t="str">
            <v>Everyday Essentials Chocolate Chip (RSPO SG) (UTZ MB)</v>
          </cell>
          <cell r="C144" t="str">
            <v>C00014</v>
          </cell>
          <cell r="D144" t="str">
            <v>Aldi</v>
          </cell>
          <cell r="E144" t="str">
            <v>Aldi Everyday Essentials Chocolate Chip (RSPO SG) (UTZ MB)</v>
          </cell>
          <cell r="F144">
            <v>1</v>
          </cell>
          <cell r="H144">
            <v>6</v>
          </cell>
          <cell r="L144" t="str">
            <v>Retail</v>
          </cell>
          <cell r="M144" t="str">
            <v>Ireland</v>
          </cell>
          <cell r="N144" t="str">
            <v>Cookies</v>
          </cell>
          <cell r="O144" t="str">
            <v>PL</v>
          </cell>
          <cell r="P144" t="str">
            <v>Eat Later</v>
          </cell>
        </row>
        <row r="145">
          <cell r="A145" t="str">
            <v>FEB0006</v>
          </cell>
          <cell r="B145" t="str">
            <v>ECB Crunch'ems Ginger Crunch</v>
          </cell>
          <cell r="C145" t="str">
            <v>C00027</v>
          </cell>
          <cell r="D145" t="str">
            <v>Lidl Ireland</v>
          </cell>
          <cell r="E145" t="str">
            <v>Lidl Ireland ECB Crunch'ems Ginger Crunch</v>
          </cell>
          <cell r="F145">
            <v>0</v>
          </cell>
          <cell r="G145">
            <v>12</v>
          </cell>
          <cell r="H145">
            <v>2.58</v>
          </cell>
          <cell r="I145">
            <v>0.48199999999999998</v>
          </cell>
          <cell r="J145">
            <v>5.7839999999999998</v>
          </cell>
          <cell r="K145">
            <v>2.2418604651162788</v>
          </cell>
          <cell r="L145" t="str">
            <v>Retail</v>
          </cell>
          <cell r="M145" t="str">
            <v>Ireland</v>
          </cell>
          <cell r="N145" t="str">
            <v>Cookies</v>
          </cell>
          <cell r="O145" t="str">
            <v>Brand</v>
          </cell>
          <cell r="P145" t="str">
            <v>Eat Later</v>
          </cell>
          <cell r="Q145" t="str">
            <v>Other</v>
          </cell>
        </row>
        <row r="146">
          <cell r="A146" t="str">
            <v>FEB0007</v>
          </cell>
          <cell r="B146" t="str">
            <v>ECB Crunch'ems Coconut Crunch</v>
          </cell>
          <cell r="C146" t="str">
            <v>C00027</v>
          </cell>
          <cell r="D146" t="str">
            <v>Lidl Ireland</v>
          </cell>
          <cell r="E146" t="str">
            <v>Lidl Ireland ECB Crunch'ems Coconut Crunch</v>
          </cell>
          <cell r="F146">
            <v>0</v>
          </cell>
          <cell r="G146">
            <v>12</v>
          </cell>
          <cell r="H146">
            <v>2.58</v>
          </cell>
          <cell r="I146">
            <v>0.49199999999999999</v>
          </cell>
          <cell r="J146">
            <v>5.9039999999999999</v>
          </cell>
          <cell r="K146">
            <v>2.2883720930232556</v>
          </cell>
          <cell r="L146" t="str">
            <v>Retail</v>
          </cell>
          <cell r="M146" t="str">
            <v>Ireland</v>
          </cell>
          <cell r="N146" t="str">
            <v>Cookies</v>
          </cell>
          <cell r="O146" t="str">
            <v>Brand</v>
          </cell>
          <cell r="P146" t="str">
            <v>Eat Later</v>
          </cell>
          <cell r="Q146" t="str">
            <v>Other</v>
          </cell>
        </row>
        <row r="147">
          <cell r="A147" t="str">
            <v>FEB0008</v>
          </cell>
          <cell r="B147" t="str">
            <v>ECB Milk Chocolate Enrobed Butter Crunch</v>
          </cell>
          <cell r="C147" t="str">
            <v>C00027</v>
          </cell>
          <cell r="D147" t="str">
            <v>Lidl Ireland</v>
          </cell>
          <cell r="E147" t="str">
            <v>Lidl Ireland ECB Milk Chocolate Enrobed Butter Crunch</v>
          </cell>
          <cell r="G147">
            <v>12</v>
          </cell>
          <cell r="H147">
            <v>2.7</v>
          </cell>
          <cell r="I147">
            <v>0.55200000000000005</v>
          </cell>
          <cell r="J147">
            <v>6.6240000000000006</v>
          </cell>
          <cell r="K147">
            <v>2.4533333333333336</v>
          </cell>
          <cell r="L147" t="str">
            <v>Retail</v>
          </cell>
          <cell r="M147" t="str">
            <v>Ireland</v>
          </cell>
          <cell r="N147" t="str">
            <v>Cookies</v>
          </cell>
          <cell r="O147" t="str">
            <v>Brand</v>
          </cell>
          <cell r="P147" t="str">
            <v>Eat Later</v>
          </cell>
          <cell r="Q147" t="str">
            <v>Other</v>
          </cell>
        </row>
        <row r="148">
          <cell r="A148" t="str">
            <v>FEB0008</v>
          </cell>
          <cell r="B148" t="str">
            <v>ECB Milk Chocolate Enrobed Butter Crunch</v>
          </cell>
          <cell r="C148" t="str">
            <v>C00045</v>
          </cell>
          <cell r="D148" t="str">
            <v>Cash Sales</v>
          </cell>
          <cell r="E148" t="str">
            <v>Cash Sales ECB Milk Chocolate Enrobed Butter Crunch</v>
          </cell>
          <cell r="F148">
            <v>0</v>
          </cell>
          <cell r="G148">
            <v>12</v>
          </cell>
          <cell r="H148">
            <v>2.7</v>
          </cell>
          <cell r="I148">
            <v>0.55200000000000005</v>
          </cell>
          <cell r="J148">
            <v>6.6240000000000006</v>
          </cell>
          <cell r="K148">
            <v>2.4533333333333336</v>
          </cell>
          <cell r="L148" t="str">
            <v>Retail</v>
          </cell>
          <cell r="M148" t="str">
            <v>Ireland</v>
          </cell>
          <cell r="N148" t="str">
            <v>Crunch/Oat</v>
          </cell>
          <cell r="O148" t="str">
            <v>Brand</v>
          </cell>
          <cell r="P148" t="str">
            <v>Eat Later</v>
          </cell>
          <cell r="Q148" t="str">
            <v>Other</v>
          </cell>
        </row>
        <row r="149">
          <cell r="A149" t="str">
            <v>FEB0009</v>
          </cell>
          <cell r="B149" t="str">
            <v>ECB Milk Chocolate Enrobed Oat Biscuits</v>
          </cell>
          <cell r="C149" t="str">
            <v>C00027</v>
          </cell>
          <cell r="D149" t="str">
            <v>Lidl Ireland</v>
          </cell>
          <cell r="E149" t="str">
            <v>Lidl Ireland ECB Milk Chocolate Enrobed Oat Biscuits</v>
          </cell>
          <cell r="F149">
            <v>0</v>
          </cell>
          <cell r="G149">
            <v>12</v>
          </cell>
          <cell r="H149">
            <v>2.76</v>
          </cell>
          <cell r="I149">
            <v>0.57899999999999996</v>
          </cell>
          <cell r="J149">
            <v>6.9479999999999995</v>
          </cell>
          <cell r="K149">
            <v>2.517391304347826</v>
          </cell>
          <cell r="L149" t="str">
            <v>Retail</v>
          </cell>
          <cell r="M149" t="str">
            <v>Ireland</v>
          </cell>
          <cell r="N149" t="str">
            <v>Cookies</v>
          </cell>
          <cell r="O149" t="str">
            <v>Brand</v>
          </cell>
          <cell r="P149" t="str">
            <v>Eat Later</v>
          </cell>
          <cell r="Q149" t="str">
            <v>Other</v>
          </cell>
        </row>
        <row r="150">
          <cell r="A150" t="str">
            <v>FEB0010</v>
          </cell>
          <cell r="B150" t="str">
            <v>Milk Chocolate Chunk Cookie Half Coated 45g ( 2 X 24 ) SRP</v>
          </cell>
          <cell r="C150" t="str">
            <v>C00045</v>
          </cell>
          <cell r="D150" t="str">
            <v>Cash Sales</v>
          </cell>
          <cell r="E150" t="str">
            <v>Cash Sales Milk Chocolate Chunk Cookie Half Coated 45g ( 2 X 24 ) SRP</v>
          </cell>
          <cell r="G150">
            <v>1</v>
          </cell>
          <cell r="H150">
            <v>1.08</v>
          </cell>
          <cell r="I150">
            <v>5.0410000000000004</v>
          </cell>
          <cell r="J150">
            <v>5.0410000000000004</v>
          </cell>
          <cell r="K150">
            <v>4.6675925925925927</v>
          </cell>
          <cell r="L150" t="str">
            <v>Out of home</v>
          </cell>
          <cell r="M150" t="str">
            <v>Ireland</v>
          </cell>
          <cell r="N150" t="str">
            <v>Cookies</v>
          </cell>
          <cell r="O150" t="str">
            <v>Brand</v>
          </cell>
          <cell r="P150" t="str">
            <v>Eat Now</v>
          </cell>
          <cell r="Q150" t="str">
            <v>Other</v>
          </cell>
        </row>
        <row r="151">
          <cell r="A151" t="str">
            <v>FEB0011</v>
          </cell>
          <cell r="B151" t="str">
            <v>Milk Chocolate Chunk Cookie 40g Twin Pack SRP</v>
          </cell>
          <cell r="C151" t="str">
            <v>C00005</v>
          </cell>
          <cell r="D151" t="str">
            <v>Samples (Internal A/c)</v>
          </cell>
          <cell r="E151" t="str">
            <v>Samples (Internal A/c) Milk Chocolate Chunk Cookie 40g Twin Pack SRP</v>
          </cell>
          <cell r="H151">
            <v>0.96</v>
          </cell>
        </row>
        <row r="152">
          <cell r="A152" t="str">
            <v>FEB0016</v>
          </cell>
          <cell r="B152" t="str">
            <v>ECB (US) MC Enrobed Butter Crunch</v>
          </cell>
          <cell r="C152" t="str">
            <v>C00035</v>
          </cell>
          <cell r="D152" t="str">
            <v>Cost Plus Management Services Inc</v>
          </cell>
          <cell r="E152" t="str">
            <v>Cost Plus Management Services Inc ECB (US) MC Enrobed Butter Crunch</v>
          </cell>
          <cell r="H152">
            <v>1.92</v>
          </cell>
          <cell r="L152" t="str">
            <v>Retail</v>
          </cell>
          <cell r="M152" t="str">
            <v>ROW</v>
          </cell>
          <cell r="N152" t="str">
            <v>Cookies</v>
          </cell>
          <cell r="O152" t="str">
            <v>Brand</v>
          </cell>
          <cell r="P152" t="str">
            <v>Eat Later</v>
          </cell>
          <cell r="Q152" t="str">
            <v>Other</v>
          </cell>
        </row>
        <row r="153">
          <cell r="A153" t="str">
            <v>FEB0018</v>
          </cell>
          <cell r="B153" t="str">
            <v>ECB (US) Ginger Crunch</v>
          </cell>
          <cell r="C153" t="str">
            <v>C00035</v>
          </cell>
          <cell r="D153" t="str">
            <v>Cost Plus Management Services Inc</v>
          </cell>
          <cell r="E153" t="str">
            <v>Cost Plus Management Services Inc ECB (US) Ginger Crunch</v>
          </cell>
          <cell r="H153">
            <v>2.58</v>
          </cell>
          <cell r="L153" t="str">
            <v>Retail</v>
          </cell>
          <cell r="M153" t="str">
            <v>ROW</v>
          </cell>
          <cell r="N153" t="str">
            <v>Cookies</v>
          </cell>
          <cell r="O153" t="str">
            <v>Brand</v>
          </cell>
          <cell r="P153" t="str">
            <v>Eat Later</v>
          </cell>
          <cell r="Q153" t="str">
            <v>Other</v>
          </cell>
        </row>
        <row r="154">
          <cell r="A154" t="str">
            <v>FEB0001</v>
          </cell>
          <cell r="B154" t="str">
            <v>ECB Milk Chocolate Chunk 12 x160g</v>
          </cell>
          <cell r="C154" t="str">
            <v>C00044</v>
          </cell>
          <cell r="D154" t="str">
            <v>Lidl Northern Ireland</v>
          </cell>
          <cell r="E154" t="str">
            <v>Lidl Northern Ireland ECB Milk Chocolate Chunk 12 x160g</v>
          </cell>
          <cell r="F154">
            <v>0</v>
          </cell>
          <cell r="G154">
            <v>12</v>
          </cell>
          <cell r="H154">
            <v>1.92</v>
          </cell>
          <cell r="I154">
            <v>0.495</v>
          </cell>
          <cell r="J154">
            <v>5.9399999999999995</v>
          </cell>
          <cell r="K154">
            <v>3.09375</v>
          </cell>
          <cell r="L154" t="str">
            <v>Retail</v>
          </cell>
          <cell r="M154" t="str">
            <v>Ireland</v>
          </cell>
          <cell r="N154" t="str">
            <v>Cookies</v>
          </cell>
          <cell r="O154" t="str">
            <v>Brand</v>
          </cell>
          <cell r="P154" t="str">
            <v>Eat Later</v>
          </cell>
          <cell r="Q154" t="str">
            <v>Other</v>
          </cell>
        </row>
        <row r="155">
          <cell r="A155" t="str">
            <v>FEB0002</v>
          </cell>
          <cell r="B155" t="str">
            <v>ECB Caramel and Pecan (SG) 12 x 160g</v>
          </cell>
          <cell r="C155" t="str">
            <v>C00044</v>
          </cell>
          <cell r="D155" t="str">
            <v>Lidl Northern Ireland</v>
          </cell>
          <cell r="E155" t="str">
            <v>Lidl Northern Ireland ECB Caramel and Pecan (SG) 12 x 160g</v>
          </cell>
          <cell r="F155">
            <v>0</v>
          </cell>
          <cell r="G155">
            <v>12</v>
          </cell>
          <cell r="H155">
            <v>1.92</v>
          </cell>
          <cell r="I155">
            <v>0.63200000000000001</v>
          </cell>
          <cell r="J155">
            <v>7.5839999999999996</v>
          </cell>
          <cell r="K155">
            <v>3.9499999999999997</v>
          </cell>
          <cell r="L155" t="str">
            <v>Retail</v>
          </cell>
          <cell r="M155" t="str">
            <v>Ireland</v>
          </cell>
          <cell r="N155" t="str">
            <v>Cookies</v>
          </cell>
          <cell r="O155" t="str">
            <v>Brand</v>
          </cell>
          <cell r="P155" t="str">
            <v>Eat Later</v>
          </cell>
          <cell r="Q155" t="str">
            <v>Other</v>
          </cell>
        </row>
        <row r="156">
          <cell r="A156" t="str">
            <v>FEB0004</v>
          </cell>
          <cell r="B156" t="str">
            <v>ECB Chocolate Enrobed Milk Chocolate Chunk 12 x 160g</v>
          </cell>
          <cell r="C156" t="str">
            <v>C00044</v>
          </cell>
          <cell r="D156" t="str">
            <v>Lidl Northern Ireland</v>
          </cell>
          <cell r="E156" t="str">
            <v>Lidl Northern Ireland ECB Chocolate Enrobed Milk Chocolate Chunk 12 x 160g</v>
          </cell>
          <cell r="F156">
            <v>0</v>
          </cell>
          <cell r="G156">
            <v>12</v>
          </cell>
          <cell r="H156">
            <v>1.92</v>
          </cell>
          <cell r="I156">
            <v>0.501</v>
          </cell>
          <cell r="J156">
            <v>6.0120000000000005</v>
          </cell>
          <cell r="K156">
            <v>3.1312500000000005</v>
          </cell>
          <cell r="L156" t="str">
            <v>Retail</v>
          </cell>
          <cell r="M156" t="str">
            <v>Ireland</v>
          </cell>
          <cell r="N156" t="str">
            <v>Cookies</v>
          </cell>
          <cell r="O156" t="str">
            <v>Brand</v>
          </cell>
          <cell r="P156" t="str">
            <v>Eat Later</v>
          </cell>
          <cell r="Q156" t="str">
            <v>Other</v>
          </cell>
        </row>
        <row r="157">
          <cell r="A157" t="str">
            <v>FEB0005</v>
          </cell>
          <cell r="B157" t="str">
            <v>ECB Stem Ginger &amp; Chocolate Chunk Crunchy 12 x 160g</v>
          </cell>
          <cell r="C157" t="str">
            <v>C00044</v>
          </cell>
          <cell r="D157" t="str">
            <v>Lidl Northern Ireland</v>
          </cell>
          <cell r="E157" t="str">
            <v>Lidl Northern Ireland ECB Stem Ginger &amp; Chocolate Chunk Crunchy 12 x 160g</v>
          </cell>
          <cell r="F157">
            <v>0</v>
          </cell>
          <cell r="G157">
            <v>12</v>
          </cell>
          <cell r="H157">
            <v>1.92</v>
          </cell>
          <cell r="I157">
            <v>0.52800000000000002</v>
          </cell>
          <cell r="J157">
            <v>6.3360000000000003</v>
          </cell>
          <cell r="K157">
            <v>3.3000000000000003</v>
          </cell>
          <cell r="L157" t="str">
            <v>Retail</v>
          </cell>
          <cell r="M157" t="str">
            <v>Ireland</v>
          </cell>
          <cell r="N157" t="str">
            <v>Cookies</v>
          </cell>
          <cell r="O157" t="str">
            <v>Brand</v>
          </cell>
          <cell r="P157" t="str">
            <v>Eat Later</v>
          </cell>
          <cell r="Q157" t="str">
            <v>Other</v>
          </cell>
        </row>
        <row r="158">
          <cell r="A158" t="str">
            <v>FEB0004</v>
          </cell>
          <cell r="B158" t="str">
            <v>ECB Chocolate Enrobed Milk Chocolate Chunk 12 x 160g</v>
          </cell>
          <cell r="C158" t="str">
            <v>C00013</v>
          </cell>
          <cell r="D158" t="str">
            <v>Leydens Cash &amp; Carry</v>
          </cell>
          <cell r="E158" t="str">
            <v>Leydens Cash &amp; Carry ECB Chocolate Enrobed Milk Chocolate Chunk 12 x 160g</v>
          </cell>
          <cell r="F158">
            <v>0</v>
          </cell>
          <cell r="G158">
            <v>12</v>
          </cell>
          <cell r="H158">
            <v>1.92</v>
          </cell>
          <cell r="I158">
            <v>0.501</v>
          </cell>
          <cell r="J158">
            <v>6.0120000000000005</v>
          </cell>
          <cell r="K158">
            <v>3.1312500000000005</v>
          </cell>
          <cell r="L158" t="str">
            <v>Retail</v>
          </cell>
          <cell r="M158" t="str">
            <v>Ireland</v>
          </cell>
          <cell r="N158" t="str">
            <v>Cookies</v>
          </cell>
          <cell r="O158" t="str">
            <v>Brand</v>
          </cell>
          <cell r="P158" t="str">
            <v>Eat Later</v>
          </cell>
          <cell r="Q158" t="str">
            <v>Other</v>
          </cell>
        </row>
        <row r="159">
          <cell r="A159" t="str">
            <v>FEB0006</v>
          </cell>
          <cell r="B159" t="str">
            <v>ECB Crunch'ems Ginger Crunch</v>
          </cell>
          <cell r="C159" t="str">
            <v>C00044</v>
          </cell>
          <cell r="D159" t="str">
            <v>Lidl Northern Ireland GmbH</v>
          </cell>
          <cell r="E159" t="str">
            <v>Lidl Northern Ireland GmbH ECB Crunch'ems Ginger Crunch</v>
          </cell>
          <cell r="F159">
            <v>0</v>
          </cell>
          <cell r="G159">
            <v>12</v>
          </cell>
          <cell r="H159">
            <v>2.58</v>
          </cell>
          <cell r="I159">
            <v>0.48199999999999998</v>
          </cell>
          <cell r="J159">
            <v>5.7839999999999998</v>
          </cell>
          <cell r="K159">
            <v>2.2418604651162788</v>
          </cell>
          <cell r="L159" t="str">
            <v>Retail</v>
          </cell>
          <cell r="M159" t="str">
            <v>Ireland</v>
          </cell>
          <cell r="N159" t="str">
            <v>Cookies</v>
          </cell>
          <cell r="O159" t="str">
            <v>Brand</v>
          </cell>
          <cell r="P159" t="str">
            <v>Eat Later</v>
          </cell>
          <cell r="Q159" t="str">
            <v>Other</v>
          </cell>
        </row>
        <row r="160">
          <cell r="A160" t="str">
            <v>FEB0007</v>
          </cell>
          <cell r="B160" t="str">
            <v>ECB Crunch'ems Coconut Crunch</v>
          </cell>
          <cell r="C160" t="str">
            <v>C00044</v>
          </cell>
          <cell r="D160" t="str">
            <v>Lidl Northern Ireland GmbH</v>
          </cell>
          <cell r="E160" t="str">
            <v>Lidl Northern Ireland GmbH ECB Crunch'ems Coconut Crunch</v>
          </cell>
          <cell r="F160">
            <v>0</v>
          </cell>
          <cell r="G160">
            <v>12</v>
          </cell>
          <cell r="H160">
            <v>2.58</v>
          </cell>
          <cell r="I160">
            <v>0.49199999999999999</v>
          </cell>
          <cell r="J160">
            <v>5.9039999999999999</v>
          </cell>
          <cell r="K160">
            <v>2.2883720930232556</v>
          </cell>
          <cell r="L160" t="str">
            <v>Retail</v>
          </cell>
          <cell r="M160" t="str">
            <v>Ireland</v>
          </cell>
          <cell r="N160" t="str">
            <v>Cookies</v>
          </cell>
          <cell r="O160" t="str">
            <v>Brand</v>
          </cell>
          <cell r="P160" t="str">
            <v>Eat Later</v>
          </cell>
          <cell r="Q160" t="str">
            <v>Other</v>
          </cell>
        </row>
        <row r="161">
          <cell r="A161" t="str">
            <v>FEB0008</v>
          </cell>
          <cell r="B161" t="str">
            <v>ECB Milk Chocolate Enrobed Butter Crunch</v>
          </cell>
          <cell r="C161" t="str">
            <v>C00044</v>
          </cell>
          <cell r="D161" t="str">
            <v>Lidl Northern Ireland GmbH</v>
          </cell>
          <cell r="E161" t="str">
            <v>Lidl Northern Ireland GmbH ECB Milk Chocolate Enrobed Butter Crunch</v>
          </cell>
          <cell r="F161">
            <v>0</v>
          </cell>
          <cell r="G161">
            <v>12</v>
          </cell>
          <cell r="H161">
            <v>2.7</v>
          </cell>
          <cell r="I161">
            <v>0.55200000000000005</v>
          </cell>
          <cell r="J161">
            <v>6.6240000000000006</v>
          </cell>
          <cell r="K161">
            <v>2.4533333333333336</v>
          </cell>
          <cell r="L161" t="str">
            <v>Retail</v>
          </cell>
          <cell r="M161" t="str">
            <v>Ireland</v>
          </cell>
          <cell r="N161" t="str">
            <v>Crunch/Oat</v>
          </cell>
          <cell r="O161" t="str">
            <v>Brand</v>
          </cell>
          <cell r="P161" t="str">
            <v>Eat Later</v>
          </cell>
          <cell r="Q161" t="str">
            <v>Other</v>
          </cell>
        </row>
        <row r="162">
          <cell r="A162" t="str">
            <v>FEB0009</v>
          </cell>
          <cell r="B162" t="str">
            <v>ECB Milk Chocolate Enrobed Oat Biscuits</v>
          </cell>
          <cell r="C162" t="str">
            <v>C00044</v>
          </cell>
          <cell r="D162" t="str">
            <v>Lidl Northern Ireland GmbH</v>
          </cell>
          <cell r="E162" t="str">
            <v>Lidl Northern Ireland GmbH ECB Milk Chocolate Enrobed Oat Biscuits</v>
          </cell>
          <cell r="F162">
            <v>0</v>
          </cell>
          <cell r="G162">
            <v>12</v>
          </cell>
          <cell r="H162">
            <v>2.76</v>
          </cell>
          <cell r="I162">
            <v>0.57899999999999996</v>
          </cell>
          <cell r="J162">
            <v>6.9479999999999995</v>
          </cell>
          <cell r="K162">
            <v>2.517391304347826</v>
          </cell>
          <cell r="L162" t="str">
            <v>Retail</v>
          </cell>
          <cell r="M162" t="str">
            <v>Ireland</v>
          </cell>
          <cell r="N162" t="str">
            <v>Cookies</v>
          </cell>
          <cell r="O162" t="str">
            <v>Brand</v>
          </cell>
          <cell r="P162" t="str">
            <v>Eat Later</v>
          </cell>
          <cell r="Q162" t="str">
            <v>Other</v>
          </cell>
        </row>
        <row r="163">
          <cell r="A163" t="str">
            <v>FEB0012</v>
          </cell>
          <cell r="B163" t="str">
            <v>ECB Granola Crunchy with Nuts &amp; Seeds 160g</v>
          </cell>
          <cell r="C163" t="str">
            <v>C00013</v>
          </cell>
          <cell r="D163" t="str">
            <v>Leydens Cash &amp; Carry</v>
          </cell>
          <cell r="E163" t="str">
            <v>Leydens Cash &amp; Carry ECB Granola Crunchy with Nuts &amp; Seeds 160g</v>
          </cell>
          <cell r="F163" t="str">
            <v>ECB Granola Crunchy with Nuts &amp; Seeds 160g</v>
          </cell>
          <cell r="G163">
            <v>12</v>
          </cell>
          <cell r="H163">
            <v>1.92</v>
          </cell>
          <cell r="I163">
            <v>0.501</v>
          </cell>
          <cell r="J163">
            <v>6.0120000000000005</v>
          </cell>
          <cell r="K163">
            <v>3.1312500000000005</v>
          </cell>
          <cell r="L163" t="str">
            <v>Retail</v>
          </cell>
          <cell r="M163" t="str">
            <v>Ireland</v>
          </cell>
          <cell r="N163" t="str">
            <v>Cookies</v>
          </cell>
          <cell r="O163" t="str">
            <v>Brand</v>
          </cell>
          <cell r="P163" t="str">
            <v>Eat Later</v>
          </cell>
          <cell r="Q163" t="str">
            <v>Other</v>
          </cell>
        </row>
        <row r="164">
          <cell r="A164" t="str">
            <v>FEB0004</v>
          </cell>
          <cell r="B164" t="str">
            <v>ECB Chocolate Enrobed Milk Chocolate Chunk 12 x 160g</v>
          </cell>
          <cell r="C164" t="str">
            <v>C00044</v>
          </cell>
          <cell r="D164" t="str">
            <v>Lidl Northern Ireland</v>
          </cell>
          <cell r="E164" t="str">
            <v>Lidl Northern Ireland ECB Chocolate Enrobed Milk Chocolate Chunk 12 x 160g</v>
          </cell>
          <cell r="F164">
            <v>0</v>
          </cell>
          <cell r="G164">
            <v>12</v>
          </cell>
          <cell r="H164">
            <v>1.92</v>
          </cell>
          <cell r="I164">
            <v>0.501</v>
          </cell>
          <cell r="J164">
            <v>6.0120000000000005</v>
          </cell>
          <cell r="K164">
            <v>3.1312500000000005</v>
          </cell>
          <cell r="L164" t="str">
            <v>Retail</v>
          </cell>
          <cell r="M164" t="str">
            <v>Ireland</v>
          </cell>
          <cell r="N164" t="str">
            <v>Cookies</v>
          </cell>
          <cell r="O164" t="str">
            <v>Brand</v>
          </cell>
          <cell r="P164" t="str">
            <v>Eat Later</v>
          </cell>
          <cell r="Q164" t="str">
            <v>Other</v>
          </cell>
        </row>
        <row r="165">
          <cell r="A165" t="str">
            <v>FEB0002</v>
          </cell>
          <cell r="B165" t="str">
            <v>ECB Caramel and Pecan (SG) 12 x 160g</v>
          </cell>
          <cell r="C165" t="str">
            <v>C00044</v>
          </cell>
          <cell r="D165" t="str">
            <v>Lidl Northern Ireland GmbH</v>
          </cell>
          <cell r="E165" t="str">
            <v>Lidl Northern Ireland GmbH ECB Caramel and Pecan (SG) 12 x 160g</v>
          </cell>
          <cell r="F165">
            <v>0</v>
          </cell>
          <cell r="G165">
            <v>12</v>
          </cell>
          <cell r="H165">
            <v>1.92</v>
          </cell>
          <cell r="I165">
            <v>0.63200000000000001</v>
          </cell>
          <cell r="J165">
            <v>7.5839999999999996</v>
          </cell>
          <cell r="K165">
            <v>3.9499999999999997</v>
          </cell>
          <cell r="L165" t="str">
            <v>Retail</v>
          </cell>
          <cell r="M165" t="str">
            <v>Ireland</v>
          </cell>
          <cell r="N165" t="str">
            <v>Cookies</v>
          </cell>
          <cell r="O165" t="str">
            <v>Brand</v>
          </cell>
          <cell r="P165" t="str">
            <v>Eat Later</v>
          </cell>
          <cell r="Q165" t="str">
            <v>Other</v>
          </cell>
        </row>
        <row r="166">
          <cell r="A166" t="str">
            <v>FBL0001</v>
          </cell>
          <cell r="B166" t="str">
            <v>Bolands Chocolate Chip Cookie 14%</v>
          </cell>
          <cell r="C166" t="str">
            <v>C00046</v>
          </cell>
          <cell r="D166" t="str">
            <v>Valeo Foods (Ireland)</v>
          </cell>
          <cell r="E166" t="str">
            <v>Valeo Foods (Ireland) Bolands Chocolate Chip Cookie 14%</v>
          </cell>
          <cell r="F166">
            <v>0</v>
          </cell>
          <cell r="G166">
            <v>20</v>
          </cell>
          <cell r="H166">
            <v>2.9</v>
          </cell>
          <cell r="I166">
            <v>0.193</v>
          </cell>
          <cell r="J166">
            <v>3.86</v>
          </cell>
          <cell r="K166">
            <v>1.3310344827586207</v>
          </cell>
          <cell r="L166" t="str">
            <v>Retail</v>
          </cell>
          <cell r="M166" t="str">
            <v>Ireland</v>
          </cell>
          <cell r="N166" t="str">
            <v>Cookies</v>
          </cell>
          <cell r="O166" t="str">
            <v>CM</v>
          </cell>
          <cell r="P166" t="str">
            <v>Eat Later</v>
          </cell>
        </row>
        <row r="167">
          <cell r="A167" t="str">
            <v>FEB0001</v>
          </cell>
          <cell r="B167" t="str">
            <v>ECB Milk Chocolate Chunk 12 x160g</v>
          </cell>
          <cell r="C167" t="str">
            <v>C00044</v>
          </cell>
          <cell r="D167" t="str">
            <v>Lidl Northern Ireland GmbH</v>
          </cell>
          <cell r="E167" t="str">
            <v>Lidl Northern Ireland GmbH ECB Milk Chocolate Chunk 12 x160g</v>
          </cell>
          <cell r="F167">
            <v>0</v>
          </cell>
          <cell r="G167">
            <v>12</v>
          </cell>
          <cell r="H167">
            <v>1.92</v>
          </cell>
          <cell r="I167">
            <v>0.495</v>
          </cell>
          <cell r="J167">
            <v>5.9399999999999995</v>
          </cell>
          <cell r="K167">
            <v>3.09375</v>
          </cell>
          <cell r="L167" t="str">
            <v>Retail</v>
          </cell>
          <cell r="M167" t="str">
            <v>Ireland</v>
          </cell>
          <cell r="N167" t="str">
            <v>Cookies</v>
          </cell>
          <cell r="O167" t="str">
            <v>Brand</v>
          </cell>
          <cell r="P167" t="str">
            <v>Eat Later</v>
          </cell>
          <cell r="Q167" t="str">
            <v>Other</v>
          </cell>
        </row>
      </sheetData>
      <sheetData sheetId="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pany Input Sheet 1"/>
      <sheetName val="Company Input Sheet 2"/>
      <sheetName val="EI DA Input Sheet"/>
      <sheetName val="EI Document Tables"/>
      <sheetName val="EI Financial Analysis"/>
      <sheetName val="Sensitivity Analysis"/>
      <sheetName val="Post Inv Review"/>
      <sheetName val="Graphs"/>
      <sheetName val="EI Econ Model Sheet"/>
      <sheetName val="EI Cost Benefit"/>
      <sheetName val="GEM FDS - Plastics with write o"/>
      <sheetName val="GEM%20FDS%20-%20Plastics%20with"/>
      <sheetName val="Company_Input_Sheet_1"/>
      <sheetName val="Company_Input_Sheet_2"/>
      <sheetName val="EI_DA_Input_Sheet"/>
      <sheetName val="EI_Document_Tables"/>
      <sheetName val="EI_Financial_Analysis"/>
      <sheetName val="Sensitivity_Analysis"/>
      <sheetName val="Post_Inv_Review"/>
      <sheetName val="EI_Econ_Model_Sheet"/>
      <sheetName val="EI_Cost_Benefit"/>
      <sheetName val="GEM_FDS_-_Plastics_with_write_o"/>
      <sheetName val="Company_Input_Sheet_11"/>
      <sheetName val="Company_Input_Sheet_21"/>
      <sheetName val="EI_DA_Input_Sheet1"/>
      <sheetName val="EI_Document_Tables1"/>
      <sheetName val="EI_Financial_Analysis1"/>
      <sheetName val="Sensitivity_Analysis1"/>
      <sheetName val="Post_Inv_Review1"/>
      <sheetName val="EI_Econ_Model_Sheet1"/>
      <sheetName val="EI_Cost_Benefit1"/>
    </sheetNames>
    <sheetDataSet>
      <sheetData sheetId="0"/>
      <sheetData sheetId="1"/>
      <sheetData sheetId="2"/>
      <sheetData sheetId="3"/>
      <sheetData sheetId="4"/>
      <sheetData sheetId="5"/>
      <sheetData sheetId="6"/>
      <sheetData sheetId="7"/>
      <sheetData sheetId="8"/>
      <sheetData sheetId="9">
        <row r="106">
          <cell r="A106" t="str">
            <v>None</v>
          </cell>
        </row>
        <row r="107">
          <cell r="A107" t="str">
            <v>Audited</v>
          </cell>
        </row>
        <row r="108">
          <cell r="A108" t="str">
            <v>Draft Audit</v>
          </cell>
        </row>
        <row r="109">
          <cell r="A109" t="str">
            <v>Management</v>
          </cell>
        </row>
        <row r="110">
          <cell r="A110" t="str">
            <v>Projected</v>
          </cell>
        </row>
      </sheetData>
      <sheetData sheetId="10"/>
      <sheetData sheetId="11" refreshError="1"/>
      <sheetData sheetId="12" refreshError="1"/>
      <sheetData sheetId="13"/>
      <sheetData sheetId="14"/>
      <sheetData sheetId="15"/>
      <sheetData sheetId="16"/>
      <sheetData sheetId="17"/>
      <sheetData sheetId="18"/>
      <sheetData sheetId="19"/>
      <sheetData sheetId="20">
        <row r="106">
          <cell r="A106" t="str">
            <v>None</v>
          </cell>
        </row>
      </sheetData>
      <sheetData sheetId="21"/>
      <sheetData sheetId="22"/>
      <sheetData sheetId="23"/>
      <sheetData sheetId="24"/>
      <sheetData sheetId="25"/>
      <sheetData sheetId="26"/>
      <sheetData sheetId="27"/>
      <sheetData sheetId="28"/>
      <sheetData sheetId="29"/>
      <sheetData sheetId="30">
        <row r="106">
          <cell r="A106" t="str">
            <v>None</v>
          </cell>
        </row>
      </sheetData>
      <sheetData sheetId="3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pany Input Sheet 1"/>
      <sheetName val="Exchange Rate Sensitivity"/>
      <sheetName val="Company Input Sheet 2"/>
      <sheetName val="Sustainable Growth Model"/>
      <sheetName val="Previous v Actual"/>
      <sheetName val="Benchmarking Analysis"/>
      <sheetName val="Graphs"/>
      <sheetName val="Sensitivity Analysis"/>
      <sheetName val="EI DA Input Sheet"/>
      <sheetName val="EI Document Tables"/>
      <sheetName val="Graphs2"/>
      <sheetName val="EI Econ Model Sheet"/>
      <sheetName val="EI Cost Benefit"/>
    </sheetNames>
    <sheetDataSet>
      <sheetData sheetId="0"/>
      <sheetData sheetId="1">
        <row r="14">
          <cell r="E14">
            <v>44196</v>
          </cell>
        </row>
      </sheetData>
      <sheetData sheetId="2"/>
      <sheetData sheetId="3"/>
      <sheetData sheetId="4"/>
      <sheetData sheetId="5"/>
      <sheetData sheetId="6"/>
      <sheetData sheetId="7"/>
      <sheetData sheetId="8"/>
      <sheetData sheetId="9">
        <row r="30">
          <cell r="E30">
            <v>0</v>
          </cell>
        </row>
      </sheetData>
      <sheetData sheetId="10">
        <row r="218">
          <cell r="E218">
            <v>0</v>
          </cell>
        </row>
      </sheetData>
      <sheetData sheetId="11"/>
      <sheetData sheetId="12">
        <row r="106">
          <cell r="A106" t="str">
            <v>None</v>
          </cell>
        </row>
        <row r="107">
          <cell r="A107" t="str">
            <v>Audited</v>
          </cell>
        </row>
        <row r="108">
          <cell r="A108" t="str">
            <v>Draft Audit</v>
          </cell>
        </row>
        <row r="109">
          <cell r="A109" t="str">
            <v>Management</v>
          </cell>
        </row>
        <row r="110">
          <cell r="A110" t="str">
            <v>Projected</v>
          </cell>
        </row>
      </sheetData>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onthly - Budget"/>
      <sheetName val="PO Tracker"/>
      <sheetName val="Monthly - PO Committed"/>
      <sheetName val="Monthly - Planned"/>
      <sheetName val="Monthly -  Spent"/>
      <sheetName val="Expenses"/>
      <sheetName val="Sheet2"/>
    </sheetNames>
    <sheetDataSet>
      <sheetData sheetId="0"/>
      <sheetData sheetId="1"/>
      <sheetData sheetId="2"/>
      <sheetData sheetId="3"/>
      <sheetData sheetId="4"/>
      <sheetData sheetId="5"/>
      <sheetData sheetId="6"/>
      <sheetData sheetId="7">
        <row r="1">
          <cell r="C1" t="str">
            <v>512010 Media</v>
          </cell>
        </row>
        <row r="2">
          <cell r="C2" t="str">
            <v>512030 Marketing Support</v>
          </cell>
        </row>
        <row r="3">
          <cell r="C3" t="str">
            <v>512035 Sampling</v>
          </cell>
        </row>
        <row r="4">
          <cell r="C4" t="str">
            <v>512045 Research</v>
          </cell>
        </row>
        <row r="5">
          <cell r="C5" t="str">
            <v>512040 Design &amp; Origination - ECB /OhMy!</v>
          </cell>
        </row>
        <row r="6">
          <cell r="C6" t="str">
            <v>512041 Design &amp; Origination - PL</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vt"/>
      <sheetName val="raw"/>
      <sheetName val="Sheet1"/>
    </sheetNames>
    <sheetDataSet>
      <sheetData sheetId="0"/>
      <sheetData sheetId="1"/>
      <sheetData sheetId="2">
        <row r="1">
          <cell r="A1" t="str">
            <v>Supplier</v>
          </cell>
          <cell r="B1" t="str">
            <v>Supplier name</v>
          </cell>
          <cell r="C1" t="str">
            <v>Customer</v>
          </cell>
        </row>
        <row r="2">
          <cell r="A2" t="str">
            <v>S00095</v>
          </cell>
          <cell r="B2" t="str">
            <v>TNT</v>
          </cell>
          <cell r="C2" t="str">
            <v>Samples &amp; Robin</v>
          </cell>
        </row>
        <row r="3">
          <cell r="A3" t="str">
            <v>S00160</v>
          </cell>
          <cell r="B3" t="str">
            <v>rc2/ CASSIDY COURIERS</v>
          </cell>
          <cell r="C3" t="str">
            <v>Lidl NI</v>
          </cell>
        </row>
        <row r="4">
          <cell r="A4" t="str">
            <v>S00273</v>
          </cell>
          <cell r="B4" t="str">
            <v>GBH Exhibition Forwarding Ltd</v>
          </cell>
          <cell r="C4" t="str">
            <v>Marketing</v>
          </cell>
        </row>
        <row r="5">
          <cell r="A5" t="str">
            <v>S00299</v>
          </cell>
          <cell r="B5" t="str">
            <v>Dunsany Logistics Ltd</v>
          </cell>
          <cell r="C5" t="str">
            <v>Aldi &amp; Valeo  &amp; Lidl ROI</v>
          </cell>
        </row>
        <row r="6">
          <cell r="A6" t="str">
            <v>S00311</v>
          </cell>
          <cell r="B6" t="str">
            <v>Mulgrew Haulage</v>
          </cell>
          <cell r="C6" t="str">
            <v>Hills &amp; Lidl NI</v>
          </cell>
        </row>
        <row r="7">
          <cell r="A7" t="str">
            <v>S00325</v>
          </cell>
          <cell r="B7" t="str">
            <v>Redhead International</v>
          </cell>
          <cell r="C7" t="str">
            <v>Marketing</v>
          </cell>
        </row>
        <row r="8">
          <cell r="A8" t="str">
            <v>S00368</v>
          </cell>
          <cell r="B8" t="str">
            <v>Capital Logistics</v>
          </cell>
          <cell r="C8" t="str">
            <v>Supermacs</v>
          </cell>
        </row>
        <row r="9">
          <cell r="A9" t="str">
            <v>S00377</v>
          </cell>
          <cell r="B9" t="str">
            <v>Damco Logistics Ireland</v>
          </cell>
          <cell r="C9" t="str">
            <v>Cost plus</v>
          </cell>
        </row>
        <row r="10">
          <cell r="A10" t="str">
            <v>S00378</v>
          </cell>
          <cell r="B10" t="str">
            <v>Albatrans Ltd</v>
          </cell>
          <cell r="C10" t="str">
            <v>Cost plus</v>
          </cell>
        </row>
        <row r="11">
          <cell r="A11" t="str">
            <v>S00389</v>
          </cell>
          <cell r="B11" t="str">
            <v>O Tooles</v>
          </cell>
          <cell r="C11" t="str">
            <v>Morrissons  &amp; Regal</v>
          </cell>
        </row>
        <row r="12">
          <cell r="A12" t="str">
            <v>C00016</v>
          </cell>
          <cell r="B12" t="str">
            <v>T&amp;R</v>
          </cell>
          <cell r="C12" t="str">
            <v>T&amp;R</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of items used"/>
      <sheetName val="pvt"/>
      <sheetName val="Trials for OEE"/>
      <sheetName val="raw"/>
      <sheetName val="lookup"/>
      <sheetName val="Sheet4"/>
    </sheetNames>
    <sheetDataSet>
      <sheetData sheetId="0"/>
      <sheetData sheetId="1"/>
      <sheetData sheetId="2"/>
      <sheetData sheetId="3"/>
      <sheetData sheetId="4">
        <row r="1">
          <cell r="A1" t="str">
            <v>Product No.</v>
          </cell>
        </row>
        <row r="2">
          <cell r="E2" t="str">
            <v>03.04.18</v>
          </cell>
          <cell r="F2" t="str">
            <v>Wk 5</v>
          </cell>
        </row>
        <row r="3">
          <cell r="E3" t="str">
            <v>04.04.18</v>
          </cell>
          <cell r="F3" t="str">
            <v>Wk 5</v>
          </cell>
        </row>
        <row r="4">
          <cell r="E4" t="str">
            <v>08.03.18</v>
          </cell>
          <cell r="F4" t="str">
            <v>Wk 1</v>
          </cell>
        </row>
        <row r="5">
          <cell r="E5" t="str">
            <v>12.03.18</v>
          </cell>
          <cell r="F5" t="str">
            <v>Wk 2</v>
          </cell>
        </row>
        <row r="6">
          <cell r="E6" t="str">
            <v>12.04.18</v>
          </cell>
          <cell r="F6" t="str">
            <v>Wk 6</v>
          </cell>
        </row>
        <row r="7">
          <cell r="E7" t="str">
            <v>12.06.18</v>
          </cell>
          <cell r="F7" t="str">
            <v>Wk 15</v>
          </cell>
        </row>
        <row r="8">
          <cell r="E8" t="str">
            <v>13.03.18</v>
          </cell>
          <cell r="F8" t="str">
            <v>Wk 2</v>
          </cell>
        </row>
        <row r="9">
          <cell r="E9" t="str">
            <v>13.06.18</v>
          </cell>
          <cell r="F9" t="str">
            <v>Wk 15</v>
          </cell>
        </row>
        <row r="10">
          <cell r="E10" t="str">
            <v>14.03.18</v>
          </cell>
          <cell r="F10" t="str">
            <v>Wk 2</v>
          </cell>
        </row>
        <row r="11">
          <cell r="E11" t="str">
            <v>16.03.18</v>
          </cell>
          <cell r="F11" t="str">
            <v>Wk 2</v>
          </cell>
        </row>
        <row r="12">
          <cell r="E12" t="str">
            <v>17.04.18</v>
          </cell>
          <cell r="F12" t="str">
            <v>Wk 7</v>
          </cell>
        </row>
        <row r="13">
          <cell r="E13" t="str">
            <v>19.04.18</v>
          </cell>
          <cell r="F13" t="str">
            <v>Wk 7</v>
          </cell>
        </row>
        <row r="14">
          <cell r="E14" t="str">
            <v>20.04.18</v>
          </cell>
          <cell r="F14" t="str">
            <v>Wk 7</v>
          </cell>
        </row>
        <row r="15">
          <cell r="E15" t="str">
            <v>24.05.18</v>
          </cell>
          <cell r="F15" t="str">
            <v>Wk 12</v>
          </cell>
        </row>
        <row r="16">
          <cell r="E16" t="str">
            <v>25.05.18</v>
          </cell>
          <cell r="F16" t="str">
            <v>Wk 12</v>
          </cell>
        </row>
        <row r="17">
          <cell r="E17" t="str">
            <v>31.05.18</v>
          </cell>
          <cell r="F17" t="str">
            <v>Wk 13</v>
          </cell>
        </row>
      </sheetData>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rol list"/>
      <sheetName val="FY'19"/>
    </sheetNames>
    <sheetDataSet>
      <sheetData sheetId="0"/>
      <sheetData sheetId="1">
        <row r="1">
          <cell r="A1" t="str">
            <v>Item No.</v>
          </cell>
          <cell r="B1" t="str">
            <v>Item Description</v>
          </cell>
          <cell r="C1" t="str">
            <v>Item Group</v>
          </cell>
        </row>
        <row r="2">
          <cell r="A2" t="str">
            <v>Carriage In</v>
          </cell>
          <cell r="B2" t="str">
            <v>Freight In / Delivery Charges Inbound</v>
          </cell>
          <cell r="C2" t="str">
            <v>Freight</v>
          </cell>
        </row>
        <row r="3">
          <cell r="A3" t="str">
            <v>CO00003</v>
          </cell>
          <cell r="B3" t="str">
            <v>Thermal Label White - 11808</v>
          </cell>
          <cell r="C3" t="str">
            <v>Consumables</v>
          </cell>
        </row>
        <row r="4">
          <cell r="A4" t="str">
            <v>CO00004</v>
          </cell>
          <cell r="B4" t="str">
            <v>Std 3520 Ribbon 55 x 1000</v>
          </cell>
          <cell r="C4" t="str">
            <v>Consumables</v>
          </cell>
        </row>
        <row r="5">
          <cell r="A5" t="str">
            <v>CO00005</v>
          </cell>
          <cell r="B5" t="str">
            <v>Strapping for Baling Machine</v>
          </cell>
          <cell r="C5" t="str">
            <v>Consumables</v>
          </cell>
        </row>
        <row r="6">
          <cell r="A6" t="str">
            <v>ED00003</v>
          </cell>
          <cell r="B6" t="str">
            <v>Sugar Granulated 25KG</v>
          </cell>
          <cell r="C6" t="str">
            <v>Ingredients</v>
          </cell>
        </row>
        <row r="7">
          <cell r="A7" t="str">
            <v>ED00004</v>
          </cell>
          <cell r="B7" t="str">
            <v>Palm Oil B001 (SG) 12.5 Kg</v>
          </cell>
          <cell r="C7" t="str">
            <v>Ingredients</v>
          </cell>
        </row>
        <row r="8">
          <cell r="A8" t="str">
            <v>ED00006</v>
          </cell>
          <cell r="B8" t="str">
            <v>Liquid Butter F - 19296  25 Kg</v>
          </cell>
          <cell r="C8" t="str">
            <v>Ingredients</v>
          </cell>
        </row>
        <row r="9">
          <cell r="A9" t="str">
            <v>ED00007</v>
          </cell>
          <cell r="B9" t="str">
            <v>Whey Powder  25 KG ( Y )</v>
          </cell>
          <cell r="C9" t="str">
            <v>Ingredients</v>
          </cell>
        </row>
        <row r="10">
          <cell r="A10" t="str">
            <v>ED00017</v>
          </cell>
          <cell r="B10" t="str">
            <v>Apollo Flour Bulk</v>
          </cell>
          <cell r="C10" t="str">
            <v>Ingredients</v>
          </cell>
        </row>
        <row r="11">
          <cell r="A11" t="str">
            <v>ED00020</v>
          </cell>
          <cell r="B11" t="str">
            <v>Porridge Oat Flakes ( 25 Kgs )  ( Y )</v>
          </cell>
          <cell r="C11" t="str">
            <v>Ingredients</v>
          </cell>
        </row>
        <row r="12">
          <cell r="A12" t="str">
            <v>ED00022</v>
          </cell>
          <cell r="B12" t="str">
            <v>Treacle 25 Kg</v>
          </cell>
          <cell r="C12" t="str">
            <v>Ingredients</v>
          </cell>
        </row>
        <row r="13">
          <cell r="A13" t="str">
            <v>ED00023</v>
          </cell>
          <cell r="B13" t="str">
            <v>Hazelnuts Whole Skin 25 Kg ( 420 ) ( O )</v>
          </cell>
          <cell r="C13" t="str">
            <v>Ingredients</v>
          </cell>
        </row>
        <row r="14">
          <cell r="A14" t="str">
            <v>ED00026</v>
          </cell>
          <cell r="B14" t="str">
            <v>Caramel Pieces Rounded SG 7Kg</v>
          </cell>
          <cell r="C14" t="str">
            <v>Ingredients</v>
          </cell>
        </row>
        <row r="15">
          <cell r="A15" t="str">
            <v>ED00027</v>
          </cell>
          <cell r="B15" t="str">
            <v>Desiccated Coconut  25 Kg ( 437 )  ( W )</v>
          </cell>
          <cell r="C15" t="str">
            <v>Ingredients</v>
          </cell>
        </row>
        <row r="16">
          <cell r="A16" t="str">
            <v>ED00032</v>
          </cell>
          <cell r="B16" t="str">
            <v>Sweet Glucose Syrup 1017000 IBC</v>
          </cell>
          <cell r="C16" t="str">
            <v>Ingredients</v>
          </cell>
        </row>
        <row r="17">
          <cell r="A17" t="str">
            <v>ED00034</v>
          </cell>
          <cell r="B17" t="str">
            <v>Cornish Sea Salt 1.5 Kg</v>
          </cell>
          <cell r="C17" t="str">
            <v>Ingredients</v>
          </cell>
        </row>
        <row r="18">
          <cell r="A18" t="str">
            <v>ED00035</v>
          </cell>
          <cell r="B18" t="str">
            <v>Cocoa Powder 25 Kg ( W )</v>
          </cell>
          <cell r="C18" t="str">
            <v>Ingredients</v>
          </cell>
        </row>
        <row r="19">
          <cell r="A19" t="str">
            <v>ED00038</v>
          </cell>
          <cell r="B19" t="str">
            <v>Whole Cranberries 11.34 Kg  ( 463 )</v>
          </cell>
          <cell r="C19" t="str">
            <v>Ingredients</v>
          </cell>
        </row>
        <row r="20">
          <cell r="A20" t="str">
            <v>ED00039</v>
          </cell>
          <cell r="B20" t="str">
            <v>Ginger Pieces 5x8 mm 20 Kg ( 513 )</v>
          </cell>
          <cell r="C20" t="str">
            <v>Ingredients</v>
          </cell>
        </row>
        <row r="21">
          <cell r="A21" t="str">
            <v>ED00040</v>
          </cell>
          <cell r="B21" t="str">
            <v>Chocolate Chips 42% ( 12000 ) 16694 Cemoi</v>
          </cell>
          <cell r="C21" t="str">
            <v>Ingredients</v>
          </cell>
        </row>
        <row r="22">
          <cell r="A22" t="str">
            <v>ED00042</v>
          </cell>
          <cell r="B22" t="str">
            <v>Pecan Halfs 4840 ( 13.6 Kg )  ( O )</v>
          </cell>
          <cell r="C22" t="str">
            <v>Ingredients</v>
          </cell>
        </row>
        <row r="23">
          <cell r="A23" t="str">
            <v>ED00043</v>
          </cell>
          <cell r="B23" t="str">
            <v>Golden Syrup 1250KG T &amp; L</v>
          </cell>
          <cell r="C23" t="str">
            <v>Ingredients</v>
          </cell>
        </row>
        <row r="24">
          <cell r="A24" t="str">
            <v>ED00045</v>
          </cell>
          <cell r="B24" t="str">
            <v>Raisins Thompsons 10 Kg  ( 4644 )</v>
          </cell>
          <cell r="C24" t="str">
            <v>Ingredients</v>
          </cell>
        </row>
        <row r="25">
          <cell r="A25" t="str">
            <v>ED00046</v>
          </cell>
          <cell r="B25" t="str">
            <v>Butter 25kgs  ( Y )</v>
          </cell>
          <cell r="C25" t="str">
            <v>Ingredients</v>
          </cell>
        </row>
        <row r="26">
          <cell r="A26" t="str">
            <v>ED00048</v>
          </cell>
          <cell r="B26" t="str">
            <v>Sodium Acid ( SAPP 28 ) Haifa</v>
          </cell>
          <cell r="C26" t="str">
            <v>Ingredients</v>
          </cell>
        </row>
        <row r="27">
          <cell r="A27" t="str">
            <v>ED00049</v>
          </cell>
          <cell r="B27" t="str">
            <v>Mocha Chocolate Splinters HL2226AASFC0025B2</v>
          </cell>
          <cell r="C27" t="str">
            <v>Ingredients</v>
          </cell>
        </row>
        <row r="28">
          <cell r="A28" t="str">
            <v>ED00050</v>
          </cell>
          <cell r="B28" t="str">
            <v>Dark Chocolate Chunk 10x10x4 5524-26 ( Cargill )</v>
          </cell>
          <cell r="C28" t="str">
            <v>Ingredients</v>
          </cell>
        </row>
        <row r="29">
          <cell r="A29" t="str">
            <v>ED00051</v>
          </cell>
          <cell r="B29" t="str">
            <v>Milk Chocolate 10x10x4. M27 (Cargill ) ( Y )</v>
          </cell>
          <cell r="C29" t="str">
            <v>Ingredients</v>
          </cell>
        </row>
        <row r="30">
          <cell r="A30" t="str">
            <v>ED00052</v>
          </cell>
          <cell r="B30" t="str">
            <v>White Chocolate Chunks 10x10x4 W29 ( Cargill )</v>
          </cell>
          <cell r="C30" t="str">
            <v>Ingredients</v>
          </cell>
        </row>
        <row r="31">
          <cell r="A31" t="str">
            <v>ED00053</v>
          </cell>
          <cell r="B31" t="str">
            <v>Sunrise Soya Lecithin Liquid  205KG  ( Y )</v>
          </cell>
          <cell r="C31" t="str">
            <v>Ingredients</v>
          </cell>
        </row>
        <row r="32">
          <cell r="A32" t="str">
            <v>ED00054</v>
          </cell>
          <cell r="B32" t="str">
            <v>Dark Chocolate Ch 8x8x3.5mm HC5027ALCHS0025A01</v>
          </cell>
          <cell r="C32" t="str">
            <v>Ingredients</v>
          </cell>
        </row>
        <row r="33">
          <cell r="A33" t="str">
            <v>ED00055</v>
          </cell>
          <cell r="B33" t="str">
            <v>Milk Chocolate 32% Buttons 25 Kg ( 26307 )</v>
          </cell>
          <cell r="C33" t="str">
            <v>Ingredients</v>
          </cell>
        </row>
        <row r="34">
          <cell r="A34" t="str">
            <v>ED00056</v>
          </cell>
          <cell r="B34" t="str">
            <v>Sugar Granulated ( Bulk )</v>
          </cell>
          <cell r="C34" t="str">
            <v>Ingredients</v>
          </cell>
        </row>
        <row r="35">
          <cell r="A35" t="str">
            <v>ED00057</v>
          </cell>
          <cell r="B35" t="str">
            <v>AMF Butter Oil 25 KG</v>
          </cell>
          <cell r="C35" t="str">
            <v>Ingredients</v>
          </cell>
        </row>
        <row r="36">
          <cell r="A36" t="str">
            <v>ED00058</v>
          </cell>
          <cell r="B36" t="str">
            <v>Porridge Oats ( Tote )</v>
          </cell>
          <cell r="C36" t="str">
            <v>Ingredients</v>
          </cell>
        </row>
        <row r="37">
          <cell r="A37" t="str">
            <v>ED00059</v>
          </cell>
          <cell r="B37" t="str">
            <v>Apollo Flour  25kgs</v>
          </cell>
          <cell r="C37" t="str">
            <v>Ingredients</v>
          </cell>
        </row>
        <row r="38">
          <cell r="A38" t="str">
            <v>ED00060</v>
          </cell>
          <cell r="B38" t="str">
            <v>Chinese Ground Ginger HT ( 5215 )</v>
          </cell>
          <cell r="C38" t="str">
            <v>Ingredients</v>
          </cell>
        </row>
        <row r="39">
          <cell r="A39" t="str">
            <v>ED00061</v>
          </cell>
          <cell r="B39" t="str">
            <v>Apollo Flour Bagged 25KGS ( Y )</v>
          </cell>
          <cell r="C39" t="str">
            <v>Ingredients</v>
          </cell>
        </row>
        <row r="40">
          <cell r="A40" t="str">
            <v>ED00062</v>
          </cell>
          <cell r="B40" t="str">
            <v>Chocolate Drops  HC4525AHOO</v>
          </cell>
          <cell r="C40" t="str">
            <v>Ingredients</v>
          </cell>
        </row>
        <row r="41">
          <cell r="A41" t="str">
            <v>ED00063</v>
          </cell>
          <cell r="B41" t="str">
            <v>Ammonium Bicarbonate ( 25 KGs ) BASF</v>
          </cell>
          <cell r="C41" t="str">
            <v>Ingredients</v>
          </cell>
        </row>
        <row r="42">
          <cell r="A42" t="str">
            <v>ED00064</v>
          </cell>
          <cell r="B42" t="str">
            <v>Meritena Wheat Starch 25 KG ( Y )</v>
          </cell>
          <cell r="C42" t="str">
            <v>Ingredients</v>
          </cell>
        </row>
        <row r="43">
          <cell r="A43" t="str">
            <v>ED00065</v>
          </cell>
          <cell r="B43" t="str">
            <v>Chocolate Drop ( 7500/KG ) 25 KG HC4525AIDNS0025A56</v>
          </cell>
          <cell r="C43" t="str">
            <v>Ingredients</v>
          </cell>
        </row>
        <row r="44">
          <cell r="A44" t="str">
            <v>ED00066</v>
          </cell>
          <cell r="B44" t="str">
            <v>Chocolate Chunk 9*9*3.5mm HC4525AICHC0020E08 20KG</v>
          </cell>
          <cell r="C44" t="str">
            <v>Ingredients</v>
          </cell>
        </row>
        <row r="45">
          <cell r="A45" t="str">
            <v>ED00067</v>
          </cell>
          <cell r="B45" t="str">
            <v>Chocolate Drops ( 12000/KG ) 25 KG HC4525AIDNS0025B00 ( Y )</v>
          </cell>
          <cell r="C45" t="str">
            <v>Ingredients</v>
          </cell>
        </row>
        <row r="46">
          <cell r="A46" t="str">
            <v>ED00068</v>
          </cell>
          <cell r="B46" t="str">
            <v>Tartaric Acid 25 KG</v>
          </cell>
          <cell r="C46" t="str">
            <v>Ingredients</v>
          </cell>
        </row>
        <row r="47">
          <cell r="A47" t="str">
            <v>ED00069</v>
          </cell>
          <cell r="B47" t="str">
            <v>Biscuit Wholemeal 25 KGs ( Odlums)</v>
          </cell>
          <cell r="C47" t="str">
            <v>Ingredients</v>
          </cell>
        </row>
        <row r="48">
          <cell r="A48" t="str">
            <v>ED00070</v>
          </cell>
          <cell r="B48" t="str">
            <v>Wholemeal Flour 25KGS ( Whitworth Bros )</v>
          </cell>
          <cell r="C48" t="str">
            <v>Ingredients</v>
          </cell>
        </row>
        <row r="49">
          <cell r="A49" t="str">
            <v>ED00071</v>
          </cell>
          <cell r="B49" t="str">
            <v>CS07 Ragus Refiners Syrup 1250 KG</v>
          </cell>
          <cell r="C49" t="str">
            <v>Ingredients</v>
          </cell>
        </row>
        <row r="50">
          <cell r="A50" t="str">
            <v>ED00072</v>
          </cell>
          <cell r="B50" t="str">
            <v>Chocolate 44% Cocoa solid chips 10 KG</v>
          </cell>
          <cell r="C50" t="str">
            <v>Ingredients</v>
          </cell>
        </row>
        <row r="51">
          <cell r="A51" t="str">
            <v>ED00073</v>
          </cell>
          <cell r="B51" t="str">
            <v>Sodium acid ( SAPP 28 ) Brenntag</v>
          </cell>
          <cell r="C51" t="str">
            <v>Ingredients</v>
          </cell>
        </row>
        <row r="52">
          <cell r="A52" t="str">
            <v>ED00074</v>
          </cell>
          <cell r="B52" t="str">
            <v>LEMON OIL SOUTH AFRICAN  5 Kg</v>
          </cell>
          <cell r="C52" t="str">
            <v>Ingredients</v>
          </cell>
        </row>
        <row r="53">
          <cell r="A53" t="str">
            <v>ED00075</v>
          </cell>
          <cell r="B53" t="str">
            <v>Bulk Flour ( Allied Mills )</v>
          </cell>
          <cell r="C53" t="str">
            <v>Ingredients</v>
          </cell>
        </row>
        <row r="54">
          <cell r="A54" t="str">
            <v>ED00077</v>
          </cell>
          <cell r="B54" t="str">
            <v>Chocolate non vibrated drops 11000/Kg CP11CS Cargill</v>
          </cell>
          <cell r="C54" t="str">
            <v>Ingredients</v>
          </cell>
        </row>
        <row r="55">
          <cell r="A55" t="str">
            <v>ED00078</v>
          </cell>
          <cell r="B55" t="str">
            <v>Dark Chocolate PO 141362 - 540 11000/Kg Griffin</v>
          </cell>
          <cell r="C55" t="str">
            <v>Ingredients</v>
          </cell>
        </row>
        <row r="56">
          <cell r="A56" t="str">
            <v>ED00079</v>
          </cell>
          <cell r="B56" t="str">
            <v>Jumbo Porridge Oat Flakes</v>
          </cell>
          <cell r="C56" t="str">
            <v>Ingredients</v>
          </cell>
        </row>
        <row r="57">
          <cell r="A57" t="str">
            <v>ED00081</v>
          </cell>
          <cell r="B57" t="str">
            <v>Liquid Vanilla Flavour 140.00328</v>
          </cell>
          <cell r="C57" t="str">
            <v>Ingredients</v>
          </cell>
        </row>
        <row r="58">
          <cell r="A58" t="str">
            <v>ED00082</v>
          </cell>
          <cell r="B58" t="str">
            <v>Liquid Coconut Flavour XE-408-595-6 MB.</v>
          </cell>
          <cell r="C58" t="str">
            <v>Ingredients</v>
          </cell>
        </row>
        <row r="59">
          <cell r="A59" t="str">
            <v>ED00084</v>
          </cell>
          <cell r="B59" t="str">
            <v>Sodium Bicarbonate Powder 25 KG ( Brenntag )</v>
          </cell>
          <cell r="C59" t="str">
            <v>Ingredients</v>
          </cell>
        </row>
        <row r="60">
          <cell r="A60" t="str">
            <v>ED00085</v>
          </cell>
          <cell r="B60" t="str">
            <v>Chocolate Drops 12000/KG 42% 15915 ( UTZ MB ) 25 KG  ( Y )</v>
          </cell>
          <cell r="C60" t="str">
            <v>Ingredients</v>
          </cell>
        </row>
        <row r="61">
          <cell r="A61" t="str">
            <v>ED00086</v>
          </cell>
          <cell r="B61" t="str">
            <v>Ground Cinnamon 25 kg</v>
          </cell>
          <cell r="C61" t="str">
            <v>Ingredients</v>
          </cell>
        </row>
        <row r="62">
          <cell r="A62" t="str">
            <v>ED00087</v>
          </cell>
          <cell r="B62" t="str">
            <v>Flaked Almonds 12.5 KG ( O )</v>
          </cell>
          <cell r="C62" t="str">
            <v>Ingredients</v>
          </cell>
        </row>
        <row r="63">
          <cell r="A63" t="str">
            <v>ED00088</v>
          </cell>
          <cell r="B63" t="str">
            <v>Roasted Whole  Hazelnuts 25KG ( O ) F1513</v>
          </cell>
          <cell r="C63" t="str">
            <v>Ingredients</v>
          </cell>
        </row>
        <row r="64">
          <cell r="A64" t="str">
            <v>ED00089</v>
          </cell>
          <cell r="B64" t="str">
            <v>Pumpkin Seeds 25KG ( W )  F1412</v>
          </cell>
          <cell r="C64" t="str">
            <v>Ingredients</v>
          </cell>
        </row>
        <row r="65">
          <cell r="A65" t="str">
            <v>ED00090</v>
          </cell>
          <cell r="B65" t="str">
            <v>Sunflower Seeds 25 KG ( W )  F1413</v>
          </cell>
          <cell r="C65" t="str">
            <v>Ingredients</v>
          </cell>
        </row>
        <row r="66">
          <cell r="A66" t="str">
            <v>ED00091</v>
          </cell>
          <cell r="B66" t="str">
            <v>Raisins 12.5 KG   ( W )  F0305</v>
          </cell>
          <cell r="C66" t="str">
            <v>Ingredients</v>
          </cell>
        </row>
        <row r="67">
          <cell r="A67" t="str">
            <v>ED00093</v>
          </cell>
          <cell r="B67" t="str">
            <v>Flour 25KGS ( Allied Mills )</v>
          </cell>
          <cell r="C67" t="str">
            <v>Ingredients</v>
          </cell>
        </row>
        <row r="68">
          <cell r="A68" t="str">
            <v>ED00094</v>
          </cell>
          <cell r="B68" t="str">
            <v>Chocolate  Drops 7500/kg SV UTZ ( 15903 )</v>
          </cell>
          <cell r="C68" t="str">
            <v>Ingredients</v>
          </cell>
        </row>
        <row r="69">
          <cell r="A69" t="str">
            <v>ED00095</v>
          </cell>
          <cell r="B69" t="str">
            <v>Bulk Chocolate</v>
          </cell>
          <cell r="C69" t="str">
            <v>Ingredients</v>
          </cell>
        </row>
        <row r="70">
          <cell r="A70" t="str">
            <v>ED00097</v>
          </cell>
          <cell r="B70" t="str">
            <v>Small Greek Currants ( 80.05 )</v>
          </cell>
          <cell r="C70" t="str">
            <v>Ingredients</v>
          </cell>
        </row>
        <row r="71">
          <cell r="A71" t="str">
            <v>ED00098</v>
          </cell>
          <cell r="B71" t="str">
            <v>British Sugar 25Kg Medium Sugar ( 55522 )</v>
          </cell>
          <cell r="C71" t="str">
            <v>Ingredients</v>
          </cell>
        </row>
        <row r="72">
          <cell r="A72" t="str">
            <v>ED00121</v>
          </cell>
          <cell r="B72" t="str">
            <v>Soy Protein Crisp 00639IP - X PGP</v>
          </cell>
          <cell r="C72" t="str">
            <v>Ingredients</v>
          </cell>
        </row>
        <row r="73">
          <cell r="A73" t="str">
            <v>ED00129</v>
          </cell>
          <cell r="B73" t="str">
            <v>Fine Dessicated Coconut Franklin Baker First Grade</v>
          </cell>
          <cell r="C73" t="str">
            <v>Ingredients</v>
          </cell>
        </row>
        <row r="74">
          <cell r="A74" t="str">
            <v>ED00130</v>
          </cell>
          <cell r="B74" t="str">
            <v>Ground Ginger GrG125kg ( Sleafords )</v>
          </cell>
          <cell r="C74" t="str">
            <v>Ingredients</v>
          </cell>
        </row>
        <row r="75">
          <cell r="A75" t="str">
            <v>ED00131</v>
          </cell>
          <cell r="B75" t="str">
            <v>Bran Bakers Neills ( 10KG ) Allied Mills</v>
          </cell>
          <cell r="C75" t="str">
            <v>Ingredients</v>
          </cell>
        </row>
        <row r="76">
          <cell r="A76" t="str">
            <v>PA00001</v>
          </cell>
          <cell r="B76" t="str">
            <v>Oh My Cookies Case Outer ( 200G )</v>
          </cell>
          <cell r="C76" t="str">
            <v>Packaging</v>
          </cell>
        </row>
        <row r="77">
          <cell r="A77" t="str">
            <v>PA00002</v>
          </cell>
          <cell r="B77" t="str">
            <v>Stock Box ( 246 x 246 x 254 )</v>
          </cell>
          <cell r="C77" t="str">
            <v>Packaging</v>
          </cell>
        </row>
        <row r="78">
          <cell r="A78" t="str">
            <v>PA00005</v>
          </cell>
          <cell r="B78" t="str">
            <v>Box Liners Blue</v>
          </cell>
          <cell r="C78" t="str">
            <v>Packaging</v>
          </cell>
        </row>
        <row r="79">
          <cell r="A79" t="str">
            <v>PA00009</v>
          </cell>
          <cell r="B79" t="str">
            <v>Machine Tape 50M x 900 Mtrs</v>
          </cell>
          <cell r="C79" t="str">
            <v>Packaging</v>
          </cell>
        </row>
        <row r="80">
          <cell r="A80" t="str">
            <v>PA00010</v>
          </cell>
          <cell r="B80" t="str">
            <v>Thermal Label White ( 12751 )</v>
          </cell>
          <cell r="C80" t="str">
            <v>Packaging</v>
          </cell>
        </row>
        <row r="81">
          <cell r="A81" t="str">
            <v>PA00013</v>
          </cell>
          <cell r="B81" t="str">
            <v>Hand Pallet Wrap 400 X17</v>
          </cell>
          <cell r="C81" t="str">
            <v>Packaging</v>
          </cell>
        </row>
        <row r="82">
          <cell r="A82" t="str">
            <v>PA00014</v>
          </cell>
          <cell r="B82" t="str">
            <v>Machine Pallet Film 500/23 PPS 18K</v>
          </cell>
          <cell r="C82" t="str">
            <v>Packaging</v>
          </cell>
        </row>
        <row r="83">
          <cell r="A83" t="str">
            <v>PA00017</v>
          </cell>
          <cell r="B83" t="str">
            <v>Blue Topcovers 750/1000 x1500x50mm</v>
          </cell>
          <cell r="C83" t="str">
            <v>Packaging</v>
          </cell>
        </row>
        <row r="84">
          <cell r="A84" t="str">
            <v>PA00018</v>
          </cell>
          <cell r="B84" t="str">
            <v>ECB 7 Cookie Tray 131 x 79 x 40mm ( 1525 )</v>
          </cell>
          <cell r="C84" t="str">
            <v>Packaging</v>
          </cell>
        </row>
        <row r="85">
          <cell r="A85" t="str">
            <v>PA00019</v>
          </cell>
          <cell r="B85" t="str">
            <v>ECB 8 Cookie Tray 139 x 79 x 40mm ( 1526 )</v>
          </cell>
          <cell r="C85" t="str">
            <v>Packaging</v>
          </cell>
        </row>
        <row r="86">
          <cell r="A86" t="str">
            <v>PA00020</v>
          </cell>
          <cell r="B86" t="str">
            <v>Oh My Choc Chip Cookies 200g Film</v>
          </cell>
          <cell r="C86" t="str">
            <v>Packaging</v>
          </cell>
        </row>
        <row r="87">
          <cell r="A87" t="str">
            <v>PA00021</v>
          </cell>
          <cell r="B87" t="str">
            <v>Thermal Label Orange 127mm X 200 mm ( 13113 )</v>
          </cell>
          <cell r="C87" t="str">
            <v>Packaging</v>
          </cell>
        </row>
        <row r="88">
          <cell r="A88" t="str">
            <v>PA00022</v>
          </cell>
          <cell r="B88" t="str">
            <v>Therrmal Label White 152mm X 200mm ( 12751)</v>
          </cell>
          <cell r="C88" t="str">
            <v>Packaging</v>
          </cell>
        </row>
        <row r="89">
          <cell r="A89" t="str">
            <v>PA00023</v>
          </cell>
          <cell r="B89" t="str">
            <v>Oh My 200G Choc Chip Cookies outer X 24</v>
          </cell>
          <cell r="C89" t="str">
            <v>Packaging</v>
          </cell>
        </row>
        <row r="90">
          <cell r="A90" t="str">
            <v>PA00024</v>
          </cell>
          <cell r="B90" t="str">
            <v>Single Serve Chocolate Chunk Cookie  Film</v>
          </cell>
          <cell r="C90" t="str">
            <v>Packaging</v>
          </cell>
        </row>
        <row r="91">
          <cell r="A91" t="str">
            <v>PA00025</v>
          </cell>
          <cell r="B91" t="str">
            <v>Chocolate Chunk Cookie 160G Film</v>
          </cell>
          <cell r="C91" t="str">
            <v>Packaging</v>
          </cell>
        </row>
        <row r="92">
          <cell r="A92" t="str">
            <v>PA00026</v>
          </cell>
          <cell r="B92" t="str">
            <v>Caramel &amp; Pecan Cookie  160G Film</v>
          </cell>
          <cell r="C92" t="str">
            <v>Packaging</v>
          </cell>
        </row>
        <row r="93">
          <cell r="A93" t="str">
            <v>PA00027</v>
          </cell>
          <cell r="B93" t="str">
            <v>ECB Caramel &amp; Pecan Outers X 12</v>
          </cell>
          <cell r="C93" t="str">
            <v>Packaging</v>
          </cell>
        </row>
        <row r="94">
          <cell r="A94" t="str">
            <v>PA00028</v>
          </cell>
          <cell r="B94" t="str">
            <v>ECB Milk Chocolate Chunk Outers X 12</v>
          </cell>
          <cell r="C94" t="str">
            <v>Packaging</v>
          </cell>
        </row>
        <row r="95">
          <cell r="A95" t="str">
            <v>PA00029</v>
          </cell>
          <cell r="B95" t="str">
            <v>Stem Ginger 160G Film</v>
          </cell>
          <cell r="C95" t="str">
            <v>Packaging</v>
          </cell>
        </row>
        <row r="96">
          <cell r="A96" t="str">
            <v>PA00030</v>
          </cell>
          <cell r="B96" t="str">
            <v>Choc Enrobed Choc Chunk Film</v>
          </cell>
          <cell r="C96" t="str">
            <v>Packaging</v>
          </cell>
        </row>
        <row r="97">
          <cell r="A97" t="str">
            <v>PA00031</v>
          </cell>
          <cell r="B97" t="str">
            <v>JET 26 Red Bucket with plastic handle</v>
          </cell>
          <cell r="C97" t="str">
            <v>Packaging</v>
          </cell>
        </row>
        <row r="98">
          <cell r="A98" t="str">
            <v>PA00032</v>
          </cell>
          <cell r="B98" t="str">
            <v>DET 172 Red Lid</v>
          </cell>
          <cell r="C98" t="str">
            <v>Packaging</v>
          </cell>
        </row>
        <row r="99">
          <cell r="A99" t="str">
            <v>PA00033</v>
          </cell>
          <cell r="B99" t="str">
            <v>ECB Stem Ginger &amp; Chocolate Chunk Crunchy X 12 Outers</v>
          </cell>
          <cell r="C99" t="str">
            <v>Packaging</v>
          </cell>
        </row>
        <row r="100">
          <cell r="A100" t="str">
            <v>PA00034</v>
          </cell>
          <cell r="B100" t="str">
            <v>ECB Chocolate Enrobed Milk Choc Chunk Cookie X 12 Outers</v>
          </cell>
          <cell r="C100" t="str">
            <v>Packaging</v>
          </cell>
        </row>
        <row r="101">
          <cell r="A101" t="str">
            <v>PA00035</v>
          </cell>
          <cell r="B101" t="str">
            <v>Oh My Half Emrobbed Choc Chip cookie film</v>
          </cell>
          <cell r="C101" t="str">
            <v>Packaging</v>
          </cell>
        </row>
        <row r="102">
          <cell r="A102" t="str">
            <v>PA00036</v>
          </cell>
          <cell r="B102" t="str">
            <v>Oh My Half Emrobbed Choc chip Outer X 24</v>
          </cell>
          <cell r="C102" t="str">
            <v>Packaging</v>
          </cell>
        </row>
        <row r="103">
          <cell r="A103" t="str">
            <v>PA00037</v>
          </cell>
          <cell r="B103" t="str">
            <v>Oh My 6 x 700g Outer</v>
          </cell>
          <cell r="C103" t="str">
            <v>Packaging</v>
          </cell>
        </row>
        <row r="104">
          <cell r="A104" t="str">
            <v>PA00038</v>
          </cell>
          <cell r="B104" t="str">
            <v>200MM , 25 micron unprinted white OPP film</v>
          </cell>
          <cell r="C104" t="str">
            <v>Packaging</v>
          </cell>
        </row>
        <row r="105">
          <cell r="A105" t="str">
            <v>PA00039</v>
          </cell>
          <cell r="B105" t="str">
            <v>Crunch'ems Ginger Crunch 160G Film</v>
          </cell>
          <cell r="C105" t="str">
            <v>Packaging</v>
          </cell>
        </row>
        <row r="106">
          <cell r="A106" t="str">
            <v>PA00040</v>
          </cell>
          <cell r="B106" t="str">
            <v>Crunch'ems Coconut Crunch 160G Film</v>
          </cell>
          <cell r="C106" t="str">
            <v>Packaging</v>
          </cell>
        </row>
        <row r="107">
          <cell r="A107" t="str">
            <v>PA00041</v>
          </cell>
          <cell r="B107" t="str">
            <v>Milk Chocolate Enrobed Oat Biscuit 160G Film</v>
          </cell>
          <cell r="C107" t="str">
            <v>Packaging</v>
          </cell>
        </row>
        <row r="108">
          <cell r="A108" t="str">
            <v>PA00042</v>
          </cell>
          <cell r="B108" t="str">
            <v>Milk Chocolate Enrobed Butter Crunch 160G Film</v>
          </cell>
          <cell r="C108" t="str">
            <v>Packaging</v>
          </cell>
        </row>
        <row r="109">
          <cell r="A109" t="str">
            <v>PA00043</v>
          </cell>
          <cell r="B109" t="str">
            <v>ECB Crunch'ems Ginger Crunch x 12 Outers</v>
          </cell>
          <cell r="C109" t="str">
            <v>Packaging</v>
          </cell>
        </row>
        <row r="110">
          <cell r="A110" t="str">
            <v>PA00044</v>
          </cell>
          <cell r="B110" t="str">
            <v>ECB Crunch'ems Coconut Crunch x 12 Outers</v>
          </cell>
          <cell r="C110" t="str">
            <v>Packaging</v>
          </cell>
        </row>
        <row r="111">
          <cell r="A111" t="str">
            <v>PA00045</v>
          </cell>
          <cell r="B111" t="str">
            <v>ECB Milk Choc Enrobed Oat Biscuits X 12 Outers</v>
          </cell>
          <cell r="C111" t="str">
            <v>Packaging</v>
          </cell>
        </row>
        <row r="112">
          <cell r="A112" t="str">
            <v>PA00046</v>
          </cell>
          <cell r="B112" t="str">
            <v>ECB Milk Choc Enrobed Butter Crunch X 12 Outers</v>
          </cell>
          <cell r="C112" t="str">
            <v>Packaging</v>
          </cell>
        </row>
        <row r="113">
          <cell r="A113" t="str">
            <v>PA00047</v>
          </cell>
          <cell r="B113" t="str">
            <v>Girl Guide Outers</v>
          </cell>
          <cell r="C113" t="str">
            <v>Packaging</v>
          </cell>
        </row>
        <row r="114">
          <cell r="A114" t="str">
            <v>PA00051</v>
          </cell>
          <cell r="B114" t="str">
            <v>ECB Milk Choc Chunk HC Twin Catering Pack Film</v>
          </cell>
          <cell r="C114" t="str">
            <v>Packaging</v>
          </cell>
        </row>
        <row r="115">
          <cell r="A115" t="str">
            <v>PA00052</v>
          </cell>
          <cell r="B115" t="str">
            <v>30um White OPP x 200mm Film ( Inner )</v>
          </cell>
          <cell r="C115" t="str">
            <v>Packaging</v>
          </cell>
        </row>
        <row r="116">
          <cell r="A116" t="str">
            <v>PA00053</v>
          </cell>
          <cell r="B116" t="str">
            <v>Aldi Everyday Essentials CCC 8% Film</v>
          </cell>
          <cell r="C116" t="str">
            <v>Packaging</v>
          </cell>
        </row>
        <row r="117">
          <cell r="A117" t="str">
            <v>PA00054</v>
          </cell>
          <cell r="B117" t="str">
            <v>Belmont Choc chip cookies 25% Film</v>
          </cell>
          <cell r="C117" t="str">
            <v>Packaging</v>
          </cell>
        </row>
        <row r="118">
          <cell r="A118" t="str">
            <v>PA00055</v>
          </cell>
          <cell r="B118" t="str">
            <v>Oh My Choc Chip Cookies 200g Hebrew Film</v>
          </cell>
          <cell r="C118" t="str">
            <v>Packaging</v>
          </cell>
        </row>
        <row r="119">
          <cell r="A119" t="str">
            <v>PA00056</v>
          </cell>
          <cell r="B119" t="str">
            <v>Belmont Choc Chip Cookies by 30 LIDS</v>
          </cell>
          <cell r="C119" t="str">
            <v>Packaging</v>
          </cell>
        </row>
        <row r="120">
          <cell r="A120" t="str">
            <v>PA00057</v>
          </cell>
          <cell r="B120" t="str">
            <v>Belmont Choc Chip Cookies by 200G 30 Outers</v>
          </cell>
          <cell r="C120" t="str">
            <v>Packaging</v>
          </cell>
        </row>
        <row r="121">
          <cell r="A121" t="str">
            <v>PA00058</v>
          </cell>
          <cell r="B121" t="str">
            <v>ECB Milk Choc Chunk HC Catering Pack Box</v>
          </cell>
          <cell r="C121" t="str">
            <v>Packaging</v>
          </cell>
        </row>
        <row r="122">
          <cell r="A122" t="str">
            <v>PA00059</v>
          </cell>
          <cell r="B122" t="str">
            <v>Aldi Everyday Essentials CCC Outer</v>
          </cell>
          <cell r="C122" t="str">
            <v>Packaging</v>
          </cell>
        </row>
        <row r="123">
          <cell r="A123" t="str">
            <v>PA00060</v>
          </cell>
          <cell r="B123" t="str">
            <v>Aldi Everyday Essentials CCC 8% LID</v>
          </cell>
          <cell r="C123" t="str">
            <v>Packaging</v>
          </cell>
        </row>
        <row r="124">
          <cell r="A124" t="str">
            <v>PA00061</v>
          </cell>
          <cell r="B124" t="str">
            <v>ECB Single Choc Chunk Catering Pack Film</v>
          </cell>
          <cell r="C124" t="str">
            <v>Packaging</v>
          </cell>
        </row>
        <row r="125">
          <cell r="A125" t="str">
            <v>PA00062</v>
          </cell>
          <cell r="B125" t="str">
            <v>ECB Twin Choc Chunk Catering Pack Film</v>
          </cell>
          <cell r="C125" t="str">
            <v>Packaging</v>
          </cell>
        </row>
        <row r="126">
          <cell r="A126" t="str">
            <v>PA00063</v>
          </cell>
          <cell r="B126" t="str">
            <v>ECB Milk Choc Chunk Twin Catering Pack Box</v>
          </cell>
          <cell r="C126" t="str">
            <v>Packaging</v>
          </cell>
        </row>
        <row r="127">
          <cell r="A127" t="str">
            <v>PA00064</v>
          </cell>
          <cell r="B127" t="str">
            <v>Square Heavy Box 265 x 250 x 260</v>
          </cell>
          <cell r="C127" t="str">
            <v>Packaging</v>
          </cell>
        </row>
        <row r="128">
          <cell r="A128" t="str">
            <v>PA00065</v>
          </cell>
          <cell r="B128" t="str">
            <v>Irish Girl Guides Choc Chip Cookie Film</v>
          </cell>
          <cell r="C128" t="str">
            <v>Packaging</v>
          </cell>
        </row>
        <row r="129">
          <cell r="A129" t="str">
            <v>PA00066</v>
          </cell>
          <cell r="B129" t="str">
            <v>Granola Cookie Nuts &amp; Seeds US Film</v>
          </cell>
          <cell r="C129" t="str">
            <v>Packaging</v>
          </cell>
        </row>
        <row r="130">
          <cell r="A130" t="str">
            <v>PA00067</v>
          </cell>
          <cell r="B130" t="str">
            <v>ECB Milk Chocolate Enrobed Butter Crunch ( US ) Film</v>
          </cell>
          <cell r="C130" t="str">
            <v>Packaging</v>
          </cell>
        </row>
        <row r="131">
          <cell r="A131" t="str">
            <v>PA00068</v>
          </cell>
          <cell r="B131" t="str">
            <v>ECB Coconut Crunch ( US ) Film</v>
          </cell>
          <cell r="C131" t="str">
            <v>Packaging</v>
          </cell>
        </row>
        <row r="132">
          <cell r="A132" t="str">
            <v>PA00069</v>
          </cell>
          <cell r="B132" t="str">
            <v>ECB Ginger Crunch ( US ) Film</v>
          </cell>
          <cell r="C132" t="str">
            <v>Packaging</v>
          </cell>
        </row>
        <row r="133">
          <cell r="A133" t="str">
            <v>PA00070</v>
          </cell>
          <cell r="B133" t="str">
            <v>ECB Granola Crunchy with Nuts &amp; Seeds Film ( UK &amp; Ire )</v>
          </cell>
          <cell r="C133" t="str">
            <v>Packaging</v>
          </cell>
        </row>
        <row r="134">
          <cell r="A134" t="str">
            <v>PA00071</v>
          </cell>
          <cell r="B134" t="str">
            <v>ECB Granola Crunchy with Choc Chips Film ( UK &amp; Ire )</v>
          </cell>
          <cell r="C134" t="str">
            <v>Packaging</v>
          </cell>
        </row>
        <row r="135">
          <cell r="A135" t="str">
            <v>PA00072</v>
          </cell>
          <cell r="B135" t="str">
            <v>Oh My Double Choc Chip ( 14% ) cookie Film ( Export )</v>
          </cell>
          <cell r="C135" t="str">
            <v>Packaging</v>
          </cell>
        </row>
        <row r="136">
          <cell r="A136" t="str">
            <v>PA00073</v>
          </cell>
          <cell r="B136" t="str">
            <v>Oh My Choc Chip Cookies ( 14% )  Film Export</v>
          </cell>
          <cell r="C136" t="str">
            <v>Packaging</v>
          </cell>
        </row>
        <row r="137">
          <cell r="A137" t="str">
            <v>PA00074</v>
          </cell>
          <cell r="B137" t="str">
            <v>ECB Milk Choc Chunk HC Twin Catering Pack Film ( A )</v>
          </cell>
          <cell r="C137" t="str">
            <v>Packaging</v>
          </cell>
        </row>
        <row r="138">
          <cell r="A138" t="str">
            <v>PA00075</v>
          </cell>
          <cell r="B138" t="str">
            <v>ECB Twin Choc Chunk Catering Pack Film ( A )</v>
          </cell>
          <cell r="C138" t="str">
            <v>Packaging</v>
          </cell>
        </row>
        <row r="139">
          <cell r="A139" t="str">
            <v>PA00076</v>
          </cell>
          <cell r="B139" t="str">
            <v>ECB Crunchems Coconut Crunch ( Outers ) USA</v>
          </cell>
          <cell r="C139" t="str">
            <v>Packaging</v>
          </cell>
        </row>
        <row r="140">
          <cell r="A140" t="str">
            <v>PA00077</v>
          </cell>
          <cell r="B140" t="str">
            <v>ECB Crunchems Ginger Crunch ( Outers ) USA</v>
          </cell>
          <cell r="C140" t="str">
            <v>Packaging</v>
          </cell>
        </row>
        <row r="141">
          <cell r="A141" t="str">
            <v>PA00078</v>
          </cell>
          <cell r="B141" t="str">
            <v>ECB Butter Crunch Choc Enrobed ( outers ) USA</v>
          </cell>
          <cell r="C141" t="str">
            <v>Packaging</v>
          </cell>
        </row>
        <row r="142">
          <cell r="A142" t="str">
            <v>PA00079</v>
          </cell>
          <cell r="B142" t="str">
            <v>ECB Granola Cookie Nuts &amp; Seeds ( Outers ) USA</v>
          </cell>
          <cell r="C142" t="str">
            <v>Packaging</v>
          </cell>
        </row>
        <row r="143">
          <cell r="A143" t="str">
            <v>PA00080</v>
          </cell>
          <cell r="B143" t="str">
            <v>ECB Granola Crunchy Nuts &amp; Seeds 12 x 160g Outers</v>
          </cell>
          <cell r="C143" t="str">
            <v>Packaging</v>
          </cell>
        </row>
        <row r="144">
          <cell r="A144" t="str">
            <v>PA00081</v>
          </cell>
          <cell r="B144" t="str">
            <v>ECB Granola Crunchy Choc Chip 12 x 160G ( Outers )</v>
          </cell>
          <cell r="C144" t="str">
            <v>Packaging</v>
          </cell>
        </row>
        <row r="145">
          <cell r="A145" t="str">
            <v>PA00082</v>
          </cell>
          <cell r="B145" t="str">
            <v>Hill Biscuits Choc Chip Cookies 14% 200G Film</v>
          </cell>
          <cell r="C145" t="str">
            <v>Packaging</v>
          </cell>
        </row>
        <row r="146">
          <cell r="A146" t="str">
            <v>PA00083</v>
          </cell>
          <cell r="B146" t="str">
            <v>Oh My Choc Chip Cookies outers 20 x 145g ( 87 01 )</v>
          </cell>
          <cell r="C146" t="str">
            <v>Packaging</v>
          </cell>
        </row>
        <row r="147">
          <cell r="A147" t="str">
            <v>PA00084</v>
          </cell>
          <cell r="B147" t="str">
            <v>Oh My Double Choc Chip 20 x 145g ( 89 01 )</v>
          </cell>
          <cell r="C147" t="str">
            <v>Packaging</v>
          </cell>
        </row>
        <row r="148">
          <cell r="A148" t="str">
            <v>PA00085</v>
          </cell>
          <cell r="B148" t="str">
            <v>12 x 200g Outer Hills  ( 90 01 )</v>
          </cell>
          <cell r="C148" t="str">
            <v>Packaging</v>
          </cell>
        </row>
        <row r="149">
          <cell r="A149" t="str">
            <v>ED00076</v>
          </cell>
          <cell r="B149" t="str">
            <v>Palm Oil Bulk</v>
          </cell>
          <cell r="C149" t="str">
            <v>Ingredients</v>
          </cell>
        </row>
        <row r="150">
          <cell r="A150" t="str">
            <v>ED00132</v>
          </cell>
          <cell r="B150" t="str">
            <v>Golden Syrup ( FINLAYS )</v>
          </cell>
          <cell r="C150" t="str">
            <v>Ingredients</v>
          </cell>
        </row>
        <row r="151">
          <cell r="A151" t="str">
            <v>ED00115</v>
          </cell>
          <cell r="B151" t="str">
            <v>Light Malt Rxtract 1032A EDME</v>
          </cell>
          <cell r="C151" t="str">
            <v>Ingredients</v>
          </cell>
        </row>
        <row r="152">
          <cell r="A152" t="str">
            <v>PA00088</v>
          </cell>
          <cell r="B152" t="str">
            <v>Bolands Chocolate Chip Cookies Outer 145G</v>
          </cell>
          <cell r="C152" t="str">
            <v>Packaging</v>
          </cell>
        </row>
        <row r="153">
          <cell r="A153" t="str">
            <v>ED00122</v>
          </cell>
          <cell r="B153" t="str">
            <v>Glycerine Verbio</v>
          </cell>
          <cell r="C153" t="str">
            <v>Ingredients</v>
          </cell>
        </row>
        <row r="154">
          <cell r="A154" t="str">
            <v>ED00161</v>
          </cell>
          <cell r="B154" t="str">
            <v>Whey Protein Isolate Volactive Ultra Whey 90</v>
          </cell>
          <cell r="C154" t="str">
            <v>Ingredients</v>
          </cell>
        </row>
        <row r="155">
          <cell r="A155" t="str">
            <v>ED00162</v>
          </cell>
          <cell r="B155" t="str">
            <v>Small Whey Crisps Volactive Procrisp</v>
          </cell>
          <cell r="C155" t="str">
            <v>Ingredients</v>
          </cell>
        </row>
        <row r="156">
          <cell r="A156" t="str">
            <v>ED00099</v>
          </cell>
          <cell r="B156" t="str">
            <v>Butter Buds 32X</v>
          </cell>
          <cell r="C156" t="str">
            <v>Ingredients</v>
          </cell>
        </row>
        <row r="157">
          <cell r="A157" t="str">
            <v>ED00124</v>
          </cell>
          <cell r="B157" t="str">
            <v>Sweetness Perception 2SX - 93069 ( Synergy )</v>
          </cell>
          <cell r="C157" t="str">
            <v>Ingredients</v>
          </cell>
        </row>
        <row r="158">
          <cell r="A158" t="str">
            <v>ED00160</v>
          </cell>
          <cell r="B158" t="str">
            <v>Toffee Flavour Liquid 2SX- 86130 Synergy</v>
          </cell>
          <cell r="C158" t="str">
            <v>Ingredients</v>
          </cell>
        </row>
        <row r="159">
          <cell r="A159" t="str">
            <v>PA00086</v>
          </cell>
          <cell r="B159" t="str">
            <v>Jacobs Goldgrain 24 x 300G Outer</v>
          </cell>
          <cell r="C159" t="str">
            <v>Packaging</v>
          </cell>
        </row>
        <row r="160">
          <cell r="A160" t="str">
            <v>PA00087</v>
          </cell>
          <cell r="B160" t="str">
            <v>Jacobs Ginger Nut 200g  Outer</v>
          </cell>
          <cell r="C160" t="str">
            <v>Packaging</v>
          </cell>
        </row>
        <row r="161">
          <cell r="A161" t="str">
            <v>PA00091</v>
          </cell>
          <cell r="B161" t="str">
            <v>Jacobs Goldgrain 400g Film</v>
          </cell>
          <cell r="C161" t="str">
            <v>Packaging</v>
          </cell>
        </row>
        <row r="162">
          <cell r="A162" t="str">
            <v>PA00092</v>
          </cell>
          <cell r="B162" t="str">
            <v>Jacobs Ginger Nut 200g Film</v>
          </cell>
          <cell r="C162" t="str">
            <v>Packaging</v>
          </cell>
        </row>
        <row r="163">
          <cell r="A163" t="str">
            <v>PA00093</v>
          </cell>
          <cell r="B163" t="str">
            <v>Bolands Chocolate Chip Cookies 145g Film</v>
          </cell>
          <cell r="C163" t="str">
            <v>Packaging</v>
          </cell>
        </row>
        <row r="164">
          <cell r="A164" t="str">
            <v>PA00096</v>
          </cell>
          <cell r="B164" t="str">
            <v>Milk Chocolate Chunk Cookie Outer ( M )</v>
          </cell>
          <cell r="C164" t="str">
            <v>Packaging</v>
          </cell>
        </row>
        <row r="165">
          <cell r="A165" t="str">
            <v>PA00097</v>
          </cell>
          <cell r="B165" t="str">
            <v>Enrobed Milk Chocolate Chunk  Outer ( M )</v>
          </cell>
          <cell r="C165" t="str">
            <v>Packaging</v>
          </cell>
        </row>
        <row r="166">
          <cell r="A166" t="str">
            <v>PA00098</v>
          </cell>
          <cell r="B166" t="str">
            <v>Stem Ginger &amp; Choc Chunk Outer ( M )</v>
          </cell>
          <cell r="C166" t="str">
            <v>Packaging</v>
          </cell>
        </row>
        <row r="167">
          <cell r="A167" t="str">
            <v>PA00099</v>
          </cell>
          <cell r="B167" t="str">
            <v>Granola Cr with Nuts &amp; Seeds ( M )</v>
          </cell>
          <cell r="C167" t="str">
            <v>Packaging</v>
          </cell>
        </row>
        <row r="168">
          <cell r="A168" t="str">
            <v>PA00100</v>
          </cell>
          <cell r="B168" t="str">
            <v>Triple Chocolate Chunk Outer ( M )</v>
          </cell>
          <cell r="C168" t="str">
            <v>Packaging</v>
          </cell>
        </row>
        <row r="169">
          <cell r="A169" t="str">
            <v>PA00102</v>
          </cell>
          <cell r="B169" t="str">
            <v>Chocolate Enrobed Milk Chocolate Chunk Cookies Film (UK)</v>
          </cell>
          <cell r="C169" t="str">
            <v>Packaging</v>
          </cell>
        </row>
        <row r="170">
          <cell r="A170" t="str">
            <v>PA00103</v>
          </cell>
          <cell r="B170" t="str">
            <v>Stem Ginger &amp; Choc Chunk Crunchy Cookies  Film (UK)</v>
          </cell>
          <cell r="C170" t="str">
            <v>Packaging</v>
          </cell>
        </row>
        <row r="171">
          <cell r="A171" t="str">
            <v>PA00105</v>
          </cell>
          <cell r="B171" t="str">
            <v>Triple Chocolate Chunk  Cookies Film (UK)</v>
          </cell>
          <cell r="C171" t="str">
            <v>Packaging</v>
          </cell>
        </row>
        <row r="172">
          <cell r="A172" t="str">
            <v>ED00163</v>
          </cell>
          <cell r="B172" t="str">
            <v>Medium Whey Crisps Volactive Pro Crisp</v>
          </cell>
          <cell r="C172" t="str">
            <v>Ingredients</v>
          </cell>
        </row>
        <row r="173">
          <cell r="A173" t="str">
            <v>ED00172</v>
          </cell>
          <cell r="B173" t="str">
            <v>Caramel Coffee Powder (Synergy) 5sp 90543</v>
          </cell>
          <cell r="C173" t="str">
            <v>Ingredients</v>
          </cell>
        </row>
        <row r="174">
          <cell r="A174" t="str">
            <v>PA00101</v>
          </cell>
          <cell r="B174" t="str">
            <v>Milk Chocolate Chunk Cookies Film (UK)</v>
          </cell>
          <cell r="C174" t="str">
            <v>Packaging</v>
          </cell>
        </row>
        <row r="175">
          <cell r="A175" t="str">
            <v>PA00108</v>
          </cell>
          <cell r="B175" t="str">
            <v>Regal Bakery Choc Chip 145G Outers</v>
          </cell>
          <cell r="C175" t="str">
            <v>Packaging</v>
          </cell>
        </row>
        <row r="176">
          <cell r="A176" t="str">
            <v>PA00109</v>
          </cell>
          <cell r="B176" t="str">
            <v>Regal Bakery Double Choc Chip 145G Outers</v>
          </cell>
          <cell r="C176" t="str">
            <v>Packaging</v>
          </cell>
        </row>
        <row r="177">
          <cell r="A177" t="str">
            <v>PA00111</v>
          </cell>
          <cell r="B177" t="str">
            <v>Hill Biscuit Ginger Nut Outer</v>
          </cell>
          <cell r="C177" t="str">
            <v>Packaging</v>
          </cell>
        </row>
        <row r="178">
          <cell r="A178" t="str">
            <v>PA00106</v>
          </cell>
          <cell r="B178" t="str">
            <v>Regal Bakery Choc Chip Cookie 145G Film</v>
          </cell>
          <cell r="C178" t="str">
            <v>Packaging</v>
          </cell>
        </row>
        <row r="179">
          <cell r="A179" t="str">
            <v>PA00107</v>
          </cell>
          <cell r="B179" t="str">
            <v>Regal Bakery Double Choc 145G Film</v>
          </cell>
          <cell r="C179" t="str">
            <v>Packaging</v>
          </cell>
        </row>
        <row r="180">
          <cell r="A180" t="str">
            <v>ED00119</v>
          </cell>
          <cell r="B180" t="str">
            <v>Inulin Liquid Frutalose LF85 Sensus</v>
          </cell>
          <cell r="C180" t="str">
            <v>Ingredients</v>
          </cell>
        </row>
        <row r="181">
          <cell r="A181" t="str">
            <v>ED00120</v>
          </cell>
          <cell r="B181" t="str">
            <v>Maltitol Syrup Lycasin 80/55 ( Roquette )</v>
          </cell>
          <cell r="C181" t="str">
            <v>Ingredients</v>
          </cell>
        </row>
        <row r="182">
          <cell r="A182" t="str">
            <v>ED00174</v>
          </cell>
          <cell r="B182" t="str">
            <v>Soy Protein Crisp with Cocoa 934-IP, PGP</v>
          </cell>
          <cell r="C182" t="str">
            <v>Ingredients</v>
          </cell>
        </row>
        <row r="183">
          <cell r="A183" t="str">
            <v>PA00104</v>
          </cell>
          <cell r="B183" t="str">
            <v>Granola Crunch with Nuts &amp; Seeds Film (UK)</v>
          </cell>
          <cell r="C183" t="str">
            <v>Packaging</v>
          </cell>
        </row>
        <row r="184">
          <cell r="A184" t="str">
            <v>PA00110</v>
          </cell>
          <cell r="B184" t="str">
            <v>Hill Biscuit Ginger Nuts Film</v>
          </cell>
          <cell r="C184" t="str">
            <v>Packaging</v>
          </cell>
        </row>
        <row r="185">
          <cell r="A185" t="str">
            <v>PA00111</v>
          </cell>
          <cell r="B185" t="str">
            <v>Hill Biscuit Ginger Nut Outer</v>
          </cell>
          <cell r="C185" t="str">
            <v>Packaging</v>
          </cell>
        </row>
        <row r="186">
          <cell r="A186" t="str">
            <v>PA00112</v>
          </cell>
          <cell r="B186" t="str">
            <v>50% extra free tray</v>
          </cell>
          <cell r="C186" t="str">
            <v>Packaging</v>
          </cell>
        </row>
        <row r="187">
          <cell r="A187" t="str">
            <v>ED00154</v>
          </cell>
          <cell r="B187" t="str">
            <v>Coconut Toasted Flavour Liquid (17433446 IFF)</v>
          </cell>
          <cell r="C187" t="str">
            <v>Ingredients</v>
          </cell>
        </row>
        <row r="188">
          <cell r="A188" t="str">
            <v>ED00175</v>
          </cell>
          <cell r="B188" t="str">
            <v>Chocolate Flavouring O/S  5SX-91066, Synergy</v>
          </cell>
          <cell r="C188" t="str">
            <v>Ingredients</v>
          </cell>
        </row>
        <row r="189">
          <cell r="A189" t="str">
            <v>ED00176</v>
          </cell>
          <cell r="B189" t="str">
            <v>Coffee Caramel Flavouring SD 2SP-92260 (powder)</v>
          </cell>
          <cell r="C189" t="str">
            <v>Ingredients</v>
          </cell>
        </row>
        <row r="190">
          <cell r="A190" t="str">
            <v>ED00177</v>
          </cell>
          <cell r="B190" t="str">
            <v>Toffee Flavouring SD 5SP-91500 (powder)</v>
          </cell>
          <cell r="C190" t="str">
            <v>Ingredients</v>
          </cell>
        </row>
        <row r="191">
          <cell r="A191" t="str">
            <v>ED00179</v>
          </cell>
          <cell r="B191" t="str">
            <v>Milk Chocolate Reduced Sugar Buttons Cémoi 26013</v>
          </cell>
          <cell r="C191" t="str">
            <v>Ingredients</v>
          </cell>
        </row>
        <row r="192">
          <cell r="A192" t="str">
            <v>ED00174</v>
          </cell>
          <cell r="B192" t="str">
            <v>Soy Protein Crisp with Cocoa 934-IP, PGP</v>
          </cell>
          <cell r="C192" t="str">
            <v>Ingredients</v>
          </cell>
        </row>
        <row r="193">
          <cell r="A193" t="str">
            <v>PA00089</v>
          </cell>
          <cell r="B193" t="str">
            <v>Jacobs Polo Outer</v>
          </cell>
          <cell r="C193" t="str">
            <v>Packaging</v>
          </cell>
        </row>
        <row r="194">
          <cell r="A194" t="str">
            <v>ED00129</v>
          </cell>
          <cell r="B194" t="str">
            <v>Fine Dessicated Coconut Franklin Baker First Grade</v>
          </cell>
          <cell r="C194" t="str">
            <v>Ingredients</v>
          </cell>
        </row>
        <row r="195">
          <cell r="A195" t="str">
            <v>ED00178</v>
          </cell>
          <cell r="B195" t="str">
            <v>Nigerian/Indian Ground Ginger GRGI25kg (Redbrook)</v>
          </cell>
          <cell r="C195" t="str">
            <v>Ingredients</v>
          </cell>
        </row>
      </sheetData>
      <sheetData sheetId="2">
        <row r="2">
          <cell r="A2" t="str">
            <v>ED00046</v>
          </cell>
          <cell r="B2" t="str">
            <v>Butter 25kgs Y</v>
          </cell>
          <cell r="C2" t="str">
            <v>Ingredients</v>
          </cell>
          <cell r="D2" t="str">
            <v>Kg</v>
          </cell>
          <cell r="E2">
            <v>5.68</v>
          </cell>
          <cell r="F2">
            <v>4.4000000000000004</v>
          </cell>
        </row>
        <row r="3">
          <cell r="A3" t="str">
            <v>ED00067</v>
          </cell>
          <cell r="B3" t="str">
            <v>Chocolate Drops ( 12000/KG ) HC4525AIDNS0025B00</v>
          </cell>
          <cell r="C3" t="str">
            <v>Ingredients</v>
          </cell>
          <cell r="D3" t="str">
            <v>Kg</v>
          </cell>
          <cell r="E3">
            <v>3.2519999999999998</v>
          </cell>
          <cell r="F3">
            <v>3</v>
          </cell>
        </row>
        <row r="4">
          <cell r="A4" t="str">
            <v>ED00055</v>
          </cell>
          <cell r="B4" t="str">
            <v>Milk Chocolate 32% Buttons 25 Kg ( 26307 )</v>
          </cell>
          <cell r="C4" t="str">
            <v>Ingredients</v>
          </cell>
          <cell r="D4" t="str">
            <v>Kg</v>
          </cell>
          <cell r="E4">
            <v>2.9510000000000001</v>
          </cell>
          <cell r="F4">
            <v>2.8093520000000001</v>
          </cell>
        </row>
        <row r="5">
          <cell r="A5" t="str">
            <v>ED00004</v>
          </cell>
          <cell r="B5" t="str">
            <v>Palm Oil B001 12.5 Kg</v>
          </cell>
          <cell r="C5" t="str">
            <v>Ingredients</v>
          </cell>
          <cell r="D5" t="str">
            <v>Kg</v>
          </cell>
          <cell r="E5">
            <v>0.95</v>
          </cell>
          <cell r="F5">
            <v>0.83799999999999997</v>
          </cell>
        </row>
        <row r="6">
          <cell r="A6" t="str">
            <v>ED00075</v>
          </cell>
          <cell r="B6" t="str">
            <v>Bulk Flour ( Whithworths )</v>
          </cell>
          <cell r="C6" t="str">
            <v>Ingredients</v>
          </cell>
          <cell r="D6" t="str">
            <v>Kg</v>
          </cell>
          <cell r="E6">
            <v>0.2742</v>
          </cell>
          <cell r="F6">
            <v>0.28000000000000003</v>
          </cell>
        </row>
        <row r="7">
          <cell r="A7" t="str">
            <v>ED00051</v>
          </cell>
          <cell r="B7" t="str">
            <v>Milk Chocolate 10x10x4. M27 (Cargill )</v>
          </cell>
          <cell r="C7" t="str">
            <v>Ingredients</v>
          </cell>
          <cell r="D7" t="str">
            <v>Kg</v>
          </cell>
          <cell r="E7">
            <v>3.5840000000000001</v>
          </cell>
          <cell r="F7">
            <v>3.5840000000000001</v>
          </cell>
        </row>
        <row r="8">
          <cell r="A8" t="str">
            <v>ED00056</v>
          </cell>
          <cell r="B8" t="str">
            <v>Sugar Granulated ( Bulk )</v>
          </cell>
          <cell r="C8" t="str">
            <v>Ingredients</v>
          </cell>
          <cell r="D8" t="str">
            <v>Kg</v>
          </cell>
          <cell r="E8">
            <v>0.48309999999999997</v>
          </cell>
          <cell r="F8">
            <v>0.46</v>
          </cell>
        </row>
        <row r="9">
          <cell r="A9" t="str">
            <v>ED00026</v>
          </cell>
          <cell r="B9" t="str">
            <v>Caramel Pieces 7Kg</v>
          </cell>
          <cell r="C9" t="str">
            <v>Ingredients</v>
          </cell>
          <cell r="D9" t="str">
            <v>Kg</v>
          </cell>
          <cell r="E9">
            <v>5.9</v>
          </cell>
          <cell r="F9">
            <v>5.5460000000000003</v>
          </cell>
        </row>
        <row r="10">
          <cell r="A10" t="str">
            <v>ED00020</v>
          </cell>
          <cell r="B10" t="str">
            <v>Porridge Oat Flakes ( 25 Kgs ) Y</v>
          </cell>
          <cell r="C10" t="str">
            <v>Ingredients</v>
          </cell>
          <cell r="D10" t="str">
            <v>Kg</v>
          </cell>
          <cell r="E10">
            <v>0.85</v>
          </cell>
          <cell r="F10">
            <v>0.85</v>
          </cell>
        </row>
        <row r="11">
          <cell r="A11" t="str">
            <v>ED00042</v>
          </cell>
          <cell r="B11" t="str">
            <v>Pecan Halfs 4840 ( 13.6 Kg )</v>
          </cell>
          <cell r="C11" t="str">
            <v>Ingredients</v>
          </cell>
          <cell r="D11" t="str">
            <v>Kg</v>
          </cell>
          <cell r="E11">
            <v>18.75</v>
          </cell>
          <cell r="F11">
            <v>17.625</v>
          </cell>
        </row>
        <row r="12">
          <cell r="A12" t="str">
            <v>ED00088</v>
          </cell>
          <cell r="B12" t="str">
            <v>Roasted Whole  Hazelnuts 25KG ( O ) F1513</v>
          </cell>
          <cell r="C12" t="str">
            <v>Ingredients</v>
          </cell>
          <cell r="D12" t="str">
            <v>Kg</v>
          </cell>
          <cell r="E12">
            <v>8.6659000000000006</v>
          </cell>
          <cell r="F12">
            <v>8.1459460000000004</v>
          </cell>
        </row>
        <row r="13">
          <cell r="A13" t="str">
            <v>ED00119</v>
          </cell>
          <cell r="B13" t="str">
            <v>Inulin Liquid Frutalose LF85 Sensus</v>
          </cell>
          <cell r="C13" t="str">
            <v>Ingredients</v>
          </cell>
          <cell r="D13" t="str">
            <v>Kg</v>
          </cell>
          <cell r="E13">
            <v>6.4</v>
          </cell>
          <cell r="F13">
            <v>5.8880000000000008</v>
          </cell>
        </row>
        <row r="14">
          <cell r="A14" t="str">
            <v>NewED13</v>
          </cell>
          <cell r="B14" t="str">
            <v>Calcium Caseinate 385</v>
          </cell>
          <cell r="C14" t="str">
            <v>Ingredients</v>
          </cell>
          <cell r="D14" t="str">
            <v>Kg</v>
          </cell>
          <cell r="E14">
            <v>9.5</v>
          </cell>
          <cell r="F14">
            <v>8.5500000000000007</v>
          </cell>
        </row>
        <row r="15">
          <cell r="A15" t="str">
            <v>ED00127</v>
          </cell>
          <cell r="B15" t="str">
            <v>Coconut Oil ( Silbury )</v>
          </cell>
          <cell r="C15" t="str">
            <v>Ingredients</v>
          </cell>
          <cell r="D15" t="str">
            <v>Kg</v>
          </cell>
          <cell r="E15">
            <v>16.52</v>
          </cell>
          <cell r="F15">
            <v>15.693999999999999</v>
          </cell>
        </row>
        <row r="16">
          <cell r="A16" t="str">
            <v>ED00112</v>
          </cell>
          <cell r="B16" t="str">
            <v>Fine Desiccated Coconut Franklin Baker First Grade</v>
          </cell>
          <cell r="C16" t="str">
            <v>Ingredients</v>
          </cell>
          <cell r="D16" t="str">
            <v>Kg</v>
          </cell>
          <cell r="E16">
            <v>3</v>
          </cell>
          <cell r="F16">
            <v>2.8499999999999996</v>
          </cell>
        </row>
        <row r="17">
          <cell r="A17" t="str">
            <v>ED00007</v>
          </cell>
          <cell r="B17" t="str">
            <v>Whey Powder Y</v>
          </cell>
          <cell r="C17" t="str">
            <v>Ingredients</v>
          </cell>
          <cell r="D17" t="str">
            <v>Kg</v>
          </cell>
          <cell r="E17">
            <v>1.27</v>
          </cell>
          <cell r="F17">
            <v>1.1938</v>
          </cell>
        </row>
        <row r="18">
          <cell r="A18" t="str">
            <v>NewED19</v>
          </cell>
          <cell r="B18" t="str">
            <v>Chocolate chips with sweetner (maltitol)  (7,500/kg)</v>
          </cell>
          <cell r="C18" t="str">
            <v>Ingredients</v>
          </cell>
          <cell r="D18" t="str">
            <v>Kg</v>
          </cell>
          <cell r="E18">
            <v>5</v>
          </cell>
          <cell r="F18">
            <v>2.67</v>
          </cell>
        </row>
        <row r="19">
          <cell r="A19" t="str">
            <v>ED00043</v>
          </cell>
          <cell r="B19" t="str">
            <v>Golden Syrup 1250KG T &amp; L</v>
          </cell>
          <cell r="C19" t="str">
            <v>Ingredients</v>
          </cell>
          <cell r="D19" t="str">
            <v>Kg</v>
          </cell>
          <cell r="E19">
            <v>0.93400000000000005</v>
          </cell>
          <cell r="F19">
            <v>0.84060000000000001</v>
          </cell>
        </row>
        <row r="20">
          <cell r="A20" t="str">
            <v>NewED16</v>
          </cell>
          <cell r="B20" t="str">
            <v>HG Sweetness Blend 1</v>
          </cell>
          <cell r="C20" t="str">
            <v>Ingredients</v>
          </cell>
          <cell r="D20" t="str">
            <v>Kg</v>
          </cell>
          <cell r="E20">
            <v>4.8</v>
          </cell>
          <cell r="F20">
            <v>4.32</v>
          </cell>
        </row>
        <row r="21">
          <cell r="A21" t="str">
            <v>ED00121</v>
          </cell>
          <cell r="B21" t="str">
            <v>Soy Protein Crisp 00639IP - X PGP</v>
          </cell>
          <cell r="C21" t="str">
            <v>Ingredients</v>
          </cell>
          <cell r="D21" t="str">
            <v>Kg</v>
          </cell>
          <cell r="E21">
            <v>4.8</v>
          </cell>
          <cell r="F21">
            <v>4.8</v>
          </cell>
        </row>
        <row r="22">
          <cell r="A22" t="str">
            <v>ED00089</v>
          </cell>
          <cell r="B22" t="str">
            <v>Pumpkin Seeds 25KG ( W )  F1412</v>
          </cell>
          <cell r="C22" t="str">
            <v>Ingredients</v>
          </cell>
          <cell r="D22" t="str">
            <v>Kg</v>
          </cell>
          <cell r="E22">
            <v>3.0514000000000001</v>
          </cell>
          <cell r="F22">
            <v>2.8072880000000002</v>
          </cell>
        </row>
        <row r="23">
          <cell r="A23" t="str">
            <v>NewED11</v>
          </cell>
          <cell r="B23" t="str">
            <v>64% R. F. Spread</v>
          </cell>
          <cell r="C23" t="str">
            <v>Ingredients</v>
          </cell>
          <cell r="D23" t="str">
            <v>Kg</v>
          </cell>
          <cell r="E23">
            <v>7.6</v>
          </cell>
          <cell r="F23">
            <v>6.71</v>
          </cell>
        </row>
        <row r="24">
          <cell r="A24" t="str">
            <v>ED00027</v>
          </cell>
          <cell r="B24" t="str">
            <v>Desiccated Coconut  25 Kg ( 437 )</v>
          </cell>
          <cell r="C24" t="str">
            <v>Ingredients</v>
          </cell>
          <cell r="D24" t="str">
            <v>Kg</v>
          </cell>
          <cell r="E24">
            <v>2.76</v>
          </cell>
          <cell r="F24">
            <v>2.484</v>
          </cell>
        </row>
        <row r="25">
          <cell r="A25" t="str">
            <v>NewED8</v>
          </cell>
          <cell r="B25" t="str">
            <v>Icing Sugar</v>
          </cell>
          <cell r="C25" t="str">
            <v>Ingredients</v>
          </cell>
          <cell r="D25" t="str">
            <v>Kg</v>
          </cell>
          <cell r="E25">
            <v>3.5</v>
          </cell>
          <cell r="F25">
            <v>2.4499999999999997</v>
          </cell>
        </row>
        <row r="26">
          <cell r="A26" t="str">
            <v>NewED18</v>
          </cell>
          <cell r="B26" t="str">
            <v>Ground Almonds (Shop bought in Tesco)</v>
          </cell>
          <cell r="C26" t="str">
            <v>Ingredients</v>
          </cell>
          <cell r="D26" t="str">
            <v>Kg</v>
          </cell>
          <cell r="E26">
            <v>14</v>
          </cell>
          <cell r="F26">
            <v>14</v>
          </cell>
        </row>
        <row r="27">
          <cell r="A27" t="str">
            <v>NewED2</v>
          </cell>
          <cell r="B27" t="str">
            <v>Reduced Sugar Milk Chocolate</v>
          </cell>
          <cell r="C27" t="str">
            <v>Ingredients</v>
          </cell>
          <cell r="D27" t="str">
            <v>Kg</v>
          </cell>
          <cell r="E27">
            <v>5</v>
          </cell>
          <cell r="F27">
            <v>4.75</v>
          </cell>
        </row>
        <row r="28">
          <cell r="A28" t="str">
            <v>ED00035</v>
          </cell>
          <cell r="B28" t="str">
            <v>Cocoa Powder 25 Kg</v>
          </cell>
          <cell r="C28" t="str">
            <v>Ingredients</v>
          </cell>
          <cell r="D28" t="str">
            <v>Kg</v>
          </cell>
          <cell r="E28">
            <v>5.4903000000000004</v>
          </cell>
          <cell r="F28">
            <v>4.66</v>
          </cell>
        </row>
        <row r="29">
          <cell r="A29" t="str">
            <v>NewED15</v>
          </cell>
          <cell r="B29" t="str">
            <v>Volactive ProCrisp - Whey</v>
          </cell>
          <cell r="C29" t="str">
            <v>Ingredients</v>
          </cell>
          <cell r="D29" t="str">
            <v>Kg</v>
          </cell>
          <cell r="E29">
            <v>4.8</v>
          </cell>
          <cell r="F29">
            <v>4.8</v>
          </cell>
        </row>
        <row r="30">
          <cell r="A30" t="str">
            <v>ED00039</v>
          </cell>
          <cell r="B30" t="str">
            <v>Ginger Pieces 5x8 mm 20 Kg ( 513 )</v>
          </cell>
          <cell r="C30" t="str">
            <v>Ingredients</v>
          </cell>
          <cell r="D30" t="str">
            <v>Kg</v>
          </cell>
          <cell r="E30">
            <v>4.4749999999999996</v>
          </cell>
          <cell r="F30">
            <v>4.2512499999999998</v>
          </cell>
        </row>
        <row r="31">
          <cell r="A31" t="str">
            <v>ED00053</v>
          </cell>
          <cell r="B31" t="str">
            <v>Sunrise Soya Lecithin Liquid Y</v>
          </cell>
          <cell r="C31" t="str">
            <v>Ingredients</v>
          </cell>
          <cell r="D31" t="str">
            <v>Kg</v>
          </cell>
          <cell r="E31">
            <v>2.7000999999999999</v>
          </cell>
          <cell r="F31">
            <v>2.5650949999999999</v>
          </cell>
        </row>
        <row r="32">
          <cell r="A32" t="str">
            <v>NewED14</v>
          </cell>
          <cell r="B32" t="str">
            <v>Volactive Ultra Whey 90</v>
          </cell>
          <cell r="C32" t="str">
            <v>Ingredients</v>
          </cell>
          <cell r="D32" t="str">
            <v>Kg</v>
          </cell>
          <cell r="E32">
            <v>4.5</v>
          </cell>
          <cell r="F32">
            <v>4.3650000000000002</v>
          </cell>
        </row>
        <row r="33">
          <cell r="A33" t="str">
            <v>ED00081</v>
          </cell>
          <cell r="B33" t="str">
            <v>Liquid Vanilla Flavour</v>
          </cell>
          <cell r="C33" t="str">
            <v>Ingredients</v>
          </cell>
          <cell r="D33" t="str">
            <v>Kg</v>
          </cell>
          <cell r="E33">
            <v>48.3996</v>
          </cell>
          <cell r="F33">
            <v>45.979619999999997</v>
          </cell>
        </row>
        <row r="34">
          <cell r="A34" t="str">
            <v>ED00122</v>
          </cell>
          <cell r="B34" t="str">
            <v>Glycerine Verbio</v>
          </cell>
          <cell r="C34" t="str">
            <v>Ingredients</v>
          </cell>
          <cell r="D34" t="str">
            <v>Kg</v>
          </cell>
          <cell r="E34">
            <v>1.4</v>
          </cell>
          <cell r="F34">
            <v>1.4</v>
          </cell>
        </row>
        <row r="35">
          <cell r="A35" t="str">
            <v>ED00066</v>
          </cell>
          <cell r="B35" t="str">
            <v>Chocolate Chunk 9*9*3.5mm HC4525AICHC0020E08</v>
          </cell>
          <cell r="C35" t="str">
            <v>Ingredients</v>
          </cell>
          <cell r="D35" t="str">
            <v>Kg</v>
          </cell>
          <cell r="E35">
            <v>2.8959999999999999</v>
          </cell>
          <cell r="F35">
            <v>2.8959999999999999</v>
          </cell>
        </row>
        <row r="36">
          <cell r="A36" t="str">
            <v>NewED1</v>
          </cell>
          <cell r="B36" t="str">
            <v>Silarom, type Dulce de Leche natural flavouring</v>
          </cell>
          <cell r="C36" t="str">
            <v>Ingredients</v>
          </cell>
          <cell r="D36" t="str">
            <v>Kg</v>
          </cell>
          <cell r="E36">
            <v>28</v>
          </cell>
          <cell r="F36">
            <v>25.76</v>
          </cell>
        </row>
        <row r="37">
          <cell r="A37" t="str">
            <v>NewED10</v>
          </cell>
          <cell r="B37" t="str">
            <v>DDW Burnt Sugar 690</v>
          </cell>
          <cell r="C37" t="str">
            <v>Ingredients</v>
          </cell>
          <cell r="D37" t="str">
            <v>Kg</v>
          </cell>
          <cell r="E37">
            <v>40</v>
          </cell>
          <cell r="F37">
            <v>38</v>
          </cell>
        </row>
        <row r="38">
          <cell r="A38" t="str">
            <v>ED00090</v>
          </cell>
          <cell r="B38" t="str">
            <v>Sunflower Seeds 25 KG ( W )  F1413</v>
          </cell>
          <cell r="C38" t="str">
            <v>Ingredients</v>
          </cell>
          <cell r="D38" t="str">
            <v>Kg</v>
          </cell>
          <cell r="E38">
            <v>1.0887</v>
          </cell>
          <cell r="F38">
            <v>1.0887</v>
          </cell>
        </row>
        <row r="39">
          <cell r="A39" t="str">
            <v>ED00063</v>
          </cell>
          <cell r="B39" t="str">
            <v>Ammonium Bicarbonate ( 25 KGs ) BASF</v>
          </cell>
          <cell r="C39" t="str">
            <v>Ingredients</v>
          </cell>
          <cell r="D39" t="str">
            <v>Kg</v>
          </cell>
          <cell r="E39">
            <v>0.93</v>
          </cell>
          <cell r="F39">
            <v>0.88349999999999995</v>
          </cell>
        </row>
        <row r="40">
          <cell r="A40" t="str">
            <v>ED00073</v>
          </cell>
          <cell r="B40" t="str">
            <v>Sodium acid ( SAPP 28 ) Brenntag</v>
          </cell>
          <cell r="C40" t="str">
            <v>Ingredients</v>
          </cell>
          <cell r="D40" t="str">
            <v>Kg</v>
          </cell>
          <cell r="E40">
            <v>1.55</v>
          </cell>
          <cell r="F40">
            <v>1.4724999999999999</v>
          </cell>
        </row>
        <row r="41">
          <cell r="A41" t="str">
            <v>NEWED23</v>
          </cell>
          <cell r="B41" t="str">
            <v>White Chocolate Chunks</v>
          </cell>
          <cell r="C41" t="str">
            <v>Ingredients</v>
          </cell>
          <cell r="D41" t="str">
            <v>Kg</v>
          </cell>
          <cell r="E41">
            <v>3.75</v>
          </cell>
          <cell r="F41">
            <v>3.5625</v>
          </cell>
        </row>
        <row r="42">
          <cell r="A42" t="str">
            <v>ED00032</v>
          </cell>
          <cell r="B42" t="str">
            <v>Sweet Glucose Syrup 1017000 IBC</v>
          </cell>
          <cell r="C42" t="str">
            <v>Ingredients</v>
          </cell>
          <cell r="D42" t="str">
            <v>Kg</v>
          </cell>
          <cell r="E42">
            <v>0.83299999999999996</v>
          </cell>
          <cell r="F42">
            <v>0.79134999999999989</v>
          </cell>
        </row>
        <row r="43">
          <cell r="A43" t="str">
            <v>ED00069</v>
          </cell>
          <cell r="B43" t="str">
            <v>Biscuit Wholemeal 25 KGs ( Odlums)</v>
          </cell>
          <cell r="C43" t="str">
            <v>Ingredients</v>
          </cell>
          <cell r="D43" t="str">
            <v>Kg</v>
          </cell>
          <cell r="E43">
            <v>0.48</v>
          </cell>
          <cell r="F43">
            <v>0.45599999999999996</v>
          </cell>
        </row>
        <row r="44">
          <cell r="A44" t="str">
            <v>ED00060</v>
          </cell>
          <cell r="B44" t="str">
            <v>Chinese ground Ginger HT ( 5215 )</v>
          </cell>
          <cell r="C44" t="str">
            <v>Ingredients</v>
          </cell>
          <cell r="D44" t="str">
            <v>Kg</v>
          </cell>
          <cell r="E44">
            <v>5</v>
          </cell>
          <cell r="F44">
            <v>4.75</v>
          </cell>
        </row>
        <row r="45">
          <cell r="A45" t="str">
            <v>ED00120</v>
          </cell>
          <cell r="B45" t="str">
            <v>Maltitol Syrup Lycasin 80/55 ( Roquette )</v>
          </cell>
          <cell r="C45" t="str">
            <v>Ingredients</v>
          </cell>
          <cell r="D45" t="str">
            <v>Kg</v>
          </cell>
          <cell r="E45">
            <v>2</v>
          </cell>
          <cell r="F45">
            <v>1.9</v>
          </cell>
        </row>
        <row r="46">
          <cell r="A46" t="str">
            <v>NewED17</v>
          </cell>
          <cell r="B46" t="str">
            <v>Powder Golden Syrup Flavour</v>
          </cell>
          <cell r="C46" t="str">
            <v>Ingredients</v>
          </cell>
          <cell r="D46" t="str">
            <v>Kg</v>
          </cell>
          <cell r="E46">
            <v>35</v>
          </cell>
          <cell r="F46">
            <v>33.25</v>
          </cell>
        </row>
        <row r="47">
          <cell r="A47" t="str">
            <v>NEWED21</v>
          </cell>
          <cell r="B47" t="str">
            <v>Frozen Lemon Zest</v>
          </cell>
          <cell r="C47" t="str">
            <v>Ingredients</v>
          </cell>
          <cell r="D47" t="str">
            <v>Kg</v>
          </cell>
          <cell r="E47">
            <v>7.5</v>
          </cell>
          <cell r="F47">
            <v>7.125</v>
          </cell>
        </row>
        <row r="48">
          <cell r="A48" t="str">
            <v>ED00040</v>
          </cell>
          <cell r="B48" t="str">
            <v>Chocolate Chips 42% 16694</v>
          </cell>
          <cell r="C48" t="str">
            <v>Ingredients</v>
          </cell>
          <cell r="D48" t="str">
            <v>Kg</v>
          </cell>
          <cell r="E48">
            <v>2.44</v>
          </cell>
          <cell r="F48">
            <v>2.3180000000000001</v>
          </cell>
        </row>
        <row r="49">
          <cell r="A49" t="str">
            <v>ED00076</v>
          </cell>
          <cell r="B49" t="str">
            <v>Palm Oil Bulk</v>
          </cell>
          <cell r="C49" t="str">
            <v>Ingredients</v>
          </cell>
          <cell r="D49" t="str">
            <v>Kg</v>
          </cell>
          <cell r="E49">
            <v>0.84</v>
          </cell>
          <cell r="F49">
            <v>0.82</v>
          </cell>
        </row>
        <row r="50">
          <cell r="A50" t="str">
            <v>ED00084</v>
          </cell>
          <cell r="B50" t="str">
            <v>Sodium Bicarbonate Powder 25 KG ( Brenntag )</v>
          </cell>
          <cell r="C50" t="str">
            <v>Ingredients</v>
          </cell>
          <cell r="D50" t="str">
            <v>Kg</v>
          </cell>
          <cell r="E50">
            <v>0.41099999999999998</v>
          </cell>
          <cell r="F50">
            <v>0.39044999999999996</v>
          </cell>
        </row>
        <row r="51">
          <cell r="A51" t="str">
            <v>NEWED20</v>
          </cell>
          <cell r="B51" t="str">
            <v>Lemon Juice Concentrate (1:9)</v>
          </cell>
          <cell r="C51" t="str">
            <v>Ingredients</v>
          </cell>
          <cell r="D51" t="str">
            <v>Kg</v>
          </cell>
          <cell r="E51">
            <v>7.5</v>
          </cell>
          <cell r="F51">
            <v>7.125</v>
          </cell>
        </row>
        <row r="52">
          <cell r="A52" t="str">
            <v>NewED4</v>
          </cell>
          <cell r="B52" t="str">
            <v>Ground Ginger HT GRG125KG Nigeria/India</v>
          </cell>
          <cell r="C52" t="str">
            <v>Ingredients</v>
          </cell>
          <cell r="D52" t="str">
            <v>Kg</v>
          </cell>
          <cell r="E52">
            <v>3.5</v>
          </cell>
          <cell r="F52">
            <v>3.3249999999999997</v>
          </cell>
        </row>
        <row r="53">
          <cell r="A53" t="str">
            <v>ED00124</v>
          </cell>
          <cell r="B53" t="str">
            <v>Sweetness Perception 2SX - 93069 ( Synergy )</v>
          </cell>
          <cell r="C53" t="str">
            <v>Ingredients</v>
          </cell>
          <cell r="D53" t="str">
            <v>Kg</v>
          </cell>
          <cell r="E53">
            <v>35</v>
          </cell>
          <cell r="F53">
            <v>33.25</v>
          </cell>
        </row>
        <row r="54">
          <cell r="A54" t="str">
            <v>NewED6</v>
          </cell>
          <cell r="B54" t="str">
            <v>Light Malt Extract</v>
          </cell>
          <cell r="C54" t="str">
            <v>Ingredients</v>
          </cell>
          <cell r="D54" t="str">
            <v>Kg</v>
          </cell>
          <cell r="E54">
            <v>5</v>
          </cell>
          <cell r="F54">
            <v>4.75</v>
          </cell>
        </row>
        <row r="55">
          <cell r="A55" t="str">
            <v>ED00006</v>
          </cell>
          <cell r="B55" t="str">
            <v>Liquid Butter F - 19296  25 Kg</v>
          </cell>
          <cell r="C55" t="str">
            <v>Ingredients</v>
          </cell>
          <cell r="D55" t="str">
            <v>Kg</v>
          </cell>
          <cell r="E55">
            <v>17.978999999999999</v>
          </cell>
          <cell r="F55">
            <v>17.08005</v>
          </cell>
        </row>
        <row r="56">
          <cell r="A56" t="str">
            <v>NewED7</v>
          </cell>
          <cell r="B56" t="str">
            <v>Baker's Bran</v>
          </cell>
          <cell r="C56" t="str">
            <v>Ingredients</v>
          </cell>
          <cell r="D56" t="str">
            <v>Kg</v>
          </cell>
          <cell r="E56">
            <v>0.39</v>
          </cell>
          <cell r="F56">
            <v>0.3705</v>
          </cell>
        </row>
        <row r="57">
          <cell r="A57" t="str">
            <v>ED00074</v>
          </cell>
          <cell r="B57" t="str">
            <v>LEMON OIL SOUTH AFRICAN</v>
          </cell>
          <cell r="C57" t="str">
            <v>Ingredients</v>
          </cell>
          <cell r="D57" t="str">
            <v>Kg</v>
          </cell>
          <cell r="E57">
            <v>58.892899999999997</v>
          </cell>
          <cell r="F57">
            <v>55.948254999999996</v>
          </cell>
        </row>
        <row r="58">
          <cell r="A58" t="str">
            <v>ED00086</v>
          </cell>
          <cell r="B58" t="str">
            <v>Ground Cinnamon 25 kg</v>
          </cell>
          <cell r="C58" t="str">
            <v>Ingredients</v>
          </cell>
          <cell r="D58" t="str">
            <v>Kg</v>
          </cell>
          <cell r="E58">
            <v>3.91</v>
          </cell>
          <cell r="F58">
            <v>3.7145000000000001</v>
          </cell>
        </row>
        <row r="59">
          <cell r="A59" t="str">
            <v>ED00079</v>
          </cell>
          <cell r="B59" t="str">
            <v>Jumbo Porridge Oat Flakes</v>
          </cell>
          <cell r="C59" t="str">
            <v>Ingredients</v>
          </cell>
          <cell r="D59" t="str">
            <v>Kg</v>
          </cell>
          <cell r="E59">
            <v>0.85</v>
          </cell>
          <cell r="F59">
            <v>0.8075</v>
          </cell>
        </row>
        <row r="60">
          <cell r="A60" t="str">
            <v>ED00003</v>
          </cell>
          <cell r="B60" t="str">
            <v>Sugar Granulated 25KG</v>
          </cell>
          <cell r="C60" t="str">
            <v>Ingredients</v>
          </cell>
          <cell r="D60" t="str">
            <v>Kg</v>
          </cell>
          <cell r="E60">
            <v>0.51</v>
          </cell>
          <cell r="F60">
            <v>0.48449999999999999</v>
          </cell>
        </row>
        <row r="61">
          <cell r="A61" t="str">
            <v>NewED5</v>
          </cell>
          <cell r="B61" t="str">
            <v>Toasted Coconut Flavouring IFF 17433446</v>
          </cell>
          <cell r="C61" t="str">
            <v>Ingredients</v>
          </cell>
          <cell r="D61" t="str">
            <v>Kg</v>
          </cell>
          <cell r="E61">
            <v>35</v>
          </cell>
          <cell r="F61">
            <v>33.25</v>
          </cell>
        </row>
        <row r="62">
          <cell r="A62" t="str">
            <v>ED00082</v>
          </cell>
          <cell r="B62" t="str">
            <v>Liquid Coconut Flavour</v>
          </cell>
          <cell r="C62" t="str">
            <v>Ingredients</v>
          </cell>
          <cell r="D62" t="str">
            <v>Kg</v>
          </cell>
          <cell r="E62">
            <v>102.24160000000001</v>
          </cell>
          <cell r="F62">
            <v>97.129519999999999</v>
          </cell>
        </row>
        <row r="63">
          <cell r="A63" t="str">
            <v>ED00022</v>
          </cell>
          <cell r="B63" t="str">
            <v>Treacle 25 Kg</v>
          </cell>
          <cell r="C63" t="str">
            <v>Ingredients</v>
          </cell>
          <cell r="D63" t="str">
            <v>Kg</v>
          </cell>
          <cell r="E63">
            <v>1.0760000000000001</v>
          </cell>
          <cell r="F63">
            <v>1.0222</v>
          </cell>
        </row>
        <row r="64">
          <cell r="A64" t="str">
            <v>NewED12</v>
          </cell>
          <cell r="B64" t="str">
            <v>Irish Mineral Sea Salt Kiln dried</v>
          </cell>
          <cell r="C64" t="str">
            <v>Ingredients</v>
          </cell>
          <cell r="D64" t="str">
            <v>Kg</v>
          </cell>
          <cell r="E64">
            <v>3.5</v>
          </cell>
          <cell r="F64">
            <v>3.3249999999999997</v>
          </cell>
        </row>
        <row r="65">
          <cell r="A65" t="str">
            <v>ED00015</v>
          </cell>
          <cell r="B65" t="str">
            <v>Medium Sugar</v>
          </cell>
          <cell r="C65" t="str">
            <v>Ingredients</v>
          </cell>
          <cell r="D65" t="str">
            <v>Kg</v>
          </cell>
          <cell r="E65">
            <v>2.68</v>
          </cell>
          <cell r="F65">
            <v>2.5459999999999998</v>
          </cell>
        </row>
        <row r="66">
          <cell r="A66" t="str">
            <v>ED00010</v>
          </cell>
          <cell r="B66" t="str">
            <v>PDV Salt  25 Kg</v>
          </cell>
          <cell r="C66" t="str">
            <v>Ingredients</v>
          </cell>
          <cell r="D66" t="str">
            <v>Kg</v>
          </cell>
          <cell r="E66">
            <v>0.16500000000000001</v>
          </cell>
          <cell r="F66">
            <v>0.15675</v>
          </cell>
        </row>
        <row r="67">
          <cell r="A67" t="str">
            <v>NewED3</v>
          </cell>
          <cell r="B67" t="str">
            <v>Vanilla Flavour 10811919</v>
          </cell>
          <cell r="C67" t="str">
            <v>Ingredients</v>
          </cell>
          <cell r="D67" t="str">
            <v>Kg</v>
          </cell>
          <cell r="E67">
            <v>35</v>
          </cell>
          <cell r="F67">
            <v>33.25</v>
          </cell>
        </row>
        <row r="68">
          <cell r="A68" t="str">
            <v>ED00128</v>
          </cell>
          <cell r="B68" t="str">
            <v>East Coast Vitamin Premix 01 NIG</v>
          </cell>
          <cell r="C68" t="str">
            <v>Ingredients</v>
          </cell>
          <cell r="D68" t="str">
            <v>Kg</v>
          </cell>
          <cell r="E68">
            <v>12.5</v>
          </cell>
          <cell r="F68">
            <v>11.875</v>
          </cell>
        </row>
        <row r="69">
          <cell r="A69" t="str">
            <v>NEWED22</v>
          </cell>
          <cell r="B69" t="str">
            <v>Bicarbonate Soda</v>
          </cell>
          <cell r="C69" t="str">
            <v>Ingredients</v>
          </cell>
          <cell r="D69" t="str">
            <v>Kg</v>
          </cell>
          <cell r="E69">
            <v>4.5</v>
          </cell>
          <cell r="F69">
            <v>4.2749999999999995</v>
          </cell>
        </row>
        <row r="70">
          <cell r="A70" t="str">
            <v>ED00009</v>
          </cell>
          <cell r="B70" t="str">
            <v>Sodium Bicarbonate 25 Kg</v>
          </cell>
          <cell r="C70" t="str">
            <v>Ingredients</v>
          </cell>
          <cell r="D70" t="str">
            <v>Kg</v>
          </cell>
          <cell r="E70">
            <v>0.37519999999999998</v>
          </cell>
          <cell r="F70">
            <v>0.35643999999999998</v>
          </cell>
        </row>
        <row r="71">
          <cell r="A71" t="str">
            <v>ED00011</v>
          </cell>
          <cell r="B71" t="str">
            <v>Water</v>
          </cell>
          <cell r="C71" t="str">
            <v>Ingredients</v>
          </cell>
          <cell r="D71" t="str">
            <v>Kg</v>
          </cell>
          <cell r="E71">
            <v>0</v>
          </cell>
          <cell r="F71">
            <v>0</v>
          </cell>
        </row>
        <row r="72">
          <cell r="A72" t="str">
            <v>ED00031</v>
          </cell>
          <cell r="B72" t="str">
            <v>Glucose Syrup 5780 IBC</v>
          </cell>
          <cell r="C72" t="str">
            <v>Ingredients</v>
          </cell>
          <cell r="D72" t="str">
            <v>Kg</v>
          </cell>
          <cell r="E72">
            <v>0.83299999999999996</v>
          </cell>
          <cell r="F72">
            <v>0.79134999999999989</v>
          </cell>
        </row>
        <row r="73">
          <cell r="A73" t="str">
            <v>ED00085</v>
          </cell>
          <cell r="B73" t="str">
            <v>Chocolate Drops 12000/KG 42% 15915 ( UTZ MB ) 25 KG  ( Y )</v>
          </cell>
          <cell r="C73" t="str">
            <v>Ingredients</v>
          </cell>
          <cell r="D73">
            <v>0</v>
          </cell>
          <cell r="E73">
            <v>0</v>
          </cell>
          <cell r="F73">
            <v>2.5499999999999998</v>
          </cell>
        </row>
        <row r="74">
          <cell r="A74" t="str">
            <v>ED00129</v>
          </cell>
          <cell r="B74" t="str">
            <v>Fine Dessicated Coconut Franklin Baker First Grade</v>
          </cell>
          <cell r="C74" t="str">
            <v>Ingredients</v>
          </cell>
          <cell r="D74">
            <v>0</v>
          </cell>
          <cell r="E74">
            <v>0</v>
          </cell>
          <cell r="F74">
            <v>3.11</v>
          </cell>
        </row>
        <row r="75">
          <cell r="A75" t="str">
            <v>PA00059</v>
          </cell>
          <cell r="B75" t="str">
            <v>Aldi E/e  8% CC Cookies Outer</v>
          </cell>
          <cell r="C75" t="str">
            <v>Packaging</v>
          </cell>
          <cell r="D75" t="str">
            <v>Each</v>
          </cell>
          <cell r="E75">
            <v>0.34799999999999998</v>
          </cell>
          <cell r="F75">
            <v>0.31319999999999998</v>
          </cell>
        </row>
        <row r="76">
          <cell r="A76" t="str">
            <v>PA00053</v>
          </cell>
          <cell r="B76" t="str">
            <v>Aldi E/e 8% CC Cookies Film</v>
          </cell>
          <cell r="C76" t="str">
            <v>Packaging</v>
          </cell>
          <cell r="D76" t="str">
            <v>Each</v>
          </cell>
          <cell r="E76">
            <v>5.1477272727272734</v>
          </cell>
          <cell r="F76">
            <v>5.1477272727272734</v>
          </cell>
        </row>
        <row r="77">
          <cell r="A77" t="str">
            <v>PA00052</v>
          </cell>
          <cell r="B77" t="str">
            <v>30um White Opp x 200mm film (Inner)</v>
          </cell>
          <cell r="C77" t="str">
            <v>Packaging</v>
          </cell>
          <cell r="D77" t="str">
            <v>Each</v>
          </cell>
          <cell r="E77">
            <v>5.8999999999999999E-3</v>
          </cell>
          <cell r="F77">
            <v>2.92</v>
          </cell>
        </row>
        <row r="78">
          <cell r="A78" t="str">
            <v>PA00079</v>
          </cell>
          <cell r="B78" t="str">
            <v>ECB Granola Cookie Nuts &amp; Seeds ( Outers ) USA</v>
          </cell>
          <cell r="C78" t="str">
            <v>Packaging</v>
          </cell>
          <cell r="D78" t="str">
            <v>Each</v>
          </cell>
          <cell r="E78">
            <v>0.23100000000000001</v>
          </cell>
          <cell r="F78">
            <v>0.2079</v>
          </cell>
        </row>
        <row r="79">
          <cell r="A79" t="str">
            <v>PA00066</v>
          </cell>
          <cell r="B79" t="str">
            <v>Granola Cookie Nuts &amp; Seeds US Film</v>
          </cell>
          <cell r="C79" t="str">
            <v>Packaging</v>
          </cell>
          <cell r="D79" t="str">
            <v>Each</v>
          </cell>
          <cell r="E79">
            <v>1.8800000000000001E-2</v>
          </cell>
          <cell r="F79">
            <v>1.6920000000000001E-2</v>
          </cell>
        </row>
        <row r="80">
          <cell r="A80" t="str">
            <v>PA00019</v>
          </cell>
          <cell r="B80" t="str">
            <v>ECB 8 Cookie Tray 139 x 79 x 40mm ( 1526 )</v>
          </cell>
          <cell r="C80" t="str">
            <v>Packaging</v>
          </cell>
          <cell r="D80" t="str">
            <v>Each</v>
          </cell>
          <cell r="E80">
            <v>1.5100000000000001E-2</v>
          </cell>
          <cell r="F80">
            <v>1.3590000000000001E-2</v>
          </cell>
        </row>
        <row r="81">
          <cell r="A81" t="str">
            <v>PA00060</v>
          </cell>
          <cell r="B81" t="str">
            <v>Aldi E/e 8%  CC Cookies Lid</v>
          </cell>
          <cell r="C81" t="str">
            <v>Packaging</v>
          </cell>
          <cell r="D81" t="str">
            <v>Each</v>
          </cell>
          <cell r="E81">
            <v>0.11600000000000001</v>
          </cell>
          <cell r="F81">
            <v>0.10440000000000001</v>
          </cell>
        </row>
        <row r="82">
          <cell r="A82" t="str">
            <v>PA00028</v>
          </cell>
          <cell r="B82" t="str">
            <v>ECB Milk Chocolate Chunk Outers X 12</v>
          </cell>
          <cell r="C82" t="str">
            <v>Packaging</v>
          </cell>
          <cell r="D82" t="str">
            <v>Each</v>
          </cell>
          <cell r="E82">
            <v>0.2248</v>
          </cell>
          <cell r="F82">
            <v>0.20232</v>
          </cell>
        </row>
        <row r="83">
          <cell r="A83" t="str">
            <v>NewPA25</v>
          </cell>
          <cell r="B83" t="str">
            <v>CM - Project Go Light 1_Film</v>
          </cell>
          <cell r="C83" t="str">
            <v>Packaging</v>
          </cell>
          <cell r="D83" t="str">
            <v>Each</v>
          </cell>
          <cell r="E83">
            <v>1.4200000000000001E-2</v>
          </cell>
          <cell r="F83">
            <v>1.2780000000000001E-2</v>
          </cell>
        </row>
        <row r="84">
          <cell r="A84" t="str">
            <v>NewPA26</v>
          </cell>
          <cell r="B84" t="str">
            <v>CM - Project Go Light 1_Case</v>
          </cell>
          <cell r="C84" t="str">
            <v>Packaging</v>
          </cell>
          <cell r="D84" t="str">
            <v>Each</v>
          </cell>
          <cell r="E84">
            <v>0.2248</v>
          </cell>
          <cell r="F84">
            <v>0.20232</v>
          </cell>
        </row>
        <row r="85">
          <cell r="A85" t="str">
            <v>PA00025</v>
          </cell>
          <cell r="B85" t="str">
            <v>Chocolate Chunk Cookie 160G Film</v>
          </cell>
          <cell r="C85" t="str">
            <v>Packaging</v>
          </cell>
          <cell r="D85" t="str">
            <v>Each</v>
          </cell>
          <cell r="E85">
            <v>1.3599999999999999E-2</v>
          </cell>
          <cell r="F85">
            <v>1.2239999999999999E-2</v>
          </cell>
        </row>
        <row r="86">
          <cell r="A86" t="str">
            <v>PA00073</v>
          </cell>
          <cell r="B86" t="str">
            <v>Oh My Choc Chip Cookies ( 14% )  Film Export</v>
          </cell>
          <cell r="C86" t="str">
            <v>Packaging</v>
          </cell>
          <cell r="D86" t="str">
            <v>Each</v>
          </cell>
          <cell r="E86">
            <v>1.6E-2</v>
          </cell>
          <cell r="F86">
            <v>1.4400000000000001E-2</v>
          </cell>
        </row>
        <row r="87">
          <cell r="A87" t="str">
            <v>PA00082</v>
          </cell>
          <cell r="B87" t="str">
            <v>Hill Biscuits Choc Chip Cookies 14% 200G Film</v>
          </cell>
          <cell r="C87" t="str">
            <v>Packaging</v>
          </cell>
          <cell r="D87" t="str">
            <v>Each</v>
          </cell>
          <cell r="E87">
            <v>2.1299999999999999E-2</v>
          </cell>
          <cell r="F87">
            <v>1.917E-2</v>
          </cell>
        </row>
        <row r="88">
          <cell r="A88" t="str">
            <v>PA00027</v>
          </cell>
          <cell r="B88" t="str">
            <v>ECB Caramel &amp; Pecan Outers X 12</v>
          </cell>
          <cell r="C88" t="str">
            <v>Packaging</v>
          </cell>
          <cell r="D88" t="str">
            <v>Each</v>
          </cell>
          <cell r="E88">
            <v>0.2248</v>
          </cell>
          <cell r="F88">
            <v>0.20232</v>
          </cell>
        </row>
        <row r="89">
          <cell r="A89" t="str">
            <v>PA00085</v>
          </cell>
          <cell r="B89" t="str">
            <v>12 x 200g Outer Hills  ( 90 01 )</v>
          </cell>
          <cell r="C89" t="str">
            <v>Packaging</v>
          </cell>
          <cell r="D89" t="str">
            <v>Each</v>
          </cell>
          <cell r="E89">
            <v>0.2248</v>
          </cell>
          <cell r="F89">
            <v>0.20232</v>
          </cell>
        </row>
        <row r="90">
          <cell r="A90" t="str">
            <v>PA00026</v>
          </cell>
          <cell r="B90" t="str">
            <v>Caramel &amp; Pecan Cookie  160G Film</v>
          </cell>
          <cell r="C90" t="str">
            <v>Packaging</v>
          </cell>
          <cell r="D90" t="str">
            <v>Each</v>
          </cell>
          <cell r="E90">
            <v>1.6199999999999999E-2</v>
          </cell>
          <cell r="F90">
            <v>1.4579999999999999E-2</v>
          </cell>
        </row>
        <row r="91">
          <cell r="A91" t="str">
            <v>NEWPA44</v>
          </cell>
          <cell r="B91" t="str">
            <v>PL - Co-op Irresistible White Chocolate Cookies_Film</v>
          </cell>
          <cell r="C91" t="str">
            <v>Packaging</v>
          </cell>
          <cell r="D91" t="str">
            <v>Each</v>
          </cell>
          <cell r="E91">
            <v>0.14199999999999999</v>
          </cell>
          <cell r="F91">
            <v>0.1278</v>
          </cell>
        </row>
        <row r="92">
          <cell r="A92" t="str">
            <v>PA00018</v>
          </cell>
          <cell r="B92" t="str">
            <v>ECB 7 Cookie Tray 131 x 79 x 40mm ( 1525 )</v>
          </cell>
          <cell r="C92" t="str">
            <v>Packaging</v>
          </cell>
          <cell r="D92" t="str">
            <v>Each</v>
          </cell>
          <cell r="E92">
            <v>1.4500000000000001E-2</v>
          </cell>
          <cell r="F92">
            <v>1.3050000000000001E-2</v>
          </cell>
        </row>
        <row r="93">
          <cell r="A93" t="str">
            <v>NewPA21</v>
          </cell>
          <cell r="B93" t="str">
            <v>CM - Robin Protein 1_Film</v>
          </cell>
          <cell r="C93" t="str">
            <v>Packaging</v>
          </cell>
          <cell r="D93" t="str">
            <v>Each</v>
          </cell>
          <cell r="E93">
            <v>1.4200000000000001E-2</v>
          </cell>
          <cell r="F93">
            <v>1.2780000000000001E-2</v>
          </cell>
        </row>
        <row r="94">
          <cell r="A94" t="str">
            <v>NewPA23</v>
          </cell>
          <cell r="B94" t="str">
            <v>CM - Robin Protein 2_Film</v>
          </cell>
          <cell r="C94" t="str">
            <v>Packaging</v>
          </cell>
          <cell r="D94" t="str">
            <v>Each</v>
          </cell>
          <cell r="E94">
            <v>1.4200000000000001E-2</v>
          </cell>
          <cell r="F94">
            <v>1.2780000000000001E-2</v>
          </cell>
        </row>
        <row r="95">
          <cell r="A95" t="str">
            <v>PA00041</v>
          </cell>
          <cell r="B95" t="str">
            <v>ECB HC Oat'em Film</v>
          </cell>
          <cell r="C95" t="str">
            <v>Packaging</v>
          </cell>
          <cell r="D95" t="str">
            <v>Each</v>
          </cell>
          <cell r="E95">
            <v>1.9199999999999998E-2</v>
          </cell>
          <cell r="F95">
            <v>1.728E-2</v>
          </cell>
        </row>
        <row r="96">
          <cell r="A96" t="str">
            <v>NewPA22</v>
          </cell>
          <cell r="B96" t="str">
            <v>CM - Robin Protein 1_Case</v>
          </cell>
          <cell r="C96" t="str">
            <v>Packaging</v>
          </cell>
          <cell r="D96" t="str">
            <v>Each</v>
          </cell>
          <cell r="E96">
            <v>0.2248</v>
          </cell>
          <cell r="F96">
            <v>0.20232</v>
          </cell>
        </row>
        <row r="97">
          <cell r="A97" t="str">
            <v>NewPA24</v>
          </cell>
          <cell r="B97" t="str">
            <v>CM - Robin Protein 2_Case</v>
          </cell>
          <cell r="C97" t="str">
            <v>Packaging</v>
          </cell>
          <cell r="D97" t="str">
            <v>Each</v>
          </cell>
          <cell r="E97">
            <v>0.2248</v>
          </cell>
          <cell r="F97">
            <v>0.20232</v>
          </cell>
        </row>
        <row r="98">
          <cell r="A98" t="str">
            <v>PA00072</v>
          </cell>
          <cell r="B98" t="str">
            <v>Oh My Double Choc Chip ( 14% ) cookie Film ( Export )</v>
          </cell>
          <cell r="C98" t="str">
            <v>Packaging</v>
          </cell>
          <cell r="D98" t="str">
            <v>Each</v>
          </cell>
          <cell r="E98">
            <v>1.6E-2</v>
          </cell>
          <cell r="F98">
            <v>1.4400000000000001E-2</v>
          </cell>
        </row>
        <row r="99">
          <cell r="A99" t="str">
            <v>PA00083</v>
          </cell>
          <cell r="B99" t="str">
            <v>Oh My Choc Chip Cookies outers 20 x 145g ( 87 01 )</v>
          </cell>
          <cell r="C99" t="str">
            <v>Packaging</v>
          </cell>
          <cell r="D99" t="str">
            <v>Each</v>
          </cell>
          <cell r="E99">
            <v>0.1855</v>
          </cell>
          <cell r="F99">
            <v>0.16695000000000002</v>
          </cell>
        </row>
        <row r="100">
          <cell r="A100" t="str">
            <v>PA00045</v>
          </cell>
          <cell r="B100" t="str">
            <v>ECB HC Oat'em Outers X 12</v>
          </cell>
          <cell r="C100" t="str">
            <v>Packaging</v>
          </cell>
          <cell r="D100" t="str">
            <v>Each</v>
          </cell>
          <cell r="E100">
            <v>0.20469999999999999</v>
          </cell>
          <cell r="F100">
            <v>0.18423</v>
          </cell>
        </row>
        <row r="101">
          <cell r="A101" t="str">
            <v>NewPA1</v>
          </cell>
          <cell r="B101" t="str">
            <v>CM - GW Protein Caramel_Film</v>
          </cell>
          <cell r="C101" t="str">
            <v>Packaging</v>
          </cell>
          <cell r="D101" t="str">
            <v>Each</v>
          </cell>
          <cell r="E101">
            <v>1.4200000000000001E-2</v>
          </cell>
          <cell r="F101">
            <v>1.2780000000000001E-2</v>
          </cell>
        </row>
        <row r="102">
          <cell r="A102" t="str">
            <v>NewPA2</v>
          </cell>
          <cell r="B102" t="str">
            <v>CM - GW Protein Caramel_Case</v>
          </cell>
          <cell r="C102" t="str">
            <v>Packaging</v>
          </cell>
          <cell r="D102" t="str">
            <v>Each</v>
          </cell>
          <cell r="E102">
            <v>0.2248</v>
          </cell>
          <cell r="F102">
            <v>0.20232</v>
          </cell>
        </row>
        <row r="103">
          <cell r="A103" t="str">
            <v>NewPA5</v>
          </cell>
          <cell r="B103" t="str">
            <v>CM - M1 Polo_Film</v>
          </cell>
          <cell r="C103" t="str">
            <v>Packaging</v>
          </cell>
          <cell r="D103" t="str">
            <v>Each</v>
          </cell>
          <cell r="E103">
            <v>1.4200000000000001E-2</v>
          </cell>
          <cell r="F103">
            <v>1.2780000000000001E-2</v>
          </cell>
        </row>
        <row r="104">
          <cell r="A104" t="str">
            <v>NewPA7</v>
          </cell>
          <cell r="B104" t="str">
            <v>CM - M1 Choc Polo_Film</v>
          </cell>
          <cell r="C104" t="str">
            <v>Packaging</v>
          </cell>
          <cell r="D104" t="str">
            <v>Each</v>
          </cell>
          <cell r="E104">
            <v>1.4200000000000001E-2</v>
          </cell>
          <cell r="F104">
            <v>1.2780000000000001E-2</v>
          </cell>
        </row>
        <row r="105">
          <cell r="A105" t="str">
            <v>NEWPA31</v>
          </cell>
          <cell r="B105" t="str">
            <v>CM - M1 Lincoln_Film</v>
          </cell>
          <cell r="C105" t="str">
            <v>Packaging</v>
          </cell>
          <cell r="D105" t="str">
            <v>Each</v>
          </cell>
          <cell r="E105">
            <v>1.4200000000000001E-2</v>
          </cell>
          <cell r="F105">
            <v>1.2780000000000001E-2</v>
          </cell>
        </row>
        <row r="106">
          <cell r="A106" t="str">
            <v>PA00084</v>
          </cell>
          <cell r="B106" t="str">
            <v>Oh My Double Choc Chip 20 x 145g ( 89 01 )</v>
          </cell>
          <cell r="C106" t="str">
            <v>Packaging</v>
          </cell>
          <cell r="D106" t="str">
            <v>Each</v>
          </cell>
          <cell r="E106">
            <v>0.19089999999999999</v>
          </cell>
          <cell r="F106">
            <v>0.17180999999999999</v>
          </cell>
        </row>
        <row r="107">
          <cell r="A107" t="str">
            <v>PA00034</v>
          </cell>
          <cell r="B107" t="str">
            <v>ECB Chocolate Enrobed Milk Chocolate Chunk Cookie X 12</v>
          </cell>
          <cell r="C107" t="str">
            <v>Packaging</v>
          </cell>
          <cell r="D107" t="str">
            <v>Each</v>
          </cell>
          <cell r="E107">
            <v>0.19309999999999999</v>
          </cell>
          <cell r="F107">
            <v>0.17379</v>
          </cell>
        </row>
        <row r="108">
          <cell r="A108" t="str">
            <v>PA00051</v>
          </cell>
          <cell r="B108" t="str">
            <v>ECB Milk Choc Chunk HC Twin Catering Pack Film</v>
          </cell>
          <cell r="C108" t="str">
            <v>Packaging</v>
          </cell>
          <cell r="D108" t="str">
            <v>Each</v>
          </cell>
          <cell r="E108">
            <v>1.4200000000000001E-2</v>
          </cell>
          <cell r="F108">
            <v>1.2780000000000001E-2</v>
          </cell>
        </row>
        <row r="109">
          <cell r="A109" t="str">
            <v>PA00033</v>
          </cell>
          <cell r="B109" t="str">
            <v>ECB Stem Ginger &amp; Chocolate Chunk Crunchy Cookies X 12</v>
          </cell>
          <cell r="C109" t="str">
            <v>Packaging</v>
          </cell>
          <cell r="D109" t="str">
            <v>Each</v>
          </cell>
          <cell r="E109">
            <v>0.2248</v>
          </cell>
          <cell r="F109">
            <v>0.20232</v>
          </cell>
        </row>
        <row r="110">
          <cell r="A110" t="str">
            <v>NewPA13</v>
          </cell>
          <cell r="B110" t="str">
            <v>CM - Ginger Nut_Film</v>
          </cell>
          <cell r="C110" t="str">
            <v>Packaging</v>
          </cell>
          <cell r="D110" t="str">
            <v>Each</v>
          </cell>
          <cell r="E110">
            <v>1.4200000000000001E-2</v>
          </cell>
          <cell r="F110">
            <v>1.2780000000000001E-2</v>
          </cell>
        </row>
        <row r="111">
          <cell r="A111" t="str">
            <v>NewPA15</v>
          </cell>
          <cell r="B111" t="str">
            <v>CM - M1 New 1 HC Rotary_Film</v>
          </cell>
          <cell r="C111" t="str">
            <v>Packaging</v>
          </cell>
          <cell r="D111" t="str">
            <v>Each</v>
          </cell>
          <cell r="E111">
            <v>1.4200000000000001E-2</v>
          </cell>
          <cell r="F111">
            <v>1.2780000000000001E-2</v>
          </cell>
        </row>
        <row r="112">
          <cell r="A112" t="str">
            <v>NewPA17</v>
          </cell>
          <cell r="B112" t="str">
            <v>CM - M1 New 2 HC Rotary_Film</v>
          </cell>
          <cell r="C112" t="str">
            <v>Packaging</v>
          </cell>
          <cell r="D112" t="str">
            <v>Each</v>
          </cell>
          <cell r="E112">
            <v>1.4200000000000001E-2</v>
          </cell>
          <cell r="F112">
            <v>1.2780000000000001E-2</v>
          </cell>
        </row>
        <row r="113">
          <cell r="A113" t="str">
            <v>NewPA19</v>
          </cell>
          <cell r="B113" t="str">
            <v>CM - M1 New 3 HC Rotary_Film</v>
          </cell>
          <cell r="C113" t="str">
            <v>Packaging</v>
          </cell>
          <cell r="D113" t="str">
            <v>Each</v>
          </cell>
          <cell r="E113">
            <v>1.4200000000000001E-2</v>
          </cell>
          <cell r="F113">
            <v>1.2780000000000001E-2</v>
          </cell>
        </row>
        <row r="114">
          <cell r="A114" t="str">
            <v>PA00030</v>
          </cell>
          <cell r="B114" t="str">
            <v>Choc Enrobed Choc Chunk Film</v>
          </cell>
          <cell r="C114" t="str">
            <v>Packaging</v>
          </cell>
          <cell r="D114" t="str">
            <v>Each</v>
          </cell>
          <cell r="E114">
            <v>1.35E-2</v>
          </cell>
          <cell r="F114">
            <v>1.2149999999999999E-2</v>
          </cell>
        </row>
        <row r="115">
          <cell r="A115" t="str">
            <v>NewPA11</v>
          </cell>
          <cell r="B115" t="str">
            <v>CM - M1 Choc Goldgrain_Film</v>
          </cell>
          <cell r="C115" t="str">
            <v>Packaging</v>
          </cell>
          <cell r="D115" t="str">
            <v>Each</v>
          </cell>
          <cell r="E115">
            <v>1.4200000000000001E-2</v>
          </cell>
          <cell r="F115">
            <v>1.2780000000000001E-2</v>
          </cell>
        </row>
        <row r="116">
          <cell r="A116" t="str">
            <v>NewPA12</v>
          </cell>
          <cell r="B116" t="str">
            <v>CM - M1 Choc Goldgrain_Case</v>
          </cell>
          <cell r="C116" t="str">
            <v>Packaging</v>
          </cell>
          <cell r="D116" t="str">
            <v>Each</v>
          </cell>
          <cell r="E116">
            <v>0.2248</v>
          </cell>
          <cell r="F116">
            <v>0.20232</v>
          </cell>
        </row>
        <row r="117">
          <cell r="A117" t="str">
            <v>NewPA6</v>
          </cell>
          <cell r="B117" t="str">
            <v>CM - M1 Polo_Case</v>
          </cell>
          <cell r="C117" t="str">
            <v>Packaging</v>
          </cell>
          <cell r="D117" t="str">
            <v>Each</v>
          </cell>
          <cell r="E117">
            <v>0.2248</v>
          </cell>
          <cell r="F117">
            <v>0.20232</v>
          </cell>
        </row>
        <row r="118">
          <cell r="A118" t="str">
            <v>NewPA8</v>
          </cell>
          <cell r="B118" t="str">
            <v>CM - M1 Choc Polo_Case</v>
          </cell>
          <cell r="C118" t="str">
            <v>Packaging</v>
          </cell>
          <cell r="D118" t="str">
            <v>Each</v>
          </cell>
          <cell r="E118">
            <v>0.2248</v>
          </cell>
          <cell r="F118">
            <v>0.20232</v>
          </cell>
        </row>
        <row r="119">
          <cell r="A119" t="str">
            <v>NEWPA32</v>
          </cell>
          <cell r="B119" t="str">
            <v>CM - M1 Lincoln_Case</v>
          </cell>
          <cell r="C119" t="str">
            <v>Packaging</v>
          </cell>
          <cell r="D119" t="str">
            <v>Each</v>
          </cell>
          <cell r="E119">
            <v>0.2248</v>
          </cell>
          <cell r="F119">
            <v>0.20232</v>
          </cell>
        </row>
        <row r="120">
          <cell r="A120" t="str">
            <v>PA00029</v>
          </cell>
          <cell r="B120" t="str">
            <v>Stem Ginger 160G Film</v>
          </cell>
          <cell r="C120" t="str">
            <v>Packaging</v>
          </cell>
          <cell r="D120" t="str">
            <v>Each</v>
          </cell>
          <cell r="E120">
            <v>1.4200000000000001E-2</v>
          </cell>
          <cell r="F120">
            <v>1.2780000000000001E-2</v>
          </cell>
        </row>
        <row r="121">
          <cell r="A121" t="str">
            <v>PA00063</v>
          </cell>
          <cell r="B121" t="str">
            <v>ECB Milk Choc Chunk Twin Catering Pack Box</v>
          </cell>
          <cell r="C121" t="str">
            <v>Packaging</v>
          </cell>
          <cell r="D121" t="str">
            <v>Each</v>
          </cell>
          <cell r="E121">
            <v>0.2248</v>
          </cell>
          <cell r="F121">
            <v>0.20232</v>
          </cell>
        </row>
        <row r="122">
          <cell r="A122" t="str">
            <v>PA00058</v>
          </cell>
          <cell r="B122" t="str">
            <v>ECB Milk Choc Chunk HC Catering Pack Box</v>
          </cell>
          <cell r="C122" t="str">
            <v>Packaging</v>
          </cell>
          <cell r="D122" t="str">
            <v>Each</v>
          </cell>
          <cell r="E122">
            <v>0.2248</v>
          </cell>
          <cell r="F122">
            <v>0.20232</v>
          </cell>
        </row>
        <row r="123">
          <cell r="A123" t="str">
            <v>NEWPA41</v>
          </cell>
          <cell r="B123" t="str">
            <v>PL - Co-op Irresistible Triple Chocolate Cookies_Case</v>
          </cell>
          <cell r="C123" t="str">
            <v>Packaging</v>
          </cell>
          <cell r="D123" t="str">
            <v>Each</v>
          </cell>
          <cell r="E123">
            <v>0.2248</v>
          </cell>
          <cell r="F123">
            <v>0.20232</v>
          </cell>
        </row>
        <row r="124">
          <cell r="A124" t="str">
            <v>NewPA14</v>
          </cell>
          <cell r="B124" t="str">
            <v>CM - Ginger Nut_Case</v>
          </cell>
          <cell r="C124" t="str">
            <v>Packaging</v>
          </cell>
          <cell r="D124" t="str">
            <v>Each</v>
          </cell>
          <cell r="E124">
            <v>0.2248</v>
          </cell>
          <cell r="F124">
            <v>0.20232</v>
          </cell>
        </row>
        <row r="125">
          <cell r="A125" t="str">
            <v>NewPA16</v>
          </cell>
          <cell r="B125" t="str">
            <v>CM - M1 New 1 HC Rotary_Case</v>
          </cell>
          <cell r="C125" t="str">
            <v>Packaging</v>
          </cell>
          <cell r="D125" t="str">
            <v>Each</v>
          </cell>
          <cell r="E125">
            <v>0.2248</v>
          </cell>
          <cell r="F125">
            <v>0.20232</v>
          </cell>
        </row>
        <row r="126">
          <cell r="A126" t="str">
            <v>NewPA18</v>
          </cell>
          <cell r="B126" t="str">
            <v>CM - M1 New 2 HC Rotary_Case</v>
          </cell>
          <cell r="C126" t="str">
            <v>Packaging</v>
          </cell>
          <cell r="D126" t="str">
            <v>Each</v>
          </cell>
          <cell r="E126">
            <v>0.2248</v>
          </cell>
          <cell r="F126">
            <v>0.20232</v>
          </cell>
        </row>
        <row r="127">
          <cell r="A127" t="str">
            <v>NewPA20</v>
          </cell>
          <cell r="B127" t="str">
            <v>CM - M1 New 3 HC Rotary_Case</v>
          </cell>
          <cell r="C127" t="str">
            <v>Packaging</v>
          </cell>
          <cell r="D127" t="str">
            <v>Each</v>
          </cell>
          <cell r="E127">
            <v>0.2248</v>
          </cell>
          <cell r="F127">
            <v>0.20232</v>
          </cell>
        </row>
        <row r="128">
          <cell r="A128" t="str">
            <v>NewPA9</v>
          </cell>
          <cell r="B128" t="str">
            <v>CM - M1 Goldgrain_Film</v>
          </cell>
          <cell r="C128" t="str">
            <v>Packaging</v>
          </cell>
          <cell r="D128" t="str">
            <v>Each</v>
          </cell>
          <cell r="E128">
            <v>1.4200000000000001E-2</v>
          </cell>
          <cell r="F128">
            <v>1.2780000000000001E-2</v>
          </cell>
        </row>
        <row r="129">
          <cell r="A129" t="str">
            <v>PA00044</v>
          </cell>
          <cell r="B129" t="str">
            <v>ECB Coconut Crunchems Outers X 12</v>
          </cell>
          <cell r="C129" t="str">
            <v>Packaging</v>
          </cell>
          <cell r="D129" t="str">
            <v>Each</v>
          </cell>
          <cell r="E129">
            <v>0.20119999999999999</v>
          </cell>
          <cell r="F129">
            <v>0.18107999999999999</v>
          </cell>
        </row>
        <row r="130">
          <cell r="A130" t="str">
            <v>NEWPA40</v>
          </cell>
          <cell r="B130" t="str">
            <v>PL - Co-op Irresistible Triple Chocolate Cookies_Film</v>
          </cell>
          <cell r="C130" t="str">
            <v>Packaging</v>
          </cell>
          <cell r="D130" t="str">
            <v>Each</v>
          </cell>
          <cell r="E130">
            <v>1.4200000000000001E-2</v>
          </cell>
          <cell r="F130">
            <v>1.2780000000000001E-2</v>
          </cell>
        </row>
        <row r="131">
          <cell r="A131" t="str">
            <v>PA00043</v>
          </cell>
          <cell r="B131" t="str">
            <v>ECB Ginger Crunchems Outers X 12</v>
          </cell>
          <cell r="C131" t="str">
            <v>Packaging</v>
          </cell>
          <cell r="D131" t="str">
            <v>Each</v>
          </cell>
          <cell r="E131">
            <v>0.2011</v>
          </cell>
          <cell r="F131">
            <v>0.18099000000000001</v>
          </cell>
        </row>
        <row r="132">
          <cell r="A132" t="str">
            <v>NewPA10</v>
          </cell>
          <cell r="B132" t="str">
            <v>CM - M1 Goldgrain_Case</v>
          </cell>
          <cell r="C132" t="str">
            <v>Packaging</v>
          </cell>
          <cell r="D132" t="str">
            <v>Each</v>
          </cell>
          <cell r="E132">
            <v>0.2248</v>
          </cell>
          <cell r="F132">
            <v>0.20232</v>
          </cell>
        </row>
        <row r="133">
          <cell r="A133" t="str">
            <v>PA00080</v>
          </cell>
          <cell r="B133" t="str">
            <v>ECB Granola Crunchy Nuts &amp; Seeds 12 x 160g Outers</v>
          </cell>
          <cell r="C133" t="str">
            <v>Packaging</v>
          </cell>
          <cell r="D133" t="str">
            <v>Each</v>
          </cell>
          <cell r="E133">
            <v>0.23100000000000001</v>
          </cell>
          <cell r="F133">
            <v>0.2079</v>
          </cell>
        </row>
        <row r="134">
          <cell r="A134" t="str">
            <v>PA00081</v>
          </cell>
          <cell r="B134" t="str">
            <v>ECB Granola Crunchy Choc Chip 12 x 160G ( Outers )</v>
          </cell>
          <cell r="C134" t="str">
            <v>Packaging</v>
          </cell>
          <cell r="D134" t="str">
            <v>Each</v>
          </cell>
          <cell r="E134">
            <v>0.23100000000000001</v>
          </cell>
          <cell r="F134">
            <v>0.2079</v>
          </cell>
        </row>
        <row r="135">
          <cell r="A135" t="str">
            <v>PA00070</v>
          </cell>
          <cell r="B135" t="str">
            <v>ECB Granola Crunchy with Nuts &amp; Seeds Film ( UK &amp; Ire )</v>
          </cell>
          <cell r="C135" t="str">
            <v>Packaging</v>
          </cell>
          <cell r="D135" t="str">
            <v>Each</v>
          </cell>
          <cell r="E135">
            <v>1.8800000000000001E-2</v>
          </cell>
          <cell r="F135">
            <v>1.6920000000000001E-2</v>
          </cell>
        </row>
        <row r="136">
          <cell r="A136" t="str">
            <v>PA00071</v>
          </cell>
          <cell r="B136" t="str">
            <v>ECB Granola Crunchy with Choc Chips Film ( UK &amp; Ire )</v>
          </cell>
          <cell r="C136" t="str">
            <v>Packaging</v>
          </cell>
          <cell r="D136" t="str">
            <v>Each</v>
          </cell>
          <cell r="E136">
            <v>1.8800000000000001E-2</v>
          </cell>
          <cell r="F136">
            <v>1.6920000000000001E-2</v>
          </cell>
        </row>
        <row r="137">
          <cell r="A137" t="str">
            <v>PA00040</v>
          </cell>
          <cell r="B137" t="str">
            <v>Coconut Crunch'ems Film</v>
          </cell>
          <cell r="C137" t="str">
            <v>Packaging</v>
          </cell>
          <cell r="D137" t="str">
            <v>Each</v>
          </cell>
          <cell r="E137">
            <v>1.2999999999999999E-2</v>
          </cell>
          <cell r="F137">
            <v>1.17E-2</v>
          </cell>
        </row>
        <row r="138">
          <cell r="A138" t="str">
            <v>PA00039</v>
          </cell>
          <cell r="B138" t="str">
            <v>Ginger Crunch'ems Film</v>
          </cell>
          <cell r="C138" t="str">
            <v>Packaging</v>
          </cell>
          <cell r="D138" t="str">
            <v>Each</v>
          </cell>
          <cell r="E138">
            <v>1.41E-2</v>
          </cell>
          <cell r="F138">
            <v>1.269E-2</v>
          </cell>
        </row>
        <row r="139">
          <cell r="A139" t="str">
            <v>PA00042</v>
          </cell>
          <cell r="B139" t="str">
            <v>ECB HC Butter Crunch Film</v>
          </cell>
          <cell r="C139" t="str">
            <v>Packaging</v>
          </cell>
          <cell r="D139" t="str">
            <v>Each</v>
          </cell>
          <cell r="E139">
            <v>1.9199999999999998E-2</v>
          </cell>
          <cell r="F139">
            <v>1.728E-2</v>
          </cell>
        </row>
        <row r="140">
          <cell r="A140" t="str">
            <v>NEWPA43</v>
          </cell>
          <cell r="B140" t="str">
            <v>PL - Co-op Irresistible Salted Caramel Cookies_Case</v>
          </cell>
          <cell r="C140" t="str">
            <v>Packaging</v>
          </cell>
          <cell r="D140" t="str">
            <v>Each</v>
          </cell>
          <cell r="E140">
            <v>0.2248</v>
          </cell>
          <cell r="F140">
            <v>0.20232</v>
          </cell>
        </row>
        <row r="141">
          <cell r="A141" t="str">
            <v>PA00046</v>
          </cell>
          <cell r="B141" t="str">
            <v>ECB HC Butter Crunch Outers X 12</v>
          </cell>
          <cell r="C141" t="str">
            <v>Packaging</v>
          </cell>
          <cell r="D141" t="str">
            <v>Each</v>
          </cell>
          <cell r="E141">
            <v>0.19889999999999999</v>
          </cell>
          <cell r="F141">
            <v>0.17901</v>
          </cell>
        </row>
        <row r="142">
          <cell r="A142" t="str">
            <v>PA00076</v>
          </cell>
          <cell r="B142" t="str">
            <v>ECB Crunchems Coconut Crunch ( Outers ) USA</v>
          </cell>
          <cell r="C142" t="str">
            <v>Packaging</v>
          </cell>
          <cell r="D142" t="str">
            <v>Each</v>
          </cell>
          <cell r="E142">
            <v>0.223</v>
          </cell>
          <cell r="F142">
            <v>0.20070000000000002</v>
          </cell>
        </row>
        <row r="143">
          <cell r="A143" t="str">
            <v>PA00077</v>
          </cell>
          <cell r="B143" t="str">
            <v>ECB Crunchems Ginger Crunch ( Outers ) USA</v>
          </cell>
          <cell r="C143" t="str">
            <v>Packaging</v>
          </cell>
          <cell r="D143" t="str">
            <v>Each</v>
          </cell>
          <cell r="E143">
            <v>0.223</v>
          </cell>
          <cell r="F143">
            <v>0.20070000000000002</v>
          </cell>
        </row>
        <row r="144">
          <cell r="A144" t="str">
            <v>PA00078</v>
          </cell>
          <cell r="B144" t="str">
            <v>ECB Butter Crunch Choc Enrobed ( outers ) USA</v>
          </cell>
          <cell r="C144" t="str">
            <v>Packaging</v>
          </cell>
          <cell r="D144" t="str">
            <v>Each</v>
          </cell>
          <cell r="E144">
            <v>0.2175</v>
          </cell>
          <cell r="F144">
            <v>0.19575000000000001</v>
          </cell>
        </row>
        <row r="145">
          <cell r="A145" t="str">
            <v>NEWPA45</v>
          </cell>
          <cell r="B145" t="str">
            <v>PL - Co-op Irresistible White Chocolate Cookies_Case</v>
          </cell>
          <cell r="C145" t="str">
            <v>Packaging</v>
          </cell>
          <cell r="D145" t="str">
            <v>Each</v>
          </cell>
          <cell r="E145">
            <v>0.2248</v>
          </cell>
          <cell r="F145">
            <v>0.20232</v>
          </cell>
        </row>
        <row r="146">
          <cell r="A146" t="str">
            <v>PA00067</v>
          </cell>
          <cell r="B146" t="str">
            <v>ECB Milk Chocolate Enrobed Butter Crunch ( US ) Film</v>
          </cell>
          <cell r="C146" t="str">
            <v>Packaging</v>
          </cell>
          <cell r="D146" t="str">
            <v>Each</v>
          </cell>
          <cell r="E146">
            <v>1.7100000000000001E-2</v>
          </cell>
          <cell r="F146">
            <v>1.5390000000000001E-2</v>
          </cell>
        </row>
        <row r="147">
          <cell r="A147" t="str">
            <v>PA00068</v>
          </cell>
          <cell r="B147" t="str">
            <v>ECB Coconut Crunch ( US ) Film</v>
          </cell>
          <cell r="C147" t="str">
            <v>Packaging</v>
          </cell>
          <cell r="D147" t="str">
            <v>Each</v>
          </cell>
          <cell r="E147">
            <v>1.7100000000000001E-2</v>
          </cell>
          <cell r="F147">
            <v>1.5390000000000001E-2</v>
          </cell>
        </row>
        <row r="148">
          <cell r="A148" t="str">
            <v>PA00069</v>
          </cell>
          <cell r="B148" t="str">
            <v>ECB Ginger Crunch ( US ) Film</v>
          </cell>
          <cell r="C148" t="str">
            <v>Packaging</v>
          </cell>
          <cell r="D148" t="str">
            <v>Each</v>
          </cell>
          <cell r="E148">
            <v>1.7100000000000001E-2</v>
          </cell>
          <cell r="F148">
            <v>1.5390000000000001E-2</v>
          </cell>
        </row>
        <row r="149">
          <cell r="A149" t="str">
            <v>NEWPA42</v>
          </cell>
          <cell r="B149" t="str">
            <v>PL - Co-op Irresistible Salted Caramel Cookies_Film</v>
          </cell>
          <cell r="C149" t="str">
            <v>Packaging</v>
          </cell>
          <cell r="D149" t="str">
            <v>Each</v>
          </cell>
          <cell r="E149">
            <v>1.4200000000000001E-2</v>
          </cell>
          <cell r="F149">
            <v>1.2780000000000001E-2</v>
          </cell>
        </row>
        <row r="150">
          <cell r="A150" t="str">
            <v>NewPA27</v>
          </cell>
          <cell r="B150" t="str">
            <v>2 x 24 pack Caramel &amp; Pecan_Film</v>
          </cell>
          <cell r="C150" t="str">
            <v>Packaging</v>
          </cell>
          <cell r="D150" t="str">
            <v>Each</v>
          </cell>
          <cell r="E150">
            <v>1.4200000000000001E-2</v>
          </cell>
          <cell r="F150">
            <v>1.2780000000000001E-2</v>
          </cell>
        </row>
        <row r="151">
          <cell r="A151" t="str">
            <v>NEWPA27</v>
          </cell>
          <cell r="B151" t="str">
            <v>2 x 24 pack Caramel &amp; Pecan_Film</v>
          </cell>
          <cell r="C151" t="str">
            <v>Packaging</v>
          </cell>
          <cell r="D151" t="str">
            <v>Each</v>
          </cell>
          <cell r="E151">
            <v>1.4200000000000001E-2</v>
          </cell>
          <cell r="F151">
            <v>1.2780000000000001E-2</v>
          </cell>
        </row>
        <row r="152">
          <cell r="A152" t="str">
            <v>NewPA28</v>
          </cell>
          <cell r="B152" t="str">
            <v>2 x 24 pack Caramel &amp; Pecan_Case</v>
          </cell>
          <cell r="C152" t="str">
            <v>Packaging</v>
          </cell>
          <cell r="D152" t="str">
            <v>Each</v>
          </cell>
          <cell r="E152">
            <v>0.2248</v>
          </cell>
          <cell r="F152">
            <v>0.20232</v>
          </cell>
        </row>
        <row r="153">
          <cell r="A153" t="str">
            <v>NEWPA28</v>
          </cell>
          <cell r="B153" t="str">
            <v>2 x 24 pack Caramel &amp; Pecan_Case</v>
          </cell>
          <cell r="C153" t="str">
            <v>Packaging</v>
          </cell>
          <cell r="D153" t="str">
            <v>Each</v>
          </cell>
          <cell r="E153">
            <v>0.2248</v>
          </cell>
          <cell r="F153">
            <v>0.20232</v>
          </cell>
        </row>
        <row r="154">
          <cell r="A154" t="str">
            <v>NewPA29</v>
          </cell>
          <cell r="B154" t="str">
            <v>2 x 24 pack Granola_Film</v>
          </cell>
          <cell r="C154" t="str">
            <v>Packaging</v>
          </cell>
          <cell r="D154" t="str">
            <v>Each</v>
          </cell>
          <cell r="E154">
            <v>1.4200000000000001E-2</v>
          </cell>
          <cell r="F154">
            <v>1.2780000000000001E-2</v>
          </cell>
        </row>
        <row r="155">
          <cell r="A155" t="str">
            <v>NEWPA29</v>
          </cell>
          <cell r="B155" t="str">
            <v>2 x 24 pack Granola_Film</v>
          </cell>
          <cell r="C155" t="str">
            <v>Packaging</v>
          </cell>
          <cell r="D155" t="str">
            <v>Each</v>
          </cell>
          <cell r="E155">
            <v>1.4200000000000001E-2</v>
          </cell>
          <cell r="F155">
            <v>1.2780000000000001E-2</v>
          </cell>
        </row>
        <row r="156">
          <cell r="A156" t="str">
            <v>PA00062</v>
          </cell>
          <cell r="B156" t="str">
            <v>ECB Twin Choc Chunk Catering Pack Film</v>
          </cell>
          <cell r="C156" t="str">
            <v>Packaging</v>
          </cell>
          <cell r="D156" t="str">
            <v>Each</v>
          </cell>
          <cell r="E156">
            <v>1.4200000000000001E-2</v>
          </cell>
          <cell r="F156">
            <v>1.2780000000000001E-2</v>
          </cell>
        </row>
        <row r="157">
          <cell r="A157" t="str">
            <v>NewPA30</v>
          </cell>
          <cell r="B157" t="str">
            <v>2 x 24 pack Granola_Case</v>
          </cell>
          <cell r="C157" t="str">
            <v>Packaging</v>
          </cell>
          <cell r="D157" t="str">
            <v>Each</v>
          </cell>
          <cell r="E157">
            <v>0.2248</v>
          </cell>
          <cell r="F157">
            <v>0.20232</v>
          </cell>
        </row>
        <row r="158">
          <cell r="A158" t="str">
            <v>NEWPA30</v>
          </cell>
          <cell r="B158" t="str">
            <v>2 x 24 pack Granola_Case</v>
          </cell>
          <cell r="C158" t="str">
            <v>Packaging</v>
          </cell>
          <cell r="D158" t="str">
            <v>Each</v>
          </cell>
          <cell r="E158">
            <v>0.2248</v>
          </cell>
          <cell r="F158">
            <v>0.20232</v>
          </cell>
        </row>
        <row r="159">
          <cell r="A159" t="str">
            <v>PA00065</v>
          </cell>
          <cell r="B159" t="str">
            <v>Irish Girl Guides Choc Chip Cookie Film</v>
          </cell>
          <cell r="C159" t="str">
            <v>Packaging</v>
          </cell>
          <cell r="D159" t="str">
            <v>Each</v>
          </cell>
          <cell r="E159">
            <v>1.6E-2</v>
          </cell>
          <cell r="F159">
            <v>1.4E-2</v>
          </cell>
        </row>
        <row r="160">
          <cell r="A160" t="str">
            <v>PA00047</v>
          </cell>
          <cell r="B160" t="str">
            <v>Girl Guide Outers</v>
          </cell>
          <cell r="C160" t="str">
            <v>Packaging</v>
          </cell>
          <cell r="D160" t="str">
            <v>Each</v>
          </cell>
          <cell r="E160">
            <v>0.22500000000000001</v>
          </cell>
          <cell r="F160">
            <v>0.2</v>
          </cell>
        </row>
        <row r="161">
          <cell r="A161" t="str">
            <v>PA00035</v>
          </cell>
          <cell r="B161" t="str">
            <v>Oh My Half Emrobbed Choc Chip cookie film</v>
          </cell>
          <cell r="C161" t="str">
            <v>Packaging</v>
          </cell>
          <cell r="D161" t="str">
            <v>Each</v>
          </cell>
          <cell r="E161">
            <v>1.6E-2</v>
          </cell>
          <cell r="F161">
            <v>1.4E-2</v>
          </cell>
        </row>
        <row r="162">
          <cell r="A162" t="str">
            <v>PA00036</v>
          </cell>
          <cell r="B162" t="str">
            <v>Oh My Half Emrobbed Choc chip Outer X 24</v>
          </cell>
          <cell r="C162" t="str">
            <v>Packaging</v>
          </cell>
          <cell r="D162" t="str">
            <v>Each</v>
          </cell>
          <cell r="E162">
            <v>0.22500000000000001</v>
          </cell>
          <cell r="F162">
            <v>0.2</v>
          </cell>
        </row>
        <row r="163">
          <cell r="A163" t="str">
            <v>PA00009</v>
          </cell>
          <cell r="B163" t="str">
            <v>Machine Tape 50M x 900 Mtrs</v>
          </cell>
          <cell r="C163" t="str">
            <v>Packaging</v>
          </cell>
        </row>
        <row r="164">
          <cell r="A164" t="str">
            <v>PA00017</v>
          </cell>
          <cell r="B164" t="str">
            <v>Blue Topcovers 750/1000 x1500x50mm</v>
          </cell>
          <cell r="C164" t="str">
            <v>Packaging</v>
          </cell>
        </row>
        <row r="165">
          <cell r="A165" t="str">
            <v>CO00004</v>
          </cell>
          <cell r="B165" t="str">
            <v>Std 3520 Ribbon 55 x 1000</v>
          </cell>
        </row>
        <row r="166">
          <cell r="A166" t="str">
            <v>ED00099</v>
          </cell>
          <cell r="B166" t="str">
            <v>Butter Buds 32X</v>
          </cell>
          <cell r="C166" t="str">
            <v>Ingredients</v>
          </cell>
          <cell r="D166" t="str">
            <v>Kg</v>
          </cell>
          <cell r="F166">
            <v>8.64</v>
          </cell>
        </row>
        <row r="167">
          <cell r="A167" t="str">
            <v>ED00115</v>
          </cell>
          <cell r="B167" t="str">
            <v>Light Malt Rxtract 1032A EDME</v>
          </cell>
          <cell r="C167" t="str">
            <v>Ingredients</v>
          </cell>
          <cell r="D167" t="str">
            <v>Kg</v>
          </cell>
          <cell r="E167">
            <v>0</v>
          </cell>
          <cell r="F167">
            <v>5</v>
          </cell>
        </row>
        <row r="168">
          <cell r="A168" t="str">
            <v>ED00130</v>
          </cell>
          <cell r="B168" t="str">
            <v>Ground Ginger GRGI25kg ( Sleafords )</v>
          </cell>
          <cell r="C168" t="str">
            <v>Ingredients</v>
          </cell>
          <cell r="D168" t="str">
            <v>Kg</v>
          </cell>
          <cell r="F168">
            <v>3.75</v>
          </cell>
        </row>
        <row r="169">
          <cell r="A169" t="str">
            <v>ED00131</v>
          </cell>
          <cell r="B169" t="str">
            <v>Bran Bakers Neills ( 10KG ) Allied Mills</v>
          </cell>
          <cell r="C169" t="str">
            <v>Ingredients</v>
          </cell>
          <cell r="D169" t="str">
            <v>Kg</v>
          </cell>
          <cell r="F169">
            <v>0.42</v>
          </cell>
        </row>
        <row r="170">
          <cell r="A170" t="str">
            <v>ED00132</v>
          </cell>
          <cell r="B170" t="str">
            <v>Golden Syrup (FINLAYS)</v>
          </cell>
          <cell r="C170" t="str">
            <v>Ingredients</v>
          </cell>
          <cell r="D170" t="str">
            <v>Kg</v>
          </cell>
          <cell r="F170" t="str">
            <v>do not buy</v>
          </cell>
        </row>
        <row r="171">
          <cell r="A171" t="str">
            <v>ED00160</v>
          </cell>
          <cell r="B171" t="str">
            <v>Toffee Flavour Liquid 2SX- 86130 Synergy</v>
          </cell>
          <cell r="C171" t="str">
            <v>Ingredients</v>
          </cell>
          <cell r="D171" t="str">
            <v>Kg</v>
          </cell>
          <cell r="F171">
            <v>58</v>
          </cell>
        </row>
        <row r="172">
          <cell r="A172" t="str">
            <v>ED00161</v>
          </cell>
          <cell r="B172" t="str">
            <v>Whey Protein Isolate Volactive Ultra Whey 90</v>
          </cell>
          <cell r="C172" t="str">
            <v>Ingredients</v>
          </cell>
          <cell r="D172" t="str">
            <v>Kg</v>
          </cell>
          <cell r="F172">
            <v>6.9</v>
          </cell>
        </row>
        <row r="173">
          <cell r="A173" t="str">
            <v>ED00162</v>
          </cell>
          <cell r="B173" t="str">
            <v>Small Whey Crisps Volactive Procrisp</v>
          </cell>
          <cell r="C173" t="str">
            <v>Ingredients</v>
          </cell>
          <cell r="D173" t="str">
            <v>Kg</v>
          </cell>
          <cell r="F173">
            <v>7.5</v>
          </cell>
        </row>
        <row r="174">
          <cell r="A174" t="str">
            <v>ED00163</v>
          </cell>
          <cell r="B174" t="str">
            <v>Medium Whey Crisps Volactive Pro Crisp</v>
          </cell>
          <cell r="C174" t="str">
            <v>Ingredients</v>
          </cell>
          <cell r="D174" t="str">
            <v>Kg</v>
          </cell>
          <cell r="F174">
            <v>7.25</v>
          </cell>
        </row>
        <row r="175">
          <cell r="A175" t="str">
            <v>ED00172</v>
          </cell>
          <cell r="B175" t="str">
            <v>Caramel Coffee Powder (Synergy) 5sp 90543</v>
          </cell>
          <cell r="C175" t="str">
            <v>Ingredients</v>
          </cell>
          <cell r="D175" t="str">
            <v>Kg</v>
          </cell>
          <cell r="F175">
            <v>40</v>
          </cell>
        </row>
        <row r="176">
          <cell r="A176" t="str">
            <v>PA00005</v>
          </cell>
          <cell r="B176" t="str">
            <v>Box Liners Blue</v>
          </cell>
          <cell r="C176" t="str">
            <v>Packaging</v>
          </cell>
          <cell r="F176">
            <v>7.8E-2</v>
          </cell>
        </row>
        <row r="177">
          <cell r="A177" t="str">
            <v>PA00014</v>
          </cell>
          <cell r="B177" t="str">
            <v>Machine Pallet Film 500/23 PPS 18K</v>
          </cell>
          <cell r="C177" t="str">
            <v>Packaging</v>
          </cell>
          <cell r="F177">
            <v>1.99</v>
          </cell>
        </row>
        <row r="178">
          <cell r="A178" t="str">
            <v>PA00061</v>
          </cell>
          <cell r="B178" t="str">
            <v>ECB Single Choc Chunk Catering Pack Film</v>
          </cell>
          <cell r="C178" t="str">
            <v>Packaging</v>
          </cell>
          <cell r="F178">
            <v>1.0999999999999999E-2</v>
          </cell>
        </row>
        <row r="179">
          <cell r="A179" t="str">
            <v>PA00064</v>
          </cell>
          <cell r="B179" t="str">
            <v>Square Heavy Box 265 x 250 x 260</v>
          </cell>
          <cell r="C179" t="str">
            <v>Packaging</v>
          </cell>
          <cell r="F179">
            <v>0.28749999999999998</v>
          </cell>
        </row>
        <row r="180">
          <cell r="A180" t="str">
            <v>PA00086</v>
          </cell>
          <cell r="B180" t="str">
            <v>Jacobs Goldgrain 24 x 300G Outer</v>
          </cell>
          <cell r="C180" t="str">
            <v>Packaging</v>
          </cell>
          <cell r="F180">
            <v>0.28000000000000003</v>
          </cell>
        </row>
        <row r="181">
          <cell r="A181" t="str">
            <v>PA00087</v>
          </cell>
          <cell r="B181" t="str">
            <v>Jacobs Ginger Nut 200g  Outer</v>
          </cell>
          <cell r="C181" t="str">
            <v>Packaging</v>
          </cell>
          <cell r="F181">
            <v>0.28999999999999998</v>
          </cell>
        </row>
        <row r="182">
          <cell r="A182" t="str">
            <v>PA00088</v>
          </cell>
          <cell r="B182" t="str">
            <v>Bolands Chocolate Chip Cookies Outer 145G</v>
          </cell>
          <cell r="C182" t="str">
            <v>Packaging</v>
          </cell>
          <cell r="F182">
            <v>0.23</v>
          </cell>
        </row>
        <row r="183">
          <cell r="A183" t="str">
            <v>PA00091</v>
          </cell>
          <cell r="B183" t="str">
            <v>Jacobs Goldgrain 400g Film</v>
          </cell>
          <cell r="C183" t="str">
            <v>Packaging</v>
          </cell>
          <cell r="F183">
            <v>1.4200000000000001E-2</v>
          </cell>
        </row>
        <row r="184">
          <cell r="A184" t="str">
            <v>PA00092</v>
          </cell>
          <cell r="B184" t="str">
            <v>Jacobs Ginger Nut 200g Film</v>
          </cell>
          <cell r="C184" t="str">
            <v>Packaging</v>
          </cell>
          <cell r="F184">
            <v>1.4800000000000001E-2</v>
          </cell>
        </row>
        <row r="185">
          <cell r="A185" t="str">
            <v>PA00093</v>
          </cell>
          <cell r="B185" t="str">
            <v>Bolands Chocolate Chip Cookies 145g Film</v>
          </cell>
          <cell r="C185" t="str">
            <v>Packaging</v>
          </cell>
          <cell r="F185">
            <v>1.3100000000000001E-2</v>
          </cell>
        </row>
        <row r="186">
          <cell r="A186" t="str">
            <v>PA00096</v>
          </cell>
          <cell r="B186" t="str">
            <v>Milk Chocolate Chunk Cookie Outer (M)</v>
          </cell>
          <cell r="C186" t="str">
            <v>Packaging</v>
          </cell>
          <cell r="F186">
            <v>0.2397</v>
          </cell>
        </row>
        <row r="187">
          <cell r="A187" t="str">
            <v>PA00097</v>
          </cell>
          <cell r="B187" t="str">
            <v>Enrobed Milk Chocolate Chunk  Outer (M)</v>
          </cell>
          <cell r="C187" t="str">
            <v>Packaging</v>
          </cell>
          <cell r="F187">
            <v>0.2397</v>
          </cell>
        </row>
        <row r="188">
          <cell r="A188" t="str">
            <v>PA00098</v>
          </cell>
          <cell r="B188" t="str">
            <v>Stem Ginger &amp; Choc Chunk Outer (M)</v>
          </cell>
          <cell r="C188" t="str">
            <v>Packaging</v>
          </cell>
          <cell r="F188">
            <v>0.2397</v>
          </cell>
        </row>
        <row r="189">
          <cell r="A189" t="str">
            <v>PA00099</v>
          </cell>
          <cell r="B189" t="str">
            <v>Granola Cr with Nuts &amp; Seeds (M)</v>
          </cell>
          <cell r="C189" t="str">
            <v>Packaging</v>
          </cell>
          <cell r="F189">
            <v>0.2397</v>
          </cell>
        </row>
        <row r="190">
          <cell r="A190" t="str">
            <v>PA00100</v>
          </cell>
          <cell r="B190" t="str">
            <v>Triple Chocolate Chunk Outer (M)</v>
          </cell>
          <cell r="C190" t="str">
            <v>Packaging</v>
          </cell>
          <cell r="F190">
            <v>0.2397</v>
          </cell>
        </row>
        <row r="191">
          <cell r="A191" t="str">
            <v>PA00102</v>
          </cell>
          <cell r="B191" t="str">
            <v>Chocolate Enrobed Milk Chocolate Chunk Cookies Film (UK)</v>
          </cell>
          <cell r="C191" t="str">
            <v>Packaging</v>
          </cell>
          <cell r="F191">
            <v>1.49E-2</v>
          </cell>
        </row>
        <row r="192">
          <cell r="A192" t="str">
            <v>PA00103</v>
          </cell>
          <cell r="B192" t="str">
            <v>Stem Ginger &amp; Choc Chunk Crunchy Cookies  Film (UK)</v>
          </cell>
          <cell r="C192" t="str">
            <v>Packaging</v>
          </cell>
          <cell r="F192">
            <v>1.49E-2</v>
          </cell>
        </row>
        <row r="193">
          <cell r="A193" t="str">
            <v>PA00105</v>
          </cell>
          <cell r="B193" t="str">
            <v>Triple Chocolate Chunk  Cookies Film (UK)</v>
          </cell>
          <cell r="C193" t="str">
            <v>Packaging</v>
          </cell>
          <cell r="F193">
            <v>1.49E-2</v>
          </cell>
        </row>
        <row r="194">
          <cell r="A194" t="str">
            <v>PA00101</v>
          </cell>
          <cell r="B194" t="str">
            <v>Milk Chocolate Chunk Cookies Film (UK)</v>
          </cell>
          <cell r="C194" t="str">
            <v>Packaging</v>
          </cell>
          <cell r="F194">
            <v>1.49E-2</v>
          </cell>
        </row>
        <row r="195">
          <cell r="A195" t="str">
            <v>PA00108</v>
          </cell>
          <cell r="B195" t="str">
            <v>Regal Bakery Choc Chip 145G Outers</v>
          </cell>
          <cell r="C195" t="str">
            <v>Packaging</v>
          </cell>
          <cell r="F195">
            <v>0.21779999999999999</v>
          </cell>
        </row>
        <row r="196">
          <cell r="A196" t="str">
            <v>PA00109</v>
          </cell>
          <cell r="B196" t="str">
            <v>Regal Bakery Double Choc Chip 145G Outers</v>
          </cell>
          <cell r="C196" t="str">
            <v>Packaging</v>
          </cell>
          <cell r="F196">
            <v>0.21779999999999999</v>
          </cell>
        </row>
        <row r="197">
          <cell r="A197" t="str">
            <v>PA00111</v>
          </cell>
          <cell r="B197" t="str">
            <v>Hill Biscuit Ginger Nut Outer</v>
          </cell>
          <cell r="C197" t="str">
            <v>Packaging</v>
          </cell>
          <cell r="F197">
            <v>0.28749999999999998</v>
          </cell>
        </row>
        <row r="198">
          <cell r="A198" t="str">
            <v>ED00052</v>
          </cell>
          <cell r="B198" t="str">
            <v>White Chocolate Chunks 10x10x4 W29 ( Cargill )</v>
          </cell>
          <cell r="C198" t="str">
            <v>Ingredients</v>
          </cell>
          <cell r="F198">
            <v>3.59</v>
          </cell>
        </row>
        <row r="199">
          <cell r="A199" t="str">
            <v>PA00005</v>
          </cell>
          <cell r="B199" t="str">
            <v>Box Liners Blue</v>
          </cell>
          <cell r="C199" t="str">
            <v>Packaging</v>
          </cell>
        </row>
        <row r="200">
          <cell r="A200" t="str">
            <v>PA00104</v>
          </cell>
          <cell r="B200" t="str">
            <v>Granola Crunch with Nuts &amp; Seeds Film (UK)</v>
          </cell>
          <cell r="C200" t="str">
            <v>Packaging</v>
          </cell>
          <cell r="F200">
            <v>1.49E-2</v>
          </cell>
        </row>
        <row r="201">
          <cell r="A201" t="str">
            <v>PA00106</v>
          </cell>
          <cell r="B201" t="str">
            <v>Regal Bakery Choc Chip Cookie 145G Film</v>
          </cell>
          <cell r="C201" t="str">
            <v>Packaging</v>
          </cell>
          <cell r="E201">
            <v>0</v>
          </cell>
          <cell r="F201">
            <v>13.142540292769482</v>
          </cell>
        </row>
        <row r="202">
          <cell r="A202" t="str">
            <v>PA00107</v>
          </cell>
          <cell r="B202" t="str">
            <v>Regal Bakery Double Choc 145G Film</v>
          </cell>
          <cell r="C202" t="str">
            <v>Packaging</v>
          </cell>
          <cell r="E202">
            <v>0</v>
          </cell>
          <cell r="F202">
            <v>13.022718178989019</v>
          </cell>
        </row>
        <row r="203">
          <cell r="A203" t="str">
            <v>PA00110</v>
          </cell>
          <cell r="B203" t="str">
            <v>Hill Biscuit Ginger Nuts Film</v>
          </cell>
          <cell r="C203" t="str">
            <v>Packaging</v>
          </cell>
          <cell r="E203">
            <v>0</v>
          </cell>
          <cell r="F203">
            <v>4.9000000000000004</v>
          </cell>
        </row>
        <row r="204">
          <cell r="A204" t="str">
            <v>PA00111</v>
          </cell>
          <cell r="B204" t="str">
            <v>Hill Biscuit Ginger Nut Outer</v>
          </cell>
          <cell r="C204" t="str">
            <v>Packaging</v>
          </cell>
          <cell r="E204">
            <v>0</v>
          </cell>
          <cell r="F204">
            <v>0.26</v>
          </cell>
        </row>
        <row r="205">
          <cell r="A205" t="str">
            <v>PA00112</v>
          </cell>
          <cell r="B205" t="str">
            <v>50% extra free tray</v>
          </cell>
          <cell r="C205" t="str">
            <v>Packaging</v>
          </cell>
          <cell r="E205">
            <v>0</v>
          </cell>
          <cell r="F205">
            <v>2.1499999999999998E-2</v>
          </cell>
        </row>
        <row r="206">
          <cell r="A206" t="str">
            <v>ED00154</v>
          </cell>
          <cell r="B206" t="str">
            <v>Coconut Toasted Flavour Liquid (17433446 IFF)</v>
          </cell>
          <cell r="C206" t="str">
            <v>Ingredients</v>
          </cell>
          <cell r="E206">
            <v>0</v>
          </cell>
          <cell r="F206">
            <v>33.5</v>
          </cell>
        </row>
        <row r="207">
          <cell r="A207" t="str">
            <v>ED00175</v>
          </cell>
          <cell r="B207" t="str">
            <v>Chocolate Flavouring O/S  5SX-91066, Synergy</v>
          </cell>
          <cell r="C207" t="str">
            <v>Ingredients</v>
          </cell>
          <cell r="F207">
            <v>12.81</v>
          </cell>
        </row>
        <row r="208">
          <cell r="A208" t="str">
            <v>ED00176</v>
          </cell>
          <cell r="B208" t="str">
            <v>Coffee Caramel Flavouring SD 2SP-92260 (powder)</v>
          </cell>
          <cell r="C208" t="str">
            <v>Ingredients</v>
          </cell>
          <cell r="F208">
            <v>49.38</v>
          </cell>
        </row>
        <row r="209">
          <cell r="A209" t="str">
            <v>ED00177</v>
          </cell>
          <cell r="B209" t="str">
            <v>Toffee Flavouring SD 5SP-91500 (powder)</v>
          </cell>
          <cell r="C209" t="str">
            <v>Ingredients</v>
          </cell>
          <cell r="F209">
            <v>35.96</v>
          </cell>
        </row>
        <row r="210">
          <cell r="A210" t="str">
            <v>ED00179</v>
          </cell>
          <cell r="B210" t="str">
            <v>Milk Chocolate Reduced Sugar Buttons Cémoi 26013</v>
          </cell>
          <cell r="C210" t="str">
            <v>Ingredients</v>
          </cell>
          <cell r="F210">
            <v>4.13</v>
          </cell>
        </row>
        <row r="211">
          <cell r="A211" t="str">
            <v>ED00174</v>
          </cell>
          <cell r="B211" t="str">
            <v>Soy Protein Crisp with Cocoa 934-IP, PGP</v>
          </cell>
          <cell r="C211" t="str">
            <v>Ingredients</v>
          </cell>
          <cell r="F211">
            <v>5.68</v>
          </cell>
        </row>
        <row r="212">
          <cell r="A212" t="str">
            <v>PA00089</v>
          </cell>
          <cell r="B212" t="str">
            <v>Jacobs Polo Outer</v>
          </cell>
          <cell r="C212" t="str">
            <v>Packaging</v>
          </cell>
          <cell r="F212">
            <v>0.22</v>
          </cell>
        </row>
        <row r="213">
          <cell r="A213" t="str">
            <v>ED00178</v>
          </cell>
          <cell r="B213" t="str">
            <v>Nigerian/Indian Ground Ginger GRGI25kg (Redbrook)</v>
          </cell>
          <cell r="C213" t="str">
            <v>Ingredients</v>
          </cell>
          <cell r="F213">
            <v>3.3249999999999997</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03"/>
      <sheetName val="98"/>
      <sheetName val="101"/>
      <sheetName val="Stock at 041218 by age"/>
      <sheetName val="ALL"/>
      <sheetName val="Sheet5"/>
    </sheetNames>
    <sheetDataSet>
      <sheetData sheetId="0"/>
      <sheetData sheetId="1"/>
      <sheetData sheetId="2"/>
      <sheetData sheetId="3"/>
      <sheetData sheetId="4"/>
      <sheetData sheetId="5">
        <row r="3">
          <cell r="A3" t="str">
            <v>05.19</v>
          </cell>
          <cell r="B3" t="str">
            <v>3-6m</v>
          </cell>
        </row>
        <row r="4">
          <cell r="A4" t="str">
            <v>10.19</v>
          </cell>
          <cell r="B4" t="str">
            <v>9m +</v>
          </cell>
        </row>
        <row r="5">
          <cell r="A5" t="str">
            <v>02.19</v>
          </cell>
          <cell r="B5" t="str">
            <v>&lt;3m</v>
          </cell>
        </row>
        <row r="6">
          <cell r="A6" t="str">
            <v>04.19</v>
          </cell>
          <cell r="B6" t="str">
            <v>3-6m</v>
          </cell>
        </row>
        <row r="7">
          <cell r="A7" t="str">
            <v>09.19</v>
          </cell>
          <cell r="B7" t="str">
            <v>9m +</v>
          </cell>
        </row>
        <row r="8">
          <cell r="A8" t="str">
            <v>08.19</v>
          </cell>
          <cell r="B8" t="str">
            <v>6-9m</v>
          </cell>
        </row>
        <row r="9">
          <cell r="A9" t="str">
            <v>07.19</v>
          </cell>
          <cell r="B9" t="str">
            <v>6-9m</v>
          </cell>
        </row>
        <row r="10">
          <cell r="A10" t="str">
            <v>03.19</v>
          </cell>
          <cell r="B10" t="str">
            <v>3-6m</v>
          </cell>
        </row>
        <row r="11">
          <cell r="A11" t="str">
            <v>11.19</v>
          </cell>
          <cell r="B11" t="str">
            <v>9m +</v>
          </cell>
        </row>
        <row r="12">
          <cell r="A12" t="str">
            <v>06.19</v>
          </cell>
          <cell r="B12" t="str">
            <v>6-9m</v>
          </cell>
        </row>
        <row r="13">
          <cell r="A13" t="str">
            <v>12.19</v>
          </cell>
          <cell r="B13" t="str">
            <v>9m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Analysis"/>
      <sheetName val="Analysis HC"/>
      <sheetName val="SKU stock by week"/>
      <sheetName val="Production summary"/>
      <sheetName val="SALES summary by SKU"/>
      <sheetName val="Sales by customer"/>
      <sheetName val="Stock in Warehouse 1305"/>
      <sheetName val="Stock at 130519 by age"/>
      <sheetName val="Sheet2"/>
      <sheetName val="Budget Sales by cust 210219"/>
      <sheetName val="Fin Calendar"/>
      <sheetName val="Summary Analysis"/>
    </sheetNames>
    <sheetDataSet>
      <sheetData sheetId="0"/>
      <sheetData sheetId="1"/>
      <sheetData sheetId="2"/>
      <sheetData sheetId="3">
        <row r="12">
          <cell r="B12" t="str">
            <v>FEB0001</v>
          </cell>
          <cell r="C12" t="str">
            <v>ECB Milk Chocolate Chunk 12 x160g</v>
          </cell>
          <cell r="D12" t="str">
            <v>ECB</v>
          </cell>
          <cell r="E12">
            <v>5969</v>
          </cell>
        </row>
        <row r="13">
          <cell r="B13" t="str">
            <v>FEB0002</v>
          </cell>
          <cell r="C13" t="str">
            <v>ECB Caramel and Pecan (SG) 12 x 160g</v>
          </cell>
          <cell r="D13" t="str">
            <v>ECB</v>
          </cell>
          <cell r="E13">
            <v>3192</v>
          </cell>
        </row>
        <row r="14">
          <cell r="B14" t="str">
            <v>FEB0003</v>
          </cell>
          <cell r="C14" t="str">
            <v>Milk Chocolate Chunk Cookie 20g single pack</v>
          </cell>
          <cell r="D14" t="str">
            <v>ECB</v>
          </cell>
          <cell r="E14">
            <v>370</v>
          </cell>
        </row>
        <row r="15">
          <cell r="B15" t="str">
            <v>FEB0004</v>
          </cell>
          <cell r="C15" t="str">
            <v>ECB Chocolate Enrobed Milk Chocolate Chunk 12 x 160g</v>
          </cell>
          <cell r="D15" t="str">
            <v>ECB</v>
          </cell>
          <cell r="E15">
            <v>6442</v>
          </cell>
        </row>
        <row r="16">
          <cell r="B16" t="str">
            <v>FEB0005</v>
          </cell>
          <cell r="C16" t="str">
            <v>ECB Stem Ginger &amp; Chocolate Chunk Crunchy 12 x 160g</v>
          </cell>
          <cell r="D16" t="str">
            <v>ECB</v>
          </cell>
          <cell r="E16">
            <v>4462</v>
          </cell>
        </row>
        <row r="17">
          <cell r="B17" t="str">
            <v>FEB0006</v>
          </cell>
          <cell r="C17" t="str">
            <v>ECB Crunch'ems Ginger Crunch</v>
          </cell>
          <cell r="D17" t="str">
            <v>ECB</v>
          </cell>
          <cell r="E17">
            <v>1179</v>
          </cell>
        </row>
        <row r="18">
          <cell r="B18" t="str">
            <v>FEB0007</v>
          </cell>
          <cell r="C18" t="str">
            <v>ECB Crunch'ems Coconut Crunch</v>
          </cell>
          <cell r="D18" t="str">
            <v>ECB</v>
          </cell>
          <cell r="E18">
            <v>1760</v>
          </cell>
        </row>
        <row r="19">
          <cell r="B19" t="str">
            <v>FEB0008</v>
          </cell>
          <cell r="C19" t="str">
            <v>ECB Milk Chocolate Enrobed Butter Crunchem</v>
          </cell>
          <cell r="D19" t="str">
            <v>ECB</v>
          </cell>
          <cell r="E19">
            <v>0</v>
          </cell>
        </row>
        <row r="20">
          <cell r="B20" t="str">
            <v>FEB0009</v>
          </cell>
          <cell r="C20" t="str">
            <v>ECB Milk Chocolate Enrobed Oat Biscuits</v>
          </cell>
          <cell r="D20" t="str">
            <v>ECB</v>
          </cell>
          <cell r="E20">
            <v>0</v>
          </cell>
        </row>
        <row r="21">
          <cell r="B21" t="str">
            <v>FEB0010</v>
          </cell>
          <cell r="C21" t="str">
            <v>Milk Chocolate Chunk Cookie Half Coated 45g ( 2 X 24 ) SRP</v>
          </cell>
          <cell r="D21" t="str">
            <v>ECB</v>
          </cell>
          <cell r="E21">
            <v>5</v>
          </cell>
        </row>
        <row r="22">
          <cell r="B22" t="str">
            <v>FEB0011</v>
          </cell>
          <cell r="C22" t="str">
            <v>Milk Chocolate Chunk Cookie 40g Twin Pack SRP</v>
          </cell>
          <cell r="D22" t="str">
            <v>ECB</v>
          </cell>
          <cell r="E22">
            <v>136</v>
          </cell>
        </row>
        <row r="23">
          <cell r="B23" t="str">
            <v>FEB0012</v>
          </cell>
          <cell r="C23" t="str">
            <v>ECB Granola Crunchy with Nuts &amp; Seeds 160g</v>
          </cell>
          <cell r="D23" t="str">
            <v>ECB</v>
          </cell>
          <cell r="E23">
            <v>1944</v>
          </cell>
        </row>
        <row r="24">
          <cell r="B24" t="str">
            <v>FEB0013</v>
          </cell>
          <cell r="C24" t="str">
            <v>ECB Granola Crunchy with Choc Chips</v>
          </cell>
          <cell r="D24" t="str">
            <v>ECB</v>
          </cell>
          <cell r="E24">
            <v>2893</v>
          </cell>
        </row>
        <row r="25">
          <cell r="B25" t="str">
            <v>FEB0018</v>
          </cell>
          <cell r="C25" t="str">
            <v>ECB (USA) Ginger Crunch</v>
          </cell>
          <cell r="D25" t="str">
            <v>ECB</v>
          </cell>
          <cell r="E25">
            <v>0</v>
          </cell>
        </row>
        <row r="26">
          <cell r="B26" t="str">
            <v>FEB0019</v>
          </cell>
          <cell r="C26" t="str">
            <v>ECB (UK) Milk Choc Chunk 160g</v>
          </cell>
          <cell r="D26" t="str">
            <v>ECB</v>
          </cell>
          <cell r="E26">
            <v>7171</v>
          </cell>
        </row>
        <row r="27">
          <cell r="B27" t="str">
            <v>FEB0020</v>
          </cell>
          <cell r="C27" t="str">
            <v>ECB (UK) Chocolate Enrobed Milk Chocolate Chunk Cookie 160g</v>
          </cell>
          <cell r="D27" t="str">
            <v>ECB</v>
          </cell>
          <cell r="E27">
            <v>4302</v>
          </cell>
        </row>
        <row r="28">
          <cell r="B28" t="str">
            <v>FEB0021</v>
          </cell>
          <cell r="C28" t="str">
            <v>ECB (UK) Stem Ginger &amp; Chocolate Chunk Cookie 160g</v>
          </cell>
          <cell r="D28" t="str">
            <v>ECB</v>
          </cell>
          <cell r="E28">
            <v>4767</v>
          </cell>
        </row>
        <row r="29">
          <cell r="B29" t="str">
            <v>FEB0022</v>
          </cell>
          <cell r="C29" t="str">
            <v>ECB (UK) Granola Crunchy with Nuts &amp; Seeds 160g</v>
          </cell>
          <cell r="D29" t="str">
            <v>ECB</v>
          </cell>
          <cell r="E29">
            <v>2390</v>
          </cell>
        </row>
        <row r="30">
          <cell r="B30" t="str">
            <v>FEB0023</v>
          </cell>
          <cell r="C30" t="str">
            <v>ECB (UK) Triple Chocolate Chunk 160g</v>
          </cell>
          <cell r="D30" t="str">
            <v>ECB</v>
          </cell>
          <cell r="E30">
            <v>4644</v>
          </cell>
        </row>
        <row r="31">
          <cell r="B31" t="str">
            <v>FEB0024</v>
          </cell>
          <cell r="C31" t="str">
            <v>ECB (US) Milk Choc Chunk 160g</v>
          </cell>
          <cell r="D31" t="str">
            <v>ECB</v>
          </cell>
          <cell r="E31">
            <v>981</v>
          </cell>
        </row>
        <row r="32">
          <cell r="B32" t="str">
            <v>FEB0025</v>
          </cell>
          <cell r="C32" t="str">
            <v>ECB (US) Half Coated Milk Choc Chunk 160g</v>
          </cell>
          <cell r="D32" t="str">
            <v>ECB</v>
          </cell>
          <cell r="E32">
            <v>953</v>
          </cell>
        </row>
        <row r="33">
          <cell r="B33" t="str">
            <v>FEB0026</v>
          </cell>
          <cell r="C33" t="str">
            <v>ECB (US) Milk Choc Chunk Twin Pack 24s</v>
          </cell>
          <cell r="D33" t="str">
            <v>ECB</v>
          </cell>
          <cell r="E33">
            <v>0</v>
          </cell>
        </row>
        <row r="34">
          <cell r="B34" t="str">
            <v>FEB0027</v>
          </cell>
          <cell r="C34" t="str">
            <v>ECB (US) Half Coated Milk Choc Chunk Twin Pack 24s</v>
          </cell>
          <cell r="D34" t="str">
            <v>ECB</v>
          </cell>
          <cell r="E34">
            <v>0</v>
          </cell>
        </row>
        <row r="35">
          <cell r="B35" t="str">
            <v>FEB0028</v>
          </cell>
          <cell r="C35" t="str">
            <v>50% MCC</v>
          </cell>
          <cell r="D35" t="str">
            <v>ECB</v>
          </cell>
          <cell r="E35">
            <v>1646</v>
          </cell>
        </row>
        <row r="36">
          <cell r="B36" t="str">
            <v>FEB0029</v>
          </cell>
          <cell r="C36" t="str">
            <v>50% H/C MCC</v>
          </cell>
          <cell r="D36" t="str">
            <v>ECB</v>
          </cell>
          <cell r="E36">
            <v>2460</v>
          </cell>
        </row>
        <row r="37">
          <cell r="B37" t="str">
            <v>FEB0030</v>
          </cell>
          <cell r="C37" t="str">
            <v>50% Coconut Crunchem's</v>
          </cell>
          <cell r="D37" t="str">
            <v>ECB</v>
          </cell>
          <cell r="E37">
            <v>672</v>
          </cell>
        </row>
        <row r="38">
          <cell r="B38" t="str">
            <v>FEB0031</v>
          </cell>
          <cell r="C38" t="str">
            <v>50% Ginger Crunchem's</v>
          </cell>
          <cell r="D38" t="str">
            <v>ECB</v>
          </cell>
          <cell r="E38">
            <v>0</v>
          </cell>
        </row>
        <row r="39">
          <cell r="B39" t="str">
            <v>FEB0032</v>
          </cell>
          <cell r="C39" t="str">
            <v>50% Granola Nuts</v>
          </cell>
          <cell r="D39" t="str">
            <v>ECB</v>
          </cell>
          <cell r="E39">
            <v>2333</v>
          </cell>
        </row>
        <row r="40">
          <cell r="B40" t="str">
            <v>FEB0033</v>
          </cell>
          <cell r="C40" t="str">
            <v>ECB (Ire) Triple Chocolate Chunk 160g</v>
          </cell>
          <cell r="D40" t="str">
            <v>ECB</v>
          </cell>
          <cell r="E40">
            <v>1340</v>
          </cell>
        </row>
        <row r="41">
          <cell r="B41" t="str">
            <v>FGG0001</v>
          </cell>
          <cell r="C41" t="str">
            <v>Girl Guides Cookie</v>
          </cell>
          <cell r="D41" t="str">
            <v>Everyday Cookies</v>
          </cell>
          <cell r="E41">
            <v>0</v>
          </cell>
        </row>
        <row r="42">
          <cell r="B42" t="str">
            <v>FGR0001</v>
          </cell>
          <cell r="C42" t="str">
            <v>Carb Killa Biscuit Double Choc Twin Pack 50g*12*4 (Outer)</v>
          </cell>
          <cell r="D42" t="str">
            <v>Mixed</v>
          </cell>
          <cell r="E42">
            <v>1350</v>
          </cell>
        </row>
        <row r="43">
          <cell r="B43" t="str">
            <v>FGR0002</v>
          </cell>
          <cell r="C43" t="str">
            <v>Carb Killa Biscuit Salted Caramel Twin Pack 50g*12*4 (Outer)</v>
          </cell>
          <cell r="D43" t="str">
            <v>Mixed</v>
          </cell>
          <cell r="E43">
            <v>1372</v>
          </cell>
        </row>
        <row r="44">
          <cell r="B44" t="str">
            <v>FHL0001</v>
          </cell>
          <cell r="C44" t="str">
            <v>Hill Choc Chip Cookie 200g</v>
          </cell>
          <cell r="D44" t="str">
            <v>Everyday Cookies</v>
          </cell>
          <cell r="E44">
            <v>0</v>
          </cell>
        </row>
        <row r="45">
          <cell r="B45" t="str">
            <v>FHL0002</v>
          </cell>
          <cell r="C45" t="str">
            <v>Hill Ginger Nut 150g 36s</v>
          </cell>
          <cell r="D45" t="str">
            <v>Ginger</v>
          </cell>
          <cell r="E45">
            <v>14563</v>
          </cell>
        </row>
        <row r="46">
          <cell r="B46" t="str">
            <v>FHL0003</v>
          </cell>
          <cell r="C46" t="str">
            <v>Sarah Hill Milk Choc Chunk Cookie 160g</v>
          </cell>
          <cell r="D46" t="str">
            <v>ECB</v>
          </cell>
          <cell r="E46">
            <v>2840</v>
          </cell>
        </row>
        <row r="47">
          <cell r="B47" t="str">
            <v>FHL0004</v>
          </cell>
          <cell r="C47" t="str">
            <v>Sarah Hill Stem Ginger Cookie 160g</v>
          </cell>
          <cell r="D47" t="str">
            <v>ECB</v>
          </cell>
          <cell r="E47">
            <v>2506</v>
          </cell>
        </row>
        <row r="48">
          <cell r="B48" t="str">
            <v>FHL0005</v>
          </cell>
          <cell r="C48" t="str">
            <v>Sarah Hill Granola N&amp;S Cookie 160g</v>
          </cell>
          <cell r="D48" t="str">
            <v>ECB</v>
          </cell>
          <cell r="E48">
            <v>2803</v>
          </cell>
        </row>
        <row r="49">
          <cell r="B49" t="str">
            <v>FHL0006</v>
          </cell>
          <cell r="C49" t="str">
            <v>Sarah Hill Triple Choc Cookie 160g</v>
          </cell>
          <cell r="D49" t="str">
            <v>ECB</v>
          </cell>
          <cell r="E49">
            <v>2820</v>
          </cell>
        </row>
        <row r="50">
          <cell r="B50" t="str">
            <v>FHS0001</v>
          </cell>
          <cell r="C50" t="str">
            <v>Handi-Snax Choc Chip Cookie (8%)-single serve</v>
          </cell>
          <cell r="D50" t="str">
            <v>ECB</v>
          </cell>
          <cell r="E50">
            <v>0</v>
          </cell>
        </row>
        <row r="51">
          <cell r="B51" t="str">
            <v>FJA0001</v>
          </cell>
          <cell r="C51" t="str">
            <v>Jacobs Goldgrain</v>
          </cell>
          <cell r="D51" t="str">
            <v>Mixed</v>
          </cell>
          <cell r="E51">
            <v>580</v>
          </cell>
        </row>
        <row r="52">
          <cell r="B52" t="str">
            <v>FJA0002</v>
          </cell>
          <cell r="C52" t="str">
            <v>Jacobs Gingernut</v>
          </cell>
          <cell r="D52" t="str">
            <v>Mixed</v>
          </cell>
          <cell r="E52">
            <v>1754</v>
          </cell>
        </row>
        <row r="53">
          <cell r="B53" t="str">
            <v>FJA0003</v>
          </cell>
          <cell r="C53" t="str">
            <v>Jacobs Lincoln</v>
          </cell>
          <cell r="D53" t="str">
            <v>Mixed</v>
          </cell>
          <cell r="E53">
            <v>0</v>
          </cell>
        </row>
        <row r="54">
          <cell r="B54" t="str">
            <v>FJA0004</v>
          </cell>
          <cell r="C54" t="str">
            <v>Jacobs Polo</v>
          </cell>
          <cell r="D54" t="str">
            <v>Mixed</v>
          </cell>
          <cell r="E54">
            <v>1399</v>
          </cell>
        </row>
        <row r="55">
          <cell r="B55" t="str">
            <v>FJA0005</v>
          </cell>
          <cell r="C55" t="str">
            <v>Jacobs Polo (PMP) 200g €1.49</v>
          </cell>
          <cell r="D55" t="str">
            <v>Mixed</v>
          </cell>
          <cell r="E55">
            <v>1063</v>
          </cell>
        </row>
        <row r="56">
          <cell r="B56" t="str">
            <v>FJA0006</v>
          </cell>
          <cell r="C56" t="str">
            <v>Jacob's Lincoln (PMP €1.49) 200g</v>
          </cell>
          <cell r="D56" t="str">
            <v>Mixed</v>
          </cell>
          <cell r="E56">
            <v>141</v>
          </cell>
        </row>
        <row r="57">
          <cell r="B57" t="str">
            <v>FMT0001</v>
          </cell>
          <cell r="C57" t="str">
            <v>Montana Stem Ginger &amp; Chocolate Chunk Cookie 160g</v>
          </cell>
          <cell r="E57">
            <v>6147</v>
          </cell>
        </row>
        <row r="58">
          <cell r="B58" t="str">
            <v>FMT0002</v>
          </cell>
          <cell r="C58" t="str">
            <v>Montana Triple Chocolate Chunk 160g</v>
          </cell>
          <cell r="E58">
            <v>8283</v>
          </cell>
        </row>
        <row r="59">
          <cell r="B59" t="str">
            <v>FMT0003</v>
          </cell>
          <cell r="C59" t="str">
            <v>Montana Milk Choc Chunk 160g</v>
          </cell>
          <cell r="E59">
            <v>5121</v>
          </cell>
        </row>
        <row r="60">
          <cell r="B60" t="str">
            <v>FOM0005</v>
          </cell>
          <cell r="C60" t="str">
            <v>Oh My Double Choc Chip Cookie (14%) 145g</v>
          </cell>
          <cell r="D60" t="str">
            <v>Everyday Cookies</v>
          </cell>
          <cell r="E60">
            <v>7595</v>
          </cell>
        </row>
        <row r="61">
          <cell r="B61" t="str">
            <v>FOM0006</v>
          </cell>
          <cell r="C61" t="str">
            <v>Oh My Choc Chip Cookies (14%) 145g</v>
          </cell>
          <cell r="D61" t="str">
            <v>Everyday Cookies</v>
          </cell>
          <cell r="E61">
            <v>10344</v>
          </cell>
        </row>
        <row r="62">
          <cell r="B62" t="str">
            <v>FRG0001</v>
          </cell>
          <cell r="C62" t="str">
            <v>Regal Choc Chip Cookie (14%) 145g</v>
          </cell>
          <cell r="D62" t="str">
            <v>Everyday Cookies</v>
          </cell>
          <cell r="E62">
            <v>0</v>
          </cell>
        </row>
        <row r="63">
          <cell r="B63" t="str">
            <v>FRG0002</v>
          </cell>
          <cell r="C63" t="str">
            <v>Regal Double Choc Chip Cookies (14%) 145g</v>
          </cell>
          <cell r="D63" t="str">
            <v>Everyday Cookies</v>
          </cell>
          <cell r="E63">
            <v>0</v>
          </cell>
        </row>
        <row r="64">
          <cell r="B64" t="str">
            <v>FTS0001</v>
          </cell>
          <cell r="C64" t="str">
            <v>Tesco Choc Chip Cookies 22% 250g</v>
          </cell>
          <cell r="D64" t="str">
            <v>Everyday Cookies</v>
          </cell>
          <cell r="E64">
            <v>0</v>
          </cell>
        </row>
        <row r="65">
          <cell r="B65" t="str">
            <v>FTS0002</v>
          </cell>
          <cell r="C65" t="str">
            <v>Tesco Choc Chip Cookies 22% Twin Pack 500g</v>
          </cell>
          <cell r="D65" t="str">
            <v>Everyday Cookies</v>
          </cell>
          <cell r="E65">
            <v>0</v>
          </cell>
        </row>
        <row r="66">
          <cell r="B66" t="str">
            <v>FTS0003</v>
          </cell>
          <cell r="C66" t="str">
            <v>Ms Molly's Choc Chip Cookie 8% 250g</v>
          </cell>
          <cell r="D66" t="str">
            <v>Everyday Cookies</v>
          </cell>
          <cell r="E66">
            <v>0</v>
          </cell>
        </row>
        <row r="67">
          <cell r="B67" t="str">
            <v>FTS0004</v>
          </cell>
          <cell r="C67" t="str">
            <v>Tesco Oaties 300g</v>
          </cell>
          <cell r="D67" t="str">
            <v>Mixed</v>
          </cell>
          <cell r="E67">
            <v>0</v>
          </cell>
        </row>
        <row r="68">
          <cell r="B68" t="str">
            <v>FTS0005</v>
          </cell>
          <cell r="C68" t="str">
            <v>Tesco Half Coated Oaties 250g</v>
          </cell>
          <cell r="D68" t="str">
            <v>Mixed</v>
          </cell>
          <cell r="E68">
            <v>0</v>
          </cell>
        </row>
        <row r="69">
          <cell r="B69" t="str">
            <v>FTS0006</v>
          </cell>
          <cell r="C69" t="str">
            <v>Tesco Ginger Nut 300g</v>
          </cell>
          <cell r="D69" t="str">
            <v>Ginger</v>
          </cell>
          <cell r="E69">
            <v>0</v>
          </cell>
        </row>
        <row r="70">
          <cell r="B70" t="str">
            <v>NFFE9901</v>
          </cell>
          <cell r="C70" t="str">
            <v>ECB Butter New HC1</v>
          </cell>
          <cell r="D70" t="str">
            <v>ECB</v>
          </cell>
          <cell r="E70">
            <v>0</v>
          </cell>
        </row>
        <row r="71">
          <cell r="B71" t="str">
            <v>NFFE9902</v>
          </cell>
          <cell r="C71" t="str">
            <v>ECB Butter New HC2</v>
          </cell>
          <cell r="D71" t="str">
            <v>ECB</v>
          </cell>
          <cell r="E71">
            <v>0</v>
          </cell>
        </row>
        <row r="72">
          <cell r="B72" t="str">
            <v>NFFE9903</v>
          </cell>
          <cell r="C72" t="str">
            <v>ECB Butter New FC1</v>
          </cell>
          <cell r="D72" t="str">
            <v>ECB</v>
          </cell>
          <cell r="E72">
            <v>0</v>
          </cell>
        </row>
        <row r="73">
          <cell r="B73" t="str">
            <v>NFFE9904</v>
          </cell>
          <cell r="C73" t="str">
            <v>ECB Butter New FC2</v>
          </cell>
          <cell r="D73" t="str">
            <v>ECB</v>
          </cell>
          <cell r="E73">
            <v>0</v>
          </cell>
        </row>
        <row r="74">
          <cell r="B74" t="str">
            <v>NFFE9905</v>
          </cell>
          <cell r="C74" t="str">
            <v>ECB Butter New FC3</v>
          </cell>
          <cell r="D74" t="str">
            <v>ECB</v>
          </cell>
          <cell r="E74">
            <v>0</v>
          </cell>
        </row>
        <row r="75">
          <cell r="B75" t="str">
            <v>FHG9991</v>
          </cell>
          <cell r="C75" t="str">
            <v>My Protein MCC 160g</v>
          </cell>
          <cell r="D75" t="str">
            <v>Mixed</v>
          </cell>
          <cell r="E75">
            <v>0</v>
          </cell>
        </row>
        <row r="76">
          <cell r="B76" t="str">
            <v>FHG9992</v>
          </cell>
          <cell r="C76" t="str">
            <v>My Protein HC MCC 160g</v>
          </cell>
          <cell r="D76" t="str">
            <v>Mixed</v>
          </cell>
          <cell r="E76">
            <v>0</v>
          </cell>
        </row>
        <row r="77">
          <cell r="B77" t="str">
            <v>FHG9993</v>
          </cell>
          <cell r="C77" t="str">
            <v>My Protein Oaties 300g</v>
          </cell>
          <cell r="D77" t="str">
            <v>Mixed</v>
          </cell>
          <cell r="E77">
            <v>0</v>
          </cell>
        </row>
        <row r="78">
          <cell r="B78" t="str">
            <v>FHG9994</v>
          </cell>
          <cell r="C78" t="str">
            <v>My Protein HC Oaties 250g</v>
          </cell>
          <cell r="D78" t="str">
            <v>Mixed</v>
          </cell>
          <cell r="E78">
            <v>0</v>
          </cell>
        </row>
        <row r="79">
          <cell r="B79" t="str">
            <v>FHG9995</v>
          </cell>
          <cell r="C79" t="str">
            <v>My Protein Breakfast Biscuit 225g</v>
          </cell>
          <cell r="D79" t="str">
            <v>Mixed</v>
          </cell>
          <cell r="E79">
            <v>0</v>
          </cell>
        </row>
        <row r="80">
          <cell r="B80" t="str">
            <v>FHG9996</v>
          </cell>
          <cell r="C80" t="str">
            <v>My Protein Choc Breakfast Biscuit 225g</v>
          </cell>
          <cell r="D80" t="str">
            <v>Mixed</v>
          </cell>
          <cell r="E80">
            <v>0</v>
          </cell>
        </row>
        <row r="81">
          <cell r="B81" t="str">
            <v>FHG9997</v>
          </cell>
          <cell r="C81" t="str">
            <v>HC Digestive</v>
          </cell>
          <cell r="D81" t="str">
            <v>Mixed</v>
          </cell>
          <cell r="E81">
            <v>0</v>
          </cell>
        </row>
        <row r="82">
          <cell r="B82" t="str">
            <v>FHG9998</v>
          </cell>
          <cell r="C82" t="str">
            <v>High Protein Baked Cookies</v>
          </cell>
          <cell r="D82" t="str">
            <v>Mixed</v>
          </cell>
          <cell r="E82">
            <v>0</v>
          </cell>
        </row>
        <row r="83">
          <cell r="B83" t="str">
            <v>FHL9991</v>
          </cell>
          <cell r="C83" t="str">
            <v>Hill Ginger Nut 150g 15s</v>
          </cell>
          <cell r="D83" t="str">
            <v>Ginger</v>
          </cell>
          <cell r="E83">
            <v>0</v>
          </cell>
        </row>
        <row r="84">
          <cell r="B84" t="str">
            <v>FHL9992</v>
          </cell>
          <cell r="C84" t="str">
            <v>Hill Ginger Nut 250g 24s</v>
          </cell>
          <cell r="D84" t="str">
            <v>Ginger</v>
          </cell>
          <cell r="E84">
            <v>0</v>
          </cell>
        </row>
        <row r="85">
          <cell r="B85" t="str">
            <v>NFGR9901</v>
          </cell>
          <cell r="C85" t="str">
            <v>Carb Killa Biscuit Salted Caramel Single Pack 25g*24*4 (Outer)</v>
          </cell>
          <cell r="D85" t="str">
            <v>Mixed</v>
          </cell>
          <cell r="E85">
            <v>0</v>
          </cell>
        </row>
        <row r="86">
          <cell r="B86" t="str">
            <v>NFGR9902</v>
          </cell>
          <cell r="C86" t="str">
            <v>Carb Killa Biscuit Double Choc Single Pack 25g*24*4 (Outer)</v>
          </cell>
          <cell r="D86" t="str">
            <v>Mixed</v>
          </cell>
          <cell r="E86">
            <v>0</v>
          </cell>
        </row>
        <row r="87">
          <cell r="B87" t="str">
            <v>NFJA9901</v>
          </cell>
          <cell r="C87" t="str">
            <v>Jacobs Half Coated Polo</v>
          </cell>
          <cell r="D87" t="str">
            <v>Mixed</v>
          </cell>
          <cell r="E87">
            <v>0</v>
          </cell>
        </row>
        <row r="88">
          <cell r="B88" t="str">
            <v>NFJA9902</v>
          </cell>
          <cell r="C88" t="str">
            <v>Jacobs Half Coated Goldgrain</v>
          </cell>
          <cell r="D88" t="str">
            <v>Mixed</v>
          </cell>
          <cell r="E88">
            <v>0</v>
          </cell>
        </row>
        <row r="89">
          <cell r="B89" t="str">
            <v>NFJA9903</v>
          </cell>
          <cell r="C89" t="str">
            <v>Jacobs FC 1 200g</v>
          </cell>
          <cell r="D89" t="str">
            <v>Mixed</v>
          </cell>
          <cell r="E89">
            <v>0</v>
          </cell>
        </row>
        <row r="90">
          <cell r="B90" t="str">
            <v>NFJA9904</v>
          </cell>
          <cell r="C90" t="str">
            <v>Jacobs FC 2 200g</v>
          </cell>
          <cell r="D90" t="str">
            <v>Mixed</v>
          </cell>
          <cell r="E90">
            <v>0</v>
          </cell>
        </row>
        <row r="91">
          <cell r="B91" t="str">
            <v>NFJA9905</v>
          </cell>
          <cell r="C91" t="str">
            <v>Jacobs FC 3 200g</v>
          </cell>
          <cell r="D91" t="str">
            <v>Mixed</v>
          </cell>
          <cell r="E91">
            <v>0</v>
          </cell>
        </row>
        <row r="92">
          <cell r="B92" t="str">
            <v>NFJA9906</v>
          </cell>
          <cell r="C92" t="str">
            <v>Jacobs FC 3 200g</v>
          </cell>
          <cell r="D92" t="str">
            <v>Mixed</v>
          </cell>
          <cell r="E92">
            <v>0</v>
          </cell>
        </row>
        <row r="93">
          <cell r="B93" t="str">
            <v>NFJA9907</v>
          </cell>
          <cell r="C93" t="str">
            <v>Jacobs FC 3 200g</v>
          </cell>
          <cell r="D93" t="str">
            <v>Mixed</v>
          </cell>
          <cell r="E93">
            <v>0</v>
          </cell>
        </row>
        <row r="94">
          <cell r="B94" t="str">
            <v>NFJA9908</v>
          </cell>
          <cell r="C94" t="str">
            <v>Jacobs FC 3 200g</v>
          </cell>
          <cell r="D94" t="str">
            <v>Mixed</v>
          </cell>
          <cell r="E94">
            <v>0</v>
          </cell>
        </row>
        <row r="95">
          <cell r="B95" t="str">
            <v>NFJA9909</v>
          </cell>
          <cell r="C95" t="str">
            <v>Jacobs FC 3 200g</v>
          </cell>
          <cell r="D95" t="str">
            <v>Mixed</v>
          </cell>
          <cell r="E95">
            <v>0</v>
          </cell>
        </row>
        <row r="96">
          <cell r="B96" t="str">
            <v>NFJA9910</v>
          </cell>
          <cell r="C96" t="str">
            <v>Jacobs FC 3 200g</v>
          </cell>
          <cell r="D96" t="str">
            <v>Mixed</v>
          </cell>
          <cell r="E96">
            <v>0</v>
          </cell>
        </row>
        <row r="97">
          <cell r="B97" t="str">
            <v>FAL9991</v>
          </cell>
          <cell r="C97" t="str">
            <v>Aldi Belmont 25% Choc Chip Cookie 200g</v>
          </cell>
          <cell r="D97" t="str">
            <v>Everyday Cookies</v>
          </cell>
          <cell r="E97">
            <v>0</v>
          </cell>
        </row>
        <row r="98">
          <cell r="B98" t="str">
            <v>FAU9991</v>
          </cell>
          <cell r="C98" t="str">
            <v>Auchan</v>
          </cell>
          <cell r="D98" t="str">
            <v>ECB</v>
          </cell>
          <cell r="E98">
            <v>0</v>
          </cell>
        </row>
        <row r="99">
          <cell r="B99" t="str">
            <v>FMO9991</v>
          </cell>
          <cell r="C99" t="str">
            <v>Morrisons PL 1</v>
          </cell>
          <cell r="D99" t="str">
            <v>ECB</v>
          </cell>
          <cell r="E99">
            <v>0</v>
          </cell>
        </row>
        <row r="100">
          <cell r="B100" t="str">
            <v>FMO9992</v>
          </cell>
          <cell r="C100" t="str">
            <v>Morrisons PL 2</v>
          </cell>
          <cell r="D100" t="str">
            <v>ECB</v>
          </cell>
          <cell r="E100">
            <v>0</v>
          </cell>
        </row>
        <row r="101">
          <cell r="B101" t="str">
            <v>FMO9993</v>
          </cell>
          <cell r="C101" t="str">
            <v>Morrisons PL 3</v>
          </cell>
          <cell r="D101" t="str">
            <v>ECB</v>
          </cell>
          <cell r="E101">
            <v>0</v>
          </cell>
        </row>
        <row r="102">
          <cell r="B102" t="str">
            <v>FMO9994</v>
          </cell>
          <cell r="C102" t="str">
            <v>Morrisons PL 4</v>
          </cell>
          <cell r="D102" t="str">
            <v>ECB</v>
          </cell>
          <cell r="E102">
            <v>0</v>
          </cell>
        </row>
        <row r="103">
          <cell r="B103" t="str">
            <v>NFTE9902</v>
          </cell>
          <cell r="C103" t="str">
            <v>Tesco Everyday Value Ginger Nut 300g</v>
          </cell>
          <cell r="D103" t="str">
            <v>Ginger</v>
          </cell>
          <cell r="E103">
            <v>0</v>
          </cell>
        </row>
      </sheetData>
      <sheetData sheetId="4"/>
      <sheetData sheetId="5">
        <row r="6">
          <cell r="B6" t="str">
            <v>FEB0001</v>
          </cell>
        </row>
      </sheetData>
      <sheetData sheetId="6"/>
      <sheetData sheetId="7"/>
      <sheetData sheetId="8">
        <row r="5">
          <cell r="A5" t="str">
            <v>FAL0002</v>
          </cell>
          <cell r="B5" t="str">
            <v>Everyday Essentials Chocolate Chip (RSPO SG) (UTZ MB)</v>
          </cell>
          <cell r="C5">
            <v>0</v>
          </cell>
          <cell r="D5">
            <v>2</v>
          </cell>
          <cell r="E5">
            <v>88</v>
          </cell>
          <cell r="F5">
            <v>5874</v>
          </cell>
        </row>
        <row r="6">
          <cell r="A6" t="str">
            <v>FBL0001</v>
          </cell>
          <cell r="B6" t="str">
            <v>Bolands Chocolate Chip Cookie 14%</v>
          </cell>
          <cell r="C6">
            <v>0</v>
          </cell>
          <cell r="D6">
            <v>0</v>
          </cell>
          <cell r="E6">
            <v>0</v>
          </cell>
          <cell r="F6">
            <v>917</v>
          </cell>
        </row>
        <row r="7">
          <cell r="A7" t="str">
            <v>FCM0001</v>
          </cell>
          <cell r="B7" t="str">
            <v>Coconut Crunch (Squares)</v>
          </cell>
          <cell r="C7">
            <v>941</v>
          </cell>
          <cell r="D7">
            <v>0</v>
          </cell>
          <cell r="E7">
            <v>0</v>
          </cell>
          <cell r="F7">
            <v>0</v>
          </cell>
        </row>
        <row r="8">
          <cell r="A8" t="str">
            <v>FCM0002</v>
          </cell>
          <cell r="B8" t="str">
            <v>Coolmore Wholemeal Biscuits (Squares)</v>
          </cell>
          <cell r="C8">
            <v>0</v>
          </cell>
          <cell r="D8">
            <v>0</v>
          </cell>
          <cell r="E8">
            <v>0</v>
          </cell>
          <cell r="F8">
            <v>0</v>
          </cell>
        </row>
        <row r="9">
          <cell r="A9" t="str">
            <v>FEB0001</v>
          </cell>
          <cell r="B9" t="str">
            <v>ECB Milk Chocolate Chunk 12 x160g</v>
          </cell>
          <cell r="C9">
            <v>0</v>
          </cell>
          <cell r="D9">
            <v>666</v>
          </cell>
          <cell r="E9">
            <v>2925</v>
          </cell>
          <cell r="F9">
            <v>2378</v>
          </cell>
        </row>
        <row r="10">
          <cell r="A10" t="str">
            <v>FEB0002</v>
          </cell>
          <cell r="B10" t="str">
            <v>ECB Caramel and Pecan (SG) 12 x 160g</v>
          </cell>
          <cell r="C10">
            <v>0</v>
          </cell>
          <cell r="D10">
            <v>64</v>
          </cell>
          <cell r="E10">
            <v>1516</v>
          </cell>
          <cell r="F10">
            <v>1612</v>
          </cell>
        </row>
        <row r="11">
          <cell r="A11" t="str">
            <v>FEB0003</v>
          </cell>
          <cell r="B11" t="str">
            <v>Milk Chocolate Chunk Cookie 20g single pack</v>
          </cell>
          <cell r="C11">
            <v>0</v>
          </cell>
          <cell r="D11">
            <v>0</v>
          </cell>
          <cell r="E11">
            <v>0</v>
          </cell>
          <cell r="F11">
            <v>370</v>
          </cell>
        </row>
        <row r="12">
          <cell r="A12" t="str">
            <v>FEB0004</v>
          </cell>
          <cell r="B12" t="str">
            <v>ECB Chocolate Enrobed Milk Chocolate Chunk 12 x 160g</v>
          </cell>
          <cell r="C12">
            <v>2</v>
          </cell>
          <cell r="D12">
            <v>139</v>
          </cell>
          <cell r="E12">
            <v>5111</v>
          </cell>
          <cell r="F12">
            <v>1190</v>
          </cell>
        </row>
        <row r="13">
          <cell r="A13" t="str">
            <v>FEB0005</v>
          </cell>
          <cell r="B13" t="str">
            <v>ECB Stem Ginger &amp; Chocolate Chunk Crunchy 12 x 160g</v>
          </cell>
          <cell r="C13">
            <v>0</v>
          </cell>
          <cell r="D13">
            <v>0</v>
          </cell>
          <cell r="E13">
            <v>2670</v>
          </cell>
          <cell r="F13">
            <v>1792</v>
          </cell>
        </row>
        <row r="14">
          <cell r="A14" t="str">
            <v>FEB0006</v>
          </cell>
          <cell r="B14" t="str">
            <v>ECB Crunch'ems Ginger Crunch</v>
          </cell>
          <cell r="C14">
            <v>0</v>
          </cell>
          <cell r="D14">
            <v>0</v>
          </cell>
          <cell r="E14">
            <v>1179</v>
          </cell>
          <cell r="F14">
            <v>0</v>
          </cell>
        </row>
        <row r="15">
          <cell r="A15" t="str">
            <v>FEB0007</v>
          </cell>
          <cell r="B15" t="str">
            <v>ECB Crunch'ems Coconut Crunch</v>
          </cell>
          <cell r="C15">
            <v>0</v>
          </cell>
          <cell r="D15">
            <v>1280</v>
          </cell>
          <cell r="E15">
            <v>480</v>
          </cell>
          <cell r="F15">
            <v>0</v>
          </cell>
        </row>
        <row r="16">
          <cell r="A16" t="str">
            <v>FEB0010</v>
          </cell>
          <cell r="B16" t="str">
            <v>Milk Chocolate Chunk Cookie Half Coated 45g ( 2 X 24 ) SRP</v>
          </cell>
          <cell r="C16">
            <v>0</v>
          </cell>
          <cell r="D16">
            <v>2</v>
          </cell>
          <cell r="E16">
            <v>0</v>
          </cell>
          <cell r="F16">
            <v>3</v>
          </cell>
        </row>
        <row r="17">
          <cell r="A17" t="str">
            <v>FEB0011</v>
          </cell>
          <cell r="B17" t="str">
            <v>Milk Chocolate Chunk Cookie 40g Twin Pack SRP</v>
          </cell>
          <cell r="C17">
            <v>0</v>
          </cell>
          <cell r="D17">
            <v>0</v>
          </cell>
          <cell r="E17">
            <v>12</v>
          </cell>
          <cell r="F17">
            <v>124</v>
          </cell>
        </row>
        <row r="18">
          <cell r="A18" t="str">
            <v>FEB0012</v>
          </cell>
          <cell r="B18" t="str">
            <v>ECB Granola Crunchy with Nuts &amp; Seeds 160g</v>
          </cell>
          <cell r="C18">
            <v>1</v>
          </cell>
          <cell r="D18">
            <v>1943</v>
          </cell>
          <cell r="E18">
            <v>0</v>
          </cell>
          <cell r="F18">
            <v>0</v>
          </cell>
        </row>
        <row r="19">
          <cell r="A19" t="str">
            <v>FEB0013</v>
          </cell>
          <cell r="B19" t="str">
            <v>ECB Granola Crunchy with Choc Chips</v>
          </cell>
          <cell r="C19">
            <v>0</v>
          </cell>
          <cell r="D19">
            <v>2893</v>
          </cell>
          <cell r="E19">
            <v>0</v>
          </cell>
          <cell r="F19">
            <v>0</v>
          </cell>
        </row>
        <row r="20">
          <cell r="A20" t="str">
            <v>FEB0019</v>
          </cell>
          <cell r="B20" t="str">
            <v>ECB (UK) Milk Choc Chunk 160g</v>
          </cell>
          <cell r="C20">
            <v>0</v>
          </cell>
          <cell r="D20">
            <v>13</v>
          </cell>
          <cell r="E20">
            <v>6871</v>
          </cell>
          <cell r="F20">
            <v>287</v>
          </cell>
        </row>
        <row r="21">
          <cell r="A21" t="str">
            <v>FEB0020</v>
          </cell>
          <cell r="B21" t="str">
            <v>ECB (UK) Chocolate Enrobed Milk Chocolate Chunk Cookie 160g</v>
          </cell>
          <cell r="C21">
            <v>0</v>
          </cell>
          <cell r="D21">
            <v>93</v>
          </cell>
          <cell r="E21">
            <v>4209</v>
          </cell>
          <cell r="F21">
            <v>0</v>
          </cell>
        </row>
        <row r="22">
          <cell r="A22" t="str">
            <v>FEB0021</v>
          </cell>
          <cell r="B22" t="str">
            <v>ECB (UK) Stem Ginger &amp; Chocolate Chunk Cookie 160g</v>
          </cell>
          <cell r="C22">
            <v>0</v>
          </cell>
          <cell r="D22">
            <v>0</v>
          </cell>
          <cell r="E22">
            <v>4767</v>
          </cell>
          <cell r="F22">
            <v>0</v>
          </cell>
        </row>
        <row r="23">
          <cell r="A23" t="str">
            <v>FEB0022</v>
          </cell>
          <cell r="B23" t="str">
            <v>ECB (UK) Granola Crunchy with Nuts &amp; Seeds 160g</v>
          </cell>
          <cell r="C23">
            <v>390</v>
          </cell>
          <cell r="D23">
            <v>1911</v>
          </cell>
          <cell r="E23">
            <v>0</v>
          </cell>
          <cell r="F23">
            <v>89</v>
          </cell>
        </row>
        <row r="24">
          <cell r="A24" t="str">
            <v>FEB0023</v>
          </cell>
          <cell r="B24" t="str">
            <v>ECB (UK) Triple Chocolate Chunk 160g</v>
          </cell>
          <cell r="C24">
            <v>34</v>
          </cell>
          <cell r="D24">
            <v>1833</v>
          </cell>
          <cell r="E24">
            <v>2777</v>
          </cell>
          <cell r="F24">
            <v>0</v>
          </cell>
        </row>
        <row r="25">
          <cell r="A25" t="str">
            <v>FEB0024</v>
          </cell>
          <cell r="B25" t="str">
            <v>ECB Milk Chocolate Chunk 160g (USA)</v>
          </cell>
          <cell r="C25">
            <v>0</v>
          </cell>
          <cell r="D25">
            <v>13</v>
          </cell>
          <cell r="E25">
            <v>289</v>
          </cell>
          <cell r="F25">
            <v>679</v>
          </cell>
        </row>
        <row r="26">
          <cell r="A26" t="str">
            <v>FEB0025</v>
          </cell>
          <cell r="B26" t="str">
            <v>Chocolate Enrobed Milk Chocolate Chunk 160g (USA)</v>
          </cell>
          <cell r="C26">
            <v>0</v>
          </cell>
          <cell r="D26">
            <v>0</v>
          </cell>
          <cell r="E26">
            <v>953</v>
          </cell>
          <cell r="F26">
            <v>0</v>
          </cell>
        </row>
        <row r="27">
          <cell r="A27" t="str">
            <v>FEB0030</v>
          </cell>
          <cell r="B27" t="str">
            <v>ECB Crunch'ems Coconut Crunch 50% Extra Free 335g</v>
          </cell>
          <cell r="C27">
            <v>384</v>
          </cell>
          <cell r="D27">
            <v>288</v>
          </cell>
          <cell r="E27">
            <v>0</v>
          </cell>
          <cell r="F27">
            <v>0</v>
          </cell>
        </row>
        <row r="28">
          <cell r="A28" t="str">
            <v>FEB0032</v>
          </cell>
          <cell r="B28" t="str">
            <v>ECB Granola Crunchy with Nuts &amp; Seeds 50% Extra Free 240g</v>
          </cell>
          <cell r="C28">
            <v>1055</v>
          </cell>
          <cell r="D28">
            <v>0</v>
          </cell>
          <cell r="E28">
            <v>1278</v>
          </cell>
          <cell r="F28">
            <v>0</v>
          </cell>
        </row>
        <row r="29">
          <cell r="A29" t="str">
            <v>FEB0033</v>
          </cell>
          <cell r="B29" t="str">
            <v>All Butter Triple Chocolate Chunk 160g</v>
          </cell>
          <cell r="C29">
            <v>0</v>
          </cell>
          <cell r="D29">
            <v>717</v>
          </cell>
          <cell r="E29">
            <v>623</v>
          </cell>
          <cell r="F29">
            <v>0</v>
          </cell>
        </row>
        <row r="30">
          <cell r="A30" t="str">
            <v>FGR0001</v>
          </cell>
          <cell r="B30" t="str">
            <v>Grenade Carb Killa -  Double Chocolate Biscuit</v>
          </cell>
          <cell r="C30">
            <v>0</v>
          </cell>
          <cell r="D30">
            <v>0</v>
          </cell>
          <cell r="E30">
            <v>256</v>
          </cell>
          <cell r="F30">
            <v>1094</v>
          </cell>
        </row>
        <row r="31">
          <cell r="A31" t="str">
            <v>FGR0002</v>
          </cell>
          <cell r="B31" t="str">
            <v>Grenade Carb Killa - Salted Caramel Biscuit</v>
          </cell>
          <cell r="C31">
            <v>0</v>
          </cell>
          <cell r="D31">
            <v>0</v>
          </cell>
          <cell r="E31">
            <v>0</v>
          </cell>
          <cell r="F31">
            <v>1372</v>
          </cell>
        </row>
        <row r="32">
          <cell r="A32" t="str">
            <v>FHL0002</v>
          </cell>
          <cell r="B32" t="str">
            <v>Hill Biscuit Ginger Nuts 150g</v>
          </cell>
          <cell r="C32">
            <v>0</v>
          </cell>
          <cell r="D32">
            <v>0</v>
          </cell>
          <cell r="E32">
            <v>6295</v>
          </cell>
          <cell r="F32">
            <v>8268</v>
          </cell>
        </row>
        <row r="33">
          <cell r="A33" t="str">
            <v>FHL0003</v>
          </cell>
          <cell r="B33" t="str">
            <v>Sarah Hill Milk Choc Chunk 160g</v>
          </cell>
          <cell r="C33">
            <v>0</v>
          </cell>
          <cell r="D33">
            <v>0</v>
          </cell>
          <cell r="E33">
            <v>0</v>
          </cell>
          <cell r="F33">
            <v>2840</v>
          </cell>
        </row>
        <row r="34">
          <cell r="A34" t="str">
            <v>FHL0004</v>
          </cell>
          <cell r="B34" t="str">
            <v>Sarah Hill Stem Ginger &amp; Chocolate Chunk Cookie 160g</v>
          </cell>
          <cell r="C34">
            <v>0</v>
          </cell>
          <cell r="D34">
            <v>0</v>
          </cell>
          <cell r="E34">
            <v>0</v>
          </cell>
          <cell r="F34">
            <v>2506</v>
          </cell>
        </row>
        <row r="35">
          <cell r="A35" t="str">
            <v>FHL0005</v>
          </cell>
          <cell r="B35" t="str">
            <v>Sarah Hill Granola  Seeds &amp; Nuts 160g</v>
          </cell>
          <cell r="C35">
            <v>0</v>
          </cell>
          <cell r="D35">
            <v>0</v>
          </cell>
          <cell r="E35">
            <v>0</v>
          </cell>
          <cell r="F35">
            <v>2803</v>
          </cell>
        </row>
        <row r="36">
          <cell r="A36" t="str">
            <v>FHL0006</v>
          </cell>
          <cell r="B36" t="str">
            <v>Sarah Hill Triple Chocolate Chunk 160g</v>
          </cell>
          <cell r="C36">
            <v>0</v>
          </cell>
          <cell r="D36">
            <v>0</v>
          </cell>
          <cell r="E36">
            <v>304</v>
          </cell>
          <cell r="F36">
            <v>2516</v>
          </cell>
        </row>
        <row r="37">
          <cell r="A37" t="str">
            <v>FJA0001</v>
          </cell>
          <cell r="B37" t="str">
            <v>Jacobs Goldgrain 300g</v>
          </cell>
          <cell r="C37">
            <v>0</v>
          </cell>
          <cell r="D37">
            <v>0</v>
          </cell>
          <cell r="E37">
            <v>580</v>
          </cell>
          <cell r="F37">
            <v>0</v>
          </cell>
        </row>
        <row r="38">
          <cell r="A38" t="str">
            <v>FJA0002</v>
          </cell>
          <cell r="B38" t="str">
            <v>Jacob's Ginger Nut 200g</v>
          </cell>
          <cell r="C38">
            <v>0</v>
          </cell>
          <cell r="D38">
            <v>0</v>
          </cell>
          <cell r="E38">
            <v>0</v>
          </cell>
          <cell r="F38">
            <v>1754</v>
          </cell>
        </row>
        <row r="39">
          <cell r="A39" t="str">
            <v>FJA0004</v>
          </cell>
          <cell r="B39" t="str">
            <v>Jacobs Polo 200g</v>
          </cell>
          <cell r="C39">
            <v>0</v>
          </cell>
          <cell r="D39">
            <v>0</v>
          </cell>
          <cell r="E39">
            <v>184</v>
          </cell>
          <cell r="F39">
            <v>1215</v>
          </cell>
        </row>
        <row r="40">
          <cell r="A40" t="str">
            <v>FJA0005</v>
          </cell>
          <cell r="B40" t="str">
            <v>Jacobs Polo (PMP) 200g €1.49</v>
          </cell>
          <cell r="C40">
            <v>0</v>
          </cell>
          <cell r="D40">
            <v>0</v>
          </cell>
          <cell r="E40">
            <v>0</v>
          </cell>
          <cell r="F40">
            <v>1063</v>
          </cell>
        </row>
        <row r="41">
          <cell r="A41" t="str">
            <v>FJA0006</v>
          </cell>
          <cell r="B41" t="str">
            <v>Jacob's Lincoln (PMP €1.49) 200g</v>
          </cell>
          <cell r="C41">
            <v>0</v>
          </cell>
          <cell r="D41">
            <v>141</v>
          </cell>
          <cell r="E41">
            <v>0</v>
          </cell>
          <cell r="F41">
            <v>0</v>
          </cell>
        </row>
        <row r="42">
          <cell r="A42" t="str">
            <v>FMT0001</v>
          </cell>
          <cell r="B42" t="str">
            <v>Stem Ginger &amp; Chocolate Chunk Cookie All Palm 160g</v>
          </cell>
          <cell r="C42">
            <v>0</v>
          </cell>
          <cell r="D42">
            <v>0</v>
          </cell>
          <cell r="E42">
            <v>0</v>
          </cell>
          <cell r="F42">
            <v>6147</v>
          </cell>
        </row>
        <row r="43">
          <cell r="A43" t="str">
            <v>FMT0002</v>
          </cell>
          <cell r="B43" t="str">
            <v>Triple Chocolate Chunk All Palm 160g</v>
          </cell>
          <cell r="C43">
            <v>0</v>
          </cell>
          <cell r="D43">
            <v>0</v>
          </cell>
          <cell r="E43">
            <v>0</v>
          </cell>
          <cell r="F43">
            <v>8283</v>
          </cell>
        </row>
        <row r="44">
          <cell r="A44" t="str">
            <v>FMT0003</v>
          </cell>
          <cell r="B44" t="str">
            <v>Milk Choc Chunk All Palm (160G)</v>
          </cell>
          <cell r="C44">
            <v>0</v>
          </cell>
          <cell r="D44">
            <v>0</v>
          </cell>
          <cell r="E44">
            <v>0</v>
          </cell>
          <cell r="F44">
            <v>5121</v>
          </cell>
        </row>
        <row r="45">
          <cell r="A45" t="str">
            <v>FOM0005</v>
          </cell>
          <cell r="B45" t="str">
            <v>Oh My Double Choc Chip Cookie (14%) 145g</v>
          </cell>
          <cell r="C45">
            <v>0</v>
          </cell>
          <cell r="D45">
            <v>25</v>
          </cell>
          <cell r="E45">
            <v>0</v>
          </cell>
          <cell r="F45">
            <v>7570</v>
          </cell>
        </row>
        <row r="46">
          <cell r="A46" t="str">
            <v>FOM0006</v>
          </cell>
          <cell r="B46" t="str">
            <v>Oh My Choc Chip Cookies (14%) 145g</v>
          </cell>
          <cell r="C46">
            <v>0</v>
          </cell>
          <cell r="D46">
            <v>0</v>
          </cell>
          <cell r="E46">
            <v>3179</v>
          </cell>
          <cell r="F46">
            <v>7165</v>
          </cell>
        </row>
        <row r="47">
          <cell r="A47" t="str">
            <v>FEB0028</v>
          </cell>
          <cell r="B47" t="str">
            <v>ECB Milk Chocolate Chunk 50% Extra Free 240g</v>
          </cell>
          <cell r="C47">
            <v>0</v>
          </cell>
          <cell r="D47">
            <v>0</v>
          </cell>
          <cell r="E47">
            <v>0</v>
          </cell>
          <cell r="F47">
            <v>1646</v>
          </cell>
        </row>
        <row r="48">
          <cell r="A48" t="str">
            <v>FEB0029</v>
          </cell>
          <cell r="B48" t="str">
            <v>ECB Chocolate Enrobed Milk Chocolate Chunk 50% Extra Free 250g</v>
          </cell>
          <cell r="C48">
            <v>0</v>
          </cell>
          <cell r="D48">
            <v>0</v>
          </cell>
          <cell r="E48">
            <v>736</v>
          </cell>
          <cell r="F48">
            <v>1724</v>
          </cell>
        </row>
        <row r="49">
          <cell r="A49" t="str">
            <v>Grand Total</v>
          </cell>
          <cell r="C49">
            <v>2807</v>
          </cell>
          <cell r="D49">
            <v>12023</v>
          </cell>
          <cell r="E49">
            <v>47282</v>
          </cell>
          <cell r="F49">
            <v>78402</v>
          </cell>
        </row>
      </sheetData>
      <sheetData sheetId="9"/>
      <sheetData sheetId="10">
        <row r="167">
          <cell r="A167" t="str">
            <v>Aldi Ireland</v>
          </cell>
          <cell r="J167">
            <v>1000</v>
          </cell>
          <cell r="K167">
            <v>1000</v>
          </cell>
          <cell r="L167">
            <v>1000</v>
          </cell>
          <cell r="M167">
            <v>1140</v>
          </cell>
          <cell r="N167">
            <v>1140</v>
          </cell>
          <cell r="O167">
            <v>1140</v>
          </cell>
          <cell r="P167">
            <v>1140</v>
          </cell>
          <cell r="Q167">
            <v>1140</v>
          </cell>
          <cell r="R167">
            <v>1140</v>
          </cell>
          <cell r="S167">
            <v>1140</v>
          </cell>
          <cell r="T167">
            <v>1140</v>
          </cell>
          <cell r="U167">
            <v>1140</v>
          </cell>
        </row>
        <row r="168">
          <cell r="A168" t="str">
            <v>Tesco Ireland Direct</v>
          </cell>
          <cell r="J168">
            <v>0</v>
          </cell>
          <cell r="K168">
            <v>1295</v>
          </cell>
          <cell r="L168">
            <v>1295</v>
          </cell>
          <cell r="M168">
            <v>1468.2</v>
          </cell>
          <cell r="N168">
            <v>1468.2</v>
          </cell>
          <cell r="O168">
            <v>1468.2</v>
          </cell>
          <cell r="P168">
            <v>1468.2</v>
          </cell>
          <cell r="Q168">
            <v>1468.2</v>
          </cell>
          <cell r="R168">
            <v>1468.2</v>
          </cell>
          <cell r="S168">
            <v>1468.2</v>
          </cell>
          <cell r="T168">
            <v>1468.2</v>
          </cell>
          <cell r="U168">
            <v>1468.2</v>
          </cell>
        </row>
        <row r="169">
          <cell r="A169" t="str">
            <v>Dunnes Stores PL</v>
          </cell>
          <cell r="J169">
            <v>0</v>
          </cell>
          <cell r="K169">
            <v>0</v>
          </cell>
          <cell r="L169">
            <v>0</v>
          </cell>
          <cell r="M169">
            <v>0</v>
          </cell>
          <cell r="N169">
            <v>0</v>
          </cell>
          <cell r="O169">
            <v>0</v>
          </cell>
          <cell r="P169">
            <v>0</v>
          </cell>
          <cell r="Q169">
            <v>0</v>
          </cell>
          <cell r="R169">
            <v>0</v>
          </cell>
          <cell r="S169">
            <v>0</v>
          </cell>
          <cell r="T169">
            <v>0</v>
          </cell>
          <cell r="U169">
            <v>0</v>
          </cell>
        </row>
        <row r="170">
          <cell r="A170" t="str">
            <v>Morrison's</v>
          </cell>
          <cell r="J170">
            <v>2450</v>
          </cell>
          <cell r="K170">
            <v>2850</v>
          </cell>
          <cell r="L170">
            <v>3110</v>
          </cell>
          <cell r="M170">
            <v>4065</v>
          </cell>
          <cell r="N170">
            <v>5420</v>
          </cell>
          <cell r="O170">
            <v>5420</v>
          </cell>
          <cell r="P170">
            <v>5420</v>
          </cell>
          <cell r="Q170">
            <v>6097.5</v>
          </cell>
          <cell r="R170">
            <v>6097.5</v>
          </cell>
          <cell r="S170">
            <v>8097.5</v>
          </cell>
          <cell r="T170">
            <v>4222.5</v>
          </cell>
          <cell r="U170">
            <v>5472.5</v>
          </cell>
        </row>
        <row r="171">
          <cell r="A171" t="str">
            <v>Valeo Foods</v>
          </cell>
          <cell r="J171">
            <v>1500</v>
          </cell>
          <cell r="K171">
            <v>2277</v>
          </cell>
          <cell r="L171">
            <v>1380</v>
          </cell>
          <cell r="M171">
            <v>4426.1853424085639</v>
          </cell>
          <cell r="N171">
            <v>4426.185342408563</v>
          </cell>
          <cell r="O171">
            <v>4426.185342408563</v>
          </cell>
          <cell r="P171">
            <v>4426.1853424085639</v>
          </cell>
          <cell r="Q171">
            <v>5311.4224108902772</v>
          </cell>
          <cell r="R171">
            <v>5311.4224108902772</v>
          </cell>
          <cell r="S171">
            <v>4426.1853424085639</v>
          </cell>
          <cell r="T171">
            <v>3540.948273926851</v>
          </cell>
          <cell r="U171">
            <v>3540.948273926851</v>
          </cell>
        </row>
        <row r="172">
          <cell r="A172" t="str">
            <v>Hill Biscuits Ltd</v>
          </cell>
          <cell r="J172">
            <v>3244.8</v>
          </cell>
          <cell r="K172">
            <v>8840</v>
          </cell>
          <cell r="L172">
            <v>4704</v>
          </cell>
          <cell r="M172">
            <v>6586.4109365435634</v>
          </cell>
          <cell r="N172">
            <v>6586.4109365435634</v>
          </cell>
          <cell r="O172">
            <v>7858.6609365435634</v>
          </cell>
          <cell r="P172">
            <v>6586.4109365435634</v>
          </cell>
          <cell r="Q172">
            <v>6586.4109365435634</v>
          </cell>
          <cell r="R172">
            <v>9175.9431238522757</v>
          </cell>
          <cell r="S172">
            <v>6586.4109365435634</v>
          </cell>
          <cell r="T172">
            <v>5269.1287492348492</v>
          </cell>
          <cell r="U172">
            <v>7858.6609365435634</v>
          </cell>
        </row>
        <row r="173">
          <cell r="A173" t="str">
            <v>Grenade</v>
          </cell>
          <cell r="J173">
            <v>0</v>
          </cell>
          <cell r="K173">
            <v>877.5</v>
          </cell>
          <cell r="L173">
            <v>877.5</v>
          </cell>
          <cell r="M173">
            <v>812</v>
          </cell>
          <cell r="N173">
            <v>1015</v>
          </cell>
          <cell r="O173">
            <v>1892.5</v>
          </cell>
          <cell r="P173">
            <v>1514</v>
          </cell>
          <cell r="Q173">
            <v>1892.5</v>
          </cell>
          <cell r="R173">
            <v>1892.5</v>
          </cell>
          <cell r="S173">
            <v>1514</v>
          </cell>
          <cell r="T173">
            <v>1892.5</v>
          </cell>
          <cell r="U173">
            <v>1892.5</v>
          </cell>
        </row>
        <row r="174">
          <cell r="A174" t="str">
            <v>THG</v>
          </cell>
          <cell r="J174">
            <v>0</v>
          </cell>
          <cell r="K174">
            <v>0</v>
          </cell>
          <cell r="L174">
            <v>0</v>
          </cell>
          <cell r="M174">
            <v>0</v>
          </cell>
          <cell r="N174">
            <v>0</v>
          </cell>
          <cell r="O174">
            <v>0</v>
          </cell>
          <cell r="P174">
            <v>0</v>
          </cell>
          <cell r="Q174">
            <v>0</v>
          </cell>
          <cell r="R174">
            <v>0</v>
          </cell>
          <cell r="S174">
            <v>0</v>
          </cell>
          <cell r="T174">
            <v>0</v>
          </cell>
          <cell r="U174">
            <v>0</v>
          </cell>
        </row>
        <row r="175">
          <cell r="A175" t="str">
            <v>Regal Food Products Group PLC</v>
          </cell>
          <cell r="J175">
            <v>0</v>
          </cell>
          <cell r="K175">
            <v>0</v>
          </cell>
          <cell r="L175">
            <v>0</v>
          </cell>
          <cell r="M175">
            <v>0</v>
          </cell>
          <cell r="N175">
            <v>0</v>
          </cell>
          <cell r="O175">
            <v>0</v>
          </cell>
          <cell r="P175">
            <v>0</v>
          </cell>
          <cell r="Q175">
            <v>0</v>
          </cell>
          <cell r="R175">
            <v>0</v>
          </cell>
          <cell r="S175">
            <v>0</v>
          </cell>
          <cell r="T175">
            <v>0</v>
          </cell>
          <cell r="U175">
            <v>0</v>
          </cell>
        </row>
        <row r="176">
          <cell r="A176" t="str">
            <v>SE Traders</v>
          </cell>
          <cell r="J176">
            <v>0</v>
          </cell>
          <cell r="K176">
            <v>2079</v>
          </cell>
          <cell r="L176">
            <v>3118.5</v>
          </cell>
          <cell r="M176">
            <v>4158</v>
          </cell>
          <cell r="N176">
            <v>4158</v>
          </cell>
          <cell r="O176">
            <v>4158</v>
          </cell>
          <cell r="P176">
            <v>4158</v>
          </cell>
          <cell r="Q176">
            <v>6930</v>
          </cell>
          <cell r="R176">
            <v>6930</v>
          </cell>
          <cell r="S176">
            <v>8930</v>
          </cell>
          <cell r="T176">
            <v>5430</v>
          </cell>
          <cell r="U176">
            <v>5930</v>
          </cell>
        </row>
        <row r="177">
          <cell r="A177" t="str">
            <v>Iceland</v>
          </cell>
          <cell r="J177">
            <v>0</v>
          </cell>
          <cell r="K177">
            <v>0</v>
          </cell>
          <cell r="L177">
            <v>0</v>
          </cell>
          <cell r="M177">
            <v>0</v>
          </cell>
          <cell r="N177">
            <v>3000</v>
          </cell>
          <cell r="O177">
            <v>3000</v>
          </cell>
          <cell r="P177">
            <v>3000</v>
          </cell>
          <cell r="Q177">
            <v>3000</v>
          </cell>
          <cell r="R177">
            <v>3000</v>
          </cell>
          <cell r="S177">
            <v>3900</v>
          </cell>
          <cell r="T177">
            <v>2250</v>
          </cell>
          <cell r="U177">
            <v>2625</v>
          </cell>
        </row>
        <row r="178">
          <cell r="A178" t="str">
            <v>Burtons</v>
          </cell>
          <cell r="J178">
            <v>0</v>
          </cell>
          <cell r="K178">
            <v>0</v>
          </cell>
          <cell r="L178">
            <v>0</v>
          </cell>
          <cell r="M178">
            <v>0</v>
          </cell>
          <cell r="N178">
            <v>0</v>
          </cell>
          <cell r="O178">
            <v>0</v>
          </cell>
          <cell r="P178">
            <v>0</v>
          </cell>
          <cell r="Q178">
            <v>0</v>
          </cell>
          <cell r="R178">
            <v>0</v>
          </cell>
          <cell r="S178">
            <v>0</v>
          </cell>
          <cell r="T178">
            <v>0</v>
          </cell>
          <cell r="U178">
            <v>0</v>
          </cell>
        </row>
        <row r="179">
          <cell r="A179" t="str">
            <v>Tennant &amp; Ruttle</v>
          </cell>
          <cell r="J179">
            <v>1811.8</v>
          </cell>
          <cell r="K179">
            <v>1341.2242500000002</v>
          </cell>
          <cell r="L179">
            <v>1004.6502500000001</v>
          </cell>
          <cell r="M179">
            <v>887.74540000000013</v>
          </cell>
          <cell r="N179">
            <v>981.77299999999991</v>
          </cell>
          <cell r="O179">
            <v>1875.9102500000001</v>
          </cell>
          <cell r="P179">
            <v>4636.003200000001</v>
          </cell>
          <cell r="Q179">
            <v>8090.8542500000003</v>
          </cell>
          <cell r="R179">
            <v>3896.6480000000001</v>
          </cell>
          <cell r="S179">
            <v>1164.5032000000001</v>
          </cell>
          <cell r="T179">
            <v>2160.0305000000003</v>
          </cell>
          <cell r="U179">
            <v>934.10775000000001</v>
          </cell>
        </row>
        <row r="180">
          <cell r="A180" t="str">
            <v>Lidl Ireland</v>
          </cell>
          <cell r="J180">
            <v>0</v>
          </cell>
          <cell r="K180">
            <v>976</v>
          </cell>
          <cell r="L180">
            <v>167.5625</v>
          </cell>
          <cell r="M180">
            <v>536.25600000000009</v>
          </cell>
          <cell r="N180">
            <v>670.32</v>
          </cell>
          <cell r="O180">
            <v>957.6</v>
          </cell>
          <cell r="P180">
            <v>459.6</v>
          </cell>
          <cell r="Q180">
            <v>957.6</v>
          </cell>
          <cell r="R180">
            <v>287.25</v>
          </cell>
          <cell r="S180">
            <v>0</v>
          </cell>
          <cell r="T180">
            <v>0</v>
          </cell>
          <cell r="U180">
            <v>1532.1</v>
          </cell>
        </row>
        <row r="181">
          <cell r="A181" t="str">
            <v>Tudor Rose International</v>
          </cell>
          <cell r="J181">
            <v>676.40159999999992</v>
          </cell>
          <cell r="K181">
            <v>405.49</v>
          </cell>
          <cell r="L181">
            <v>596.44749999999999</v>
          </cell>
          <cell r="M181">
            <v>824.57231999999999</v>
          </cell>
          <cell r="N181">
            <v>956.30039999999997</v>
          </cell>
          <cell r="O181">
            <v>721.82550000000003</v>
          </cell>
          <cell r="P181">
            <v>1093.1846399999999</v>
          </cell>
          <cell r="Q181">
            <v>1315.7063999999998</v>
          </cell>
          <cell r="R181">
            <v>979.0308</v>
          </cell>
          <cell r="S181">
            <v>932.24159999999972</v>
          </cell>
          <cell r="T181">
            <v>557.04239999999993</v>
          </cell>
          <cell r="U181">
            <v>445.63391999999999</v>
          </cell>
        </row>
        <row r="182">
          <cell r="A182" t="str">
            <v>Tudor Rose Nigeria</v>
          </cell>
          <cell r="J182">
            <v>706.40159999999992</v>
          </cell>
          <cell r="K182">
            <v>442.99</v>
          </cell>
          <cell r="L182">
            <v>633.94749999999999</v>
          </cell>
          <cell r="M182">
            <v>824.57231999999999</v>
          </cell>
          <cell r="N182">
            <v>956.30039999999997</v>
          </cell>
          <cell r="O182">
            <v>721.82550000000003</v>
          </cell>
          <cell r="P182">
            <v>1093.1846399999999</v>
          </cell>
          <cell r="Q182">
            <v>1315.7063999999998</v>
          </cell>
          <cell r="R182">
            <v>979.0308</v>
          </cell>
          <cell r="S182">
            <v>932.24159999999972</v>
          </cell>
          <cell r="T182">
            <v>557.04239999999993</v>
          </cell>
          <cell r="U182">
            <v>445.63391999999999</v>
          </cell>
        </row>
        <row r="183">
          <cell r="A183" t="str">
            <v>Cost Plus Management Services</v>
          </cell>
          <cell r="J183">
            <v>250</v>
          </cell>
          <cell r="K183">
            <v>312.5</v>
          </cell>
          <cell r="L183">
            <v>312.5</v>
          </cell>
          <cell r="M183">
            <v>516.20000000000005</v>
          </cell>
          <cell r="N183">
            <v>0</v>
          </cell>
          <cell r="O183">
            <v>645.25</v>
          </cell>
          <cell r="P183">
            <v>0</v>
          </cell>
          <cell r="Q183">
            <v>645.25</v>
          </cell>
          <cell r="R183">
            <v>0</v>
          </cell>
          <cell r="S183">
            <v>516.20000000000005</v>
          </cell>
          <cell r="T183">
            <v>0</v>
          </cell>
          <cell r="U183">
            <v>645.25</v>
          </cell>
        </row>
        <row r="184">
          <cell r="A184" t="str">
            <v>Jumbo</v>
          </cell>
          <cell r="J184">
            <v>320</v>
          </cell>
          <cell r="K184">
            <v>300</v>
          </cell>
          <cell r="L184">
            <v>200</v>
          </cell>
          <cell r="M184">
            <v>200</v>
          </cell>
          <cell r="N184">
            <v>250</v>
          </cell>
          <cell r="O184">
            <v>250</v>
          </cell>
          <cell r="P184">
            <v>200</v>
          </cell>
          <cell r="Q184">
            <v>250</v>
          </cell>
          <cell r="R184">
            <v>250</v>
          </cell>
          <cell r="S184">
            <v>200</v>
          </cell>
          <cell r="T184">
            <v>250</v>
          </cell>
          <cell r="U184">
            <v>250</v>
          </cell>
        </row>
        <row r="185">
          <cell r="A185" t="str">
            <v>Leydens</v>
          </cell>
          <cell r="J185">
            <v>160</v>
          </cell>
          <cell r="K185">
            <v>0</v>
          </cell>
          <cell r="L185">
            <v>0</v>
          </cell>
          <cell r="M185">
            <v>0</v>
          </cell>
          <cell r="N185">
            <v>0</v>
          </cell>
          <cell r="O185">
            <v>0</v>
          </cell>
          <cell r="P185">
            <v>0</v>
          </cell>
          <cell r="Q185">
            <v>0</v>
          </cell>
          <cell r="R185">
            <v>0</v>
          </cell>
          <cell r="S185">
            <v>0</v>
          </cell>
          <cell r="T185">
            <v>0</v>
          </cell>
          <cell r="U185">
            <v>0</v>
          </cell>
        </row>
        <row r="186">
          <cell r="A186" t="str">
            <v>SMS</v>
          </cell>
          <cell r="J186">
            <v>837.2</v>
          </cell>
          <cell r="K186">
            <v>1046.5</v>
          </cell>
          <cell r="L186">
            <v>1046.5</v>
          </cell>
          <cell r="M186">
            <v>0</v>
          </cell>
          <cell r="N186">
            <v>0</v>
          </cell>
          <cell r="O186">
            <v>0</v>
          </cell>
          <cell r="P186">
            <v>0</v>
          </cell>
          <cell r="Q186">
            <v>0</v>
          </cell>
          <cell r="R186">
            <v>0</v>
          </cell>
          <cell r="S186">
            <v>0</v>
          </cell>
          <cell r="T186">
            <v>0</v>
          </cell>
          <cell r="U186">
            <v>0</v>
          </cell>
        </row>
      </sheetData>
      <sheetData sheetId="11"/>
      <sheetData sheetId="1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KPI Weekly Summary"/>
      <sheetName val="SALES OUTRUN SEP"/>
      <sheetName val="Weekly Report"/>
      <sheetName val="Current Stock level "/>
      <sheetName val="Stock Tracker"/>
      <sheetName val="Monthly PIP data"/>
      <sheetName val="Project Update"/>
      <sheetName val="5 wk prodn plan"/>
      <sheetName val="Planning"/>
      <sheetName val="Sales by SKU"/>
      <sheetName val="GM by customer"/>
      <sheetName val="Procurement Calc"/>
      <sheetName val="OEE ytd"/>
      <sheetName val="Trial times to wk15"/>
      <sheetName val="Sales Bud&amp;FC"/>
      <sheetName val="Sales budget"/>
      <sheetName val="Sales Forecast"/>
      <sheetName val="BUDGET SKU Sales 2019 VALUE "/>
      <sheetName val="FC SKU 2019 updated"/>
      <sheetName val="FC SKU Sales 2019 CASES"/>
      <sheetName val="lookups"/>
    </sheetNames>
    <sheetDataSet>
      <sheetData sheetId="0"/>
      <sheetData sheetId="1">
        <row r="1">
          <cell r="C1" t="str">
            <v>Week 30</v>
          </cell>
        </row>
      </sheetData>
      <sheetData sheetId="2">
        <row r="7">
          <cell r="B7" t="str">
            <v>Customer</v>
          </cell>
          <cell r="C7" t="str">
            <v>Budget</v>
          </cell>
          <cell r="D7" t="str">
            <v>LE AUG CRM</v>
          </cell>
          <cell r="E7" t="str">
            <v>LC (set at start of month)</v>
          </cell>
          <cell r="F7" t="str">
            <v>LC (start of month)</v>
          </cell>
          <cell r="G7" t="str">
            <v>Act</v>
          </cell>
          <cell r="H7" t="str">
            <v>LC (start of month)</v>
          </cell>
          <cell r="I7" t="str">
            <v>Act</v>
          </cell>
          <cell r="J7" t="str">
            <v>LC (start of month)</v>
          </cell>
          <cell r="K7" t="str">
            <v>Act</v>
          </cell>
          <cell r="L7" t="str">
            <v>LC (start of month)</v>
          </cell>
          <cell r="M7" t="str">
            <v>Act</v>
          </cell>
        </row>
        <row r="8">
          <cell r="B8">
            <v>0</v>
          </cell>
          <cell r="C8">
            <v>0</v>
          </cell>
          <cell r="D8">
            <v>0</v>
          </cell>
          <cell r="E8">
            <v>0</v>
          </cell>
          <cell r="F8">
            <v>0</v>
          </cell>
          <cell r="G8">
            <v>0</v>
          </cell>
          <cell r="H8">
            <v>0</v>
          </cell>
          <cell r="I8">
            <v>0</v>
          </cell>
          <cell r="J8">
            <v>0</v>
          </cell>
          <cell r="K8">
            <v>0</v>
          </cell>
          <cell r="L8">
            <v>0</v>
          </cell>
          <cell r="M8">
            <v>0</v>
          </cell>
        </row>
        <row r="9">
          <cell r="B9">
            <v>0</v>
          </cell>
          <cell r="C9">
            <v>0</v>
          </cell>
          <cell r="D9">
            <v>0</v>
          </cell>
          <cell r="E9">
            <v>0</v>
          </cell>
          <cell r="F9">
            <v>0</v>
          </cell>
          <cell r="G9">
            <v>0</v>
          </cell>
          <cell r="H9">
            <v>0</v>
          </cell>
          <cell r="I9">
            <v>0</v>
          </cell>
          <cell r="J9">
            <v>0</v>
          </cell>
          <cell r="K9">
            <v>0</v>
          </cell>
          <cell r="L9">
            <v>0</v>
          </cell>
          <cell r="M9">
            <v>0</v>
          </cell>
        </row>
        <row r="10">
          <cell r="B10">
            <v>0</v>
          </cell>
          <cell r="C10">
            <v>0</v>
          </cell>
          <cell r="D10">
            <v>0</v>
          </cell>
          <cell r="E10">
            <v>0</v>
          </cell>
          <cell r="F10">
            <v>0</v>
          </cell>
          <cell r="G10">
            <v>0</v>
          </cell>
          <cell r="H10">
            <v>0</v>
          </cell>
          <cell r="I10">
            <v>0</v>
          </cell>
          <cell r="J10">
            <v>0</v>
          </cell>
          <cell r="K10">
            <v>0</v>
          </cell>
          <cell r="L10">
            <v>0</v>
          </cell>
          <cell r="M10">
            <v>0</v>
          </cell>
        </row>
        <row r="11">
          <cell r="B11" t="str">
            <v>Ireland Brand Other Ireland (via T&amp;R)</v>
          </cell>
          <cell r="C11">
            <v>272241.80634591344</v>
          </cell>
          <cell r="D11">
            <v>57970.5</v>
          </cell>
          <cell r="E11">
            <v>91000</v>
          </cell>
          <cell r="F11">
            <v>11000</v>
          </cell>
          <cell r="G11">
            <v>10280</v>
          </cell>
          <cell r="H11">
            <v>30000</v>
          </cell>
          <cell r="I11">
            <v>43607</v>
          </cell>
          <cell r="J11">
            <v>10000</v>
          </cell>
          <cell r="K11">
            <v>14590</v>
          </cell>
          <cell r="L11">
            <v>10000</v>
          </cell>
          <cell r="M11">
            <v>10606</v>
          </cell>
        </row>
        <row r="12">
          <cell r="B12" t="str">
            <v>Ireland Brand Stonehouse</v>
          </cell>
          <cell r="C12">
            <v>6818.5062825000005</v>
          </cell>
          <cell r="D12">
            <v>7992</v>
          </cell>
          <cell r="E12">
            <v>0</v>
          </cell>
          <cell r="F12">
            <v>0</v>
          </cell>
          <cell r="G12">
            <v>0</v>
          </cell>
          <cell r="H12">
            <v>0</v>
          </cell>
          <cell r="I12">
            <v>0</v>
          </cell>
          <cell r="J12">
            <v>0</v>
          </cell>
          <cell r="K12">
            <v>0</v>
          </cell>
          <cell r="L12">
            <v>0</v>
          </cell>
          <cell r="M12">
            <v>0</v>
          </cell>
        </row>
        <row r="13">
          <cell r="B13" t="str">
            <v>Ireland Brand Lidl Ireland</v>
          </cell>
          <cell r="C13">
            <v>0</v>
          </cell>
          <cell r="D13">
            <v>0</v>
          </cell>
          <cell r="E13">
            <v>0</v>
          </cell>
          <cell r="F13">
            <v>0</v>
          </cell>
          <cell r="G13">
            <v>0</v>
          </cell>
          <cell r="H13">
            <v>0</v>
          </cell>
          <cell r="I13">
            <v>0</v>
          </cell>
          <cell r="J13">
            <v>0</v>
          </cell>
          <cell r="K13">
            <v>0</v>
          </cell>
          <cell r="L13">
            <v>0</v>
          </cell>
          <cell r="M13">
            <v>0</v>
          </cell>
        </row>
        <row r="14">
          <cell r="B14" t="str">
            <v>Ireland Brand OOH Ireland (Direct)</v>
          </cell>
          <cell r="C14">
            <v>0</v>
          </cell>
          <cell r="D14">
            <v>0</v>
          </cell>
          <cell r="E14">
            <v>20000</v>
          </cell>
          <cell r="F14">
            <v>0</v>
          </cell>
          <cell r="G14">
            <v>4</v>
          </cell>
          <cell r="H14">
            <v>0</v>
          </cell>
          <cell r="I14">
            <v>18</v>
          </cell>
          <cell r="J14">
            <v>0</v>
          </cell>
          <cell r="K14">
            <v>21419</v>
          </cell>
          <cell r="L14">
            <v>10000</v>
          </cell>
          <cell r="M14">
            <v>3944</v>
          </cell>
        </row>
        <row r="15">
          <cell r="B15">
            <v>0</v>
          </cell>
          <cell r="C15">
            <v>279060.31262841343</v>
          </cell>
          <cell r="D15">
            <v>65962.5</v>
          </cell>
          <cell r="E15">
            <v>111000</v>
          </cell>
          <cell r="F15">
            <v>11000</v>
          </cell>
          <cell r="G15">
            <v>10284</v>
          </cell>
          <cell r="H15">
            <v>30000</v>
          </cell>
          <cell r="I15">
            <v>43625</v>
          </cell>
          <cell r="J15">
            <v>10000</v>
          </cell>
          <cell r="K15">
            <v>36009</v>
          </cell>
          <cell r="L15">
            <v>20000</v>
          </cell>
          <cell r="M15">
            <v>14550</v>
          </cell>
        </row>
        <row r="16">
          <cell r="B16" t="str">
            <v>UK Brand Fordham</v>
          </cell>
          <cell r="C16">
            <v>21850.5</v>
          </cell>
          <cell r="D16">
            <v>0</v>
          </cell>
          <cell r="E16">
            <v>0</v>
          </cell>
          <cell r="F16">
            <v>0</v>
          </cell>
          <cell r="G16">
            <v>0</v>
          </cell>
          <cell r="H16">
            <v>0</v>
          </cell>
          <cell r="I16">
            <v>0</v>
          </cell>
          <cell r="J16">
            <v>0</v>
          </cell>
          <cell r="K16">
            <v>0</v>
          </cell>
          <cell r="L16">
            <v>0</v>
          </cell>
          <cell r="M16">
            <v>0</v>
          </cell>
        </row>
        <row r="17">
          <cell r="B17" t="str">
            <v>UK Brand Morrisons</v>
          </cell>
          <cell r="C17">
            <v>0</v>
          </cell>
          <cell r="D17">
            <v>76800</v>
          </cell>
          <cell r="E17">
            <v>71000</v>
          </cell>
          <cell r="F17">
            <v>1000</v>
          </cell>
          <cell r="G17">
            <v>2050</v>
          </cell>
          <cell r="H17">
            <v>5000</v>
          </cell>
          <cell r="I17">
            <v>0</v>
          </cell>
          <cell r="J17">
            <v>5000</v>
          </cell>
          <cell r="K17">
            <v>2050</v>
          </cell>
          <cell r="L17">
            <v>30000</v>
          </cell>
          <cell r="M17">
            <v>513</v>
          </cell>
        </row>
        <row r="18">
          <cell r="B18">
            <v>0</v>
          </cell>
          <cell r="C18">
            <v>21850.5</v>
          </cell>
          <cell r="D18">
            <v>76800</v>
          </cell>
          <cell r="E18">
            <v>71000</v>
          </cell>
          <cell r="F18">
            <v>1000</v>
          </cell>
          <cell r="G18">
            <v>2050</v>
          </cell>
          <cell r="H18">
            <v>5000</v>
          </cell>
          <cell r="I18">
            <v>0</v>
          </cell>
          <cell r="J18">
            <v>5000</v>
          </cell>
          <cell r="K18">
            <v>2050</v>
          </cell>
          <cell r="L18">
            <v>30000</v>
          </cell>
          <cell r="M18">
            <v>513</v>
          </cell>
        </row>
        <row r="19">
          <cell r="B19" t="str">
            <v>ROW  USA Direct</v>
          </cell>
          <cell r="C19">
            <v>13537.031908045978</v>
          </cell>
          <cell r="D19">
            <v>12154.394636015324</v>
          </cell>
          <cell r="E19">
            <v>10000</v>
          </cell>
          <cell r="F19">
            <v>0</v>
          </cell>
          <cell r="G19">
            <v>0</v>
          </cell>
          <cell r="H19">
            <v>0</v>
          </cell>
          <cell r="I19">
            <v>0</v>
          </cell>
          <cell r="J19">
            <v>0</v>
          </cell>
          <cell r="K19">
            <v>0</v>
          </cell>
          <cell r="L19">
            <v>0</v>
          </cell>
          <cell r="M19">
            <v>0</v>
          </cell>
        </row>
        <row r="20">
          <cell r="B20" t="str">
            <v>ROW Brand Tudor Rose</v>
          </cell>
          <cell r="C20">
            <v>34996.71</v>
          </cell>
          <cell r="D20">
            <v>77710.570000000007</v>
          </cell>
          <cell r="E20">
            <v>70000</v>
          </cell>
          <cell r="F20">
            <v>0</v>
          </cell>
          <cell r="G20">
            <v>0</v>
          </cell>
          <cell r="H20">
            <v>0</v>
          </cell>
          <cell r="I20">
            <v>2427</v>
          </cell>
          <cell r="J20">
            <v>30000</v>
          </cell>
          <cell r="K20">
            <v>0</v>
          </cell>
          <cell r="L20">
            <v>30000</v>
          </cell>
          <cell r="M20">
            <v>0</v>
          </cell>
        </row>
        <row r="21">
          <cell r="B21" t="str">
            <v>ROW Brand Other</v>
          </cell>
          <cell r="C21">
            <v>0</v>
          </cell>
          <cell r="D21">
            <v>0</v>
          </cell>
          <cell r="E21">
            <v>30000</v>
          </cell>
          <cell r="F21">
            <v>0</v>
          </cell>
          <cell r="G21">
            <v>576</v>
          </cell>
          <cell r="H21">
            <v>10000</v>
          </cell>
          <cell r="I21">
            <v>0</v>
          </cell>
          <cell r="J21">
            <v>0</v>
          </cell>
          <cell r="K21">
            <v>0</v>
          </cell>
          <cell r="L21">
            <v>0</v>
          </cell>
          <cell r="M21">
            <v>551</v>
          </cell>
        </row>
        <row r="22">
          <cell r="B22">
            <v>0</v>
          </cell>
          <cell r="C22">
            <v>48533.74190804598</v>
          </cell>
          <cell r="D22">
            <v>89864.964636015327</v>
          </cell>
          <cell r="E22">
            <v>110000</v>
          </cell>
          <cell r="F22">
            <v>0</v>
          </cell>
          <cell r="G22">
            <v>576</v>
          </cell>
          <cell r="H22">
            <v>10000</v>
          </cell>
          <cell r="I22">
            <v>2427</v>
          </cell>
          <cell r="J22">
            <v>30000</v>
          </cell>
          <cell r="K22">
            <v>0</v>
          </cell>
          <cell r="L22">
            <v>30000</v>
          </cell>
          <cell r="M22">
            <v>551</v>
          </cell>
        </row>
        <row r="23">
          <cell r="B23">
            <v>0</v>
          </cell>
          <cell r="C23">
            <v>349444.55453645939</v>
          </cell>
          <cell r="D23">
            <v>232627.46463601533</v>
          </cell>
          <cell r="E23">
            <v>292000</v>
          </cell>
          <cell r="F23">
            <v>12000</v>
          </cell>
          <cell r="G23">
            <v>12910</v>
          </cell>
          <cell r="H23">
            <v>45000</v>
          </cell>
          <cell r="I23">
            <v>46052</v>
          </cell>
          <cell r="J23">
            <v>45000</v>
          </cell>
          <cell r="K23">
            <v>38059</v>
          </cell>
          <cell r="L23">
            <v>80000</v>
          </cell>
          <cell r="M23">
            <v>15614</v>
          </cell>
        </row>
        <row r="24">
          <cell r="B24" t="str">
            <v>Ireland Private Label Aldi Ireland</v>
          </cell>
          <cell r="C24">
            <v>82041.666666666657</v>
          </cell>
          <cell r="D24">
            <v>43200</v>
          </cell>
          <cell r="E24">
            <v>50000</v>
          </cell>
          <cell r="F24">
            <v>10000</v>
          </cell>
          <cell r="G24">
            <v>10368</v>
          </cell>
          <cell r="H24">
            <v>10000</v>
          </cell>
          <cell r="I24">
            <v>13824</v>
          </cell>
          <cell r="J24">
            <v>10000</v>
          </cell>
          <cell r="K24">
            <v>3456</v>
          </cell>
          <cell r="L24">
            <v>10000</v>
          </cell>
          <cell r="M24">
            <v>12672</v>
          </cell>
        </row>
        <row r="25">
          <cell r="B25" t="str">
            <v>Ireland Private Label Musgraves</v>
          </cell>
          <cell r="C25">
            <v>0</v>
          </cell>
          <cell r="D25">
            <v>0</v>
          </cell>
          <cell r="E25">
            <v>0</v>
          </cell>
          <cell r="F25">
            <v>0</v>
          </cell>
          <cell r="G25">
            <v>0</v>
          </cell>
          <cell r="H25">
            <v>0</v>
          </cell>
          <cell r="I25">
            <v>0</v>
          </cell>
          <cell r="J25">
            <v>0</v>
          </cell>
          <cell r="K25">
            <v>0</v>
          </cell>
          <cell r="L25">
            <v>0</v>
          </cell>
          <cell r="M25">
            <v>0</v>
          </cell>
        </row>
        <row r="26">
          <cell r="B26" t="str">
            <v>Ireland Private Label Tesco Ireland</v>
          </cell>
          <cell r="C26">
            <v>109628.46886666666</v>
          </cell>
          <cell r="D26">
            <v>0</v>
          </cell>
          <cell r="E26">
            <v>0</v>
          </cell>
          <cell r="F26">
            <v>0</v>
          </cell>
          <cell r="G26">
            <v>0</v>
          </cell>
          <cell r="H26">
            <v>0</v>
          </cell>
          <cell r="I26">
            <v>0</v>
          </cell>
          <cell r="J26">
            <v>0</v>
          </cell>
          <cell r="K26">
            <v>0</v>
          </cell>
          <cell r="L26">
            <v>0</v>
          </cell>
          <cell r="M26">
            <v>0</v>
          </cell>
        </row>
        <row r="27">
          <cell r="B27">
            <v>0</v>
          </cell>
          <cell r="C27">
            <v>191670.13553333332</v>
          </cell>
          <cell r="D27">
            <v>43200</v>
          </cell>
          <cell r="E27">
            <v>50000</v>
          </cell>
          <cell r="F27">
            <v>10000</v>
          </cell>
          <cell r="G27">
            <v>10368</v>
          </cell>
          <cell r="H27">
            <v>10000</v>
          </cell>
          <cell r="I27">
            <v>13824</v>
          </cell>
          <cell r="J27">
            <v>10000</v>
          </cell>
          <cell r="K27">
            <v>3456</v>
          </cell>
          <cell r="L27">
            <v>10000</v>
          </cell>
          <cell r="M27">
            <v>12672</v>
          </cell>
        </row>
        <row r="28">
          <cell r="B28" t="str">
            <v>UK Private Label Aldi UK</v>
          </cell>
          <cell r="C28">
            <v>119387.5</v>
          </cell>
          <cell r="D28">
            <v>0</v>
          </cell>
          <cell r="E28">
            <v>0</v>
          </cell>
          <cell r="F28">
            <v>0</v>
          </cell>
          <cell r="G28">
            <v>0</v>
          </cell>
          <cell r="H28">
            <v>0</v>
          </cell>
          <cell r="I28">
            <v>0</v>
          </cell>
          <cell r="J28">
            <v>0</v>
          </cell>
          <cell r="K28">
            <v>0</v>
          </cell>
          <cell r="L28">
            <v>0</v>
          </cell>
          <cell r="M28">
            <v>0</v>
          </cell>
        </row>
        <row r="29">
          <cell r="B29" t="str">
            <v>UK Private Label Co-Op</v>
          </cell>
          <cell r="C29">
            <v>22289.64333333333</v>
          </cell>
          <cell r="D29">
            <v>0</v>
          </cell>
          <cell r="E29">
            <v>0.40028985507319181</v>
          </cell>
          <cell r="F29">
            <v>8.0057971014638366E-2</v>
          </cell>
          <cell r="G29">
            <v>0</v>
          </cell>
          <cell r="H29">
            <v>8.0057971014638366E-2</v>
          </cell>
          <cell r="I29">
            <v>0</v>
          </cell>
          <cell r="J29">
            <v>8.0057971014638366E-2</v>
          </cell>
          <cell r="K29">
            <v>0</v>
          </cell>
          <cell r="L29">
            <v>8.0057971014638366E-2</v>
          </cell>
          <cell r="M29">
            <v>0</v>
          </cell>
        </row>
        <row r="30">
          <cell r="B30">
            <v>0</v>
          </cell>
          <cell r="C30">
            <v>141677.14333333334</v>
          </cell>
          <cell r="D30">
            <v>0</v>
          </cell>
          <cell r="E30">
            <v>0.40028985507319181</v>
          </cell>
          <cell r="F30">
            <v>8.0057971014638366E-2</v>
          </cell>
          <cell r="G30">
            <v>0</v>
          </cell>
          <cell r="H30">
            <v>8.0057971014638366E-2</v>
          </cell>
          <cell r="I30">
            <v>0</v>
          </cell>
          <cell r="J30">
            <v>8.0057971014638366E-2</v>
          </cell>
          <cell r="K30">
            <v>0</v>
          </cell>
          <cell r="L30">
            <v>8.0057971014638366E-2</v>
          </cell>
          <cell r="M30">
            <v>0</v>
          </cell>
        </row>
        <row r="31">
          <cell r="B31" t="str">
            <v>ROW Private Label Auchan</v>
          </cell>
          <cell r="C31">
            <v>0</v>
          </cell>
          <cell r="D31">
            <v>0</v>
          </cell>
          <cell r="E31">
            <v>0</v>
          </cell>
          <cell r="F31">
            <v>0</v>
          </cell>
          <cell r="G31">
            <v>0</v>
          </cell>
          <cell r="H31">
            <v>0</v>
          </cell>
          <cell r="I31">
            <v>0</v>
          </cell>
          <cell r="J31">
            <v>0</v>
          </cell>
          <cell r="K31">
            <v>0</v>
          </cell>
          <cell r="L31">
            <v>0</v>
          </cell>
          <cell r="M31">
            <v>0</v>
          </cell>
        </row>
        <row r="32">
          <cell r="B32">
            <v>0</v>
          </cell>
          <cell r="C32">
            <v>0</v>
          </cell>
          <cell r="D32">
            <v>0</v>
          </cell>
          <cell r="E32">
            <v>0</v>
          </cell>
          <cell r="F32">
            <v>0</v>
          </cell>
          <cell r="G32">
            <v>0</v>
          </cell>
          <cell r="H32">
            <v>0</v>
          </cell>
          <cell r="I32">
            <v>0</v>
          </cell>
          <cell r="J32">
            <v>0</v>
          </cell>
          <cell r="K32">
            <v>0</v>
          </cell>
          <cell r="L32">
            <v>0</v>
          </cell>
          <cell r="M32">
            <v>0</v>
          </cell>
        </row>
        <row r="33">
          <cell r="B33">
            <v>0</v>
          </cell>
          <cell r="C33">
            <v>333347.27886666666</v>
          </cell>
          <cell r="D33">
            <v>43200</v>
          </cell>
          <cell r="E33">
            <v>50000.400289855075</v>
          </cell>
          <cell r="F33">
            <v>10000.080057971014</v>
          </cell>
          <cell r="G33">
            <v>10368</v>
          </cell>
          <cell r="H33">
            <v>10000.080057971014</v>
          </cell>
          <cell r="I33">
            <v>13824</v>
          </cell>
          <cell r="J33">
            <v>10000.080057971014</v>
          </cell>
          <cell r="K33">
            <v>3456</v>
          </cell>
          <cell r="L33">
            <v>10000.080057971014</v>
          </cell>
          <cell r="M33">
            <v>12672</v>
          </cell>
        </row>
        <row r="34">
          <cell r="B34" t="str">
            <v>Ireland Contract Manufacturing Project Go West</v>
          </cell>
          <cell r="C34">
            <v>18540</v>
          </cell>
          <cell r="D34">
            <v>0</v>
          </cell>
          <cell r="E34">
            <v>0</v>
          </cell>
          <cell r="F34">
            <v>0</v>
          </cell>
          <cell r="G34">
            <v>0</v>
          </cell>
          <cell r="H34">
            <v>0</v>
          </cell>
          <cell r="I34">
            <v>0</v>
          </cell>
          <cell r="J34">
            <v>0</v>
          </cell>
          <cell r="K34">
            <v>0</v>
          </cell>
          <cell r="L34">
            <v>0</v>
          </cell>
          <cell r="M34">
            <v>0</v>
          </cell>
        </row>
        <row r="35">
          <cell r="B35" t="str">
            <v>Ireland Contract Manufacturing Project M1</v>
          </cell>
          <cell r="C35">
            <v>100985</v>
          </cell>
          <cell r="D35">
            <v>43560</v>
          </cell>
          <cell r="E35">
            <v>47000</v>
          </cell>
          <cell r="F35">
            <v>0</v>
          </cell>
          <cell r="G35">
            <v>0</v>
          </cell>
          <cell r="H35">
            <v>7000</v>
          </cell>
          <cell r="I35">
            <v>0</v>
          </cell>
          <cell r="J35">
            <v>20000</v>
          </cell>
          <cell r="K35">
            <v>19164</v>
          </cell>
          <cell r="L35">
            <v>0</v>
          </cell>
          <cell r="M35">
            <v>0</v>
          </cell>
        </row>
        <row r="36">
          <cell r="B36" t="str">
            <v>Ireland Contract Manufacturing Other</v>
          </cell>
          <cell r="C36">
            <v>0</v>
          </cell>
          <cell r="D36">
            <v>2140</v>
          </cell>
          <cell r="E36">
            <v>3000</v>
          </cell>
          <cell r="F36">
            <v>3000</v>
          </cell>
          <cell r="G36">
            <v>0</v>
          </cell>
          <cell r="H36">
            <v>0</v>
          </cell>
          <cell r="I36">
            <v>0</v>
          </cell>
          <cell r="J36">
            <v>0</v>
          </cell>
          <cell r="K36">
            <v>5247</v>
          </cell>
          <cell r="L36">
            <v>0</v>
          </cell>
          <cell r="M36">
            <v>0</v>
          </cell>
        </row>
        <row r="37">
          <cell r="B37" t="str">
            <v>Ireland Contract Manufacturing Other</v>
          </cell>
          <cell r="C37">
            <v>0</v>
          </cell>
          <cell r="D37">
            <v>0</v>
          </cell>
          <cell r="E37">
            <v>0</v>
          </cell>
          <cell r="F37">
            <v>0</v>
          </cell>
          <cell r="G37">
            <v>0</v>
          </cell>
          <cell r="H37">
            <v>0</v>
          </cell>
          <cell r="I37">
            <v>0</v>
          </cell>
          <cell r="J37">
            <v>0</v>
          </cell>
          <cell r="K37">
            <v>0</v>
          </cell>
          <cell r="L37">
            <v>0</v>
          </cell>
          <cell r="M37">
            <v>0</v>
          </cell>
        </row>
        <row r="38">
          <cell r="B38" t="str">
            <v>Ireland Contract Manufacturing Other</v>
          </cell>
          <cell r="C38">
            <v>0</v>
          </cell>
          <cell r="D38">
            <v>21240</v>
          </cell>
          <cell r="E38">
            <v>24000</v>
          </cell>
          <cell r="F38">
            <v>8000</v>
          </cell>
          <cell r="G38">
            <v>0</v>
          </cell>
          <cell r="H38">
            <v>0</v>
          </cell>
          <cell r="I38">
            <v>5509</v>
          </cell>
          <cell r="J38">
            <v>0</v>
          </cell>
          <cell r="K38">
            <v>13697</v>
          </cell>
          <cell r="L38">
            <v>16000</v>
          </cell>
          <cell r="M38">
            <v>0</v>
          </cell>
        </row>
        <row r="39">
          <cell r="B39">
            <v>0</v>
          </cell>
          <cell r="C39">
            <v>119525</v>
          </cell>
          <cell r="D39">
            <v>66940</v>
          </cell>
          <cell r="E39">
            <v>74000</v>
          </cell>
          <cell r="F39">
            <v>11000</v>
          </cell>
          <cell r="G39">
            <v>0</v>
          </cell>
          <cell r="H39">
            <v>7000</v>
          </cell>
          <cell r="I39">
            <v>5509</v>
          </cell>
          <cell r="J39">
            <v>20000</v>
          </cell>
          <cell r="K39">
            <v>38108</v>
          </cell>
          <cell r="L39">
            <v>16000</v>
          </cell>
          <cell r="M39">
            <v>0</v>
          </cell>
        </row>
        <row r="40">
          <cell r="B40" t="str">
            <v>UK Contract Manufacturing Project Bill</v>
          </cell>
          <cell r="C40">
            <v>21538.636363636364</v>
          </cell>
          <cell r="D40">
            <v>112393.40509090909</v>
          </cell>
          <cell r="E40">
            <v>136000</v>
          </cell>
          <cell r="F40">
            <v>0</v>
          </cell>
          <cell r="G40">
            <v>15881</v>
          </cell>
          <cell r="H40">
            <v>34000</v>
          </cell>
          <cell r="I40">
            <v>15624</v>
          </cell>
          <cell r="J40">
            <v>51000</v>
          </cell>
          <cell r="K40">
            <v>0</v>
          </cell>
          <cell r="L40">
            <v>51000</v>
          </cell>
          <cell r="M40">
            <v>63046</v>
          </cell>
        </row>
        <row r="41">
          <cell r="B41" t="str">
            <v>UK Contract Manufacturing Project Go Light</v>
          </cell>
          <cell r="C41">
            <v>64272</v>
          </cell>
          <cell r="D41">
            <v>0</v>
          </cell>
          <cell r="E41">
            <v>0</v>
          </cell>
          <cell r="F41">
            <v>0</v>
          </cell>
          <cell r="G41">
            <v>0</v>
          </cell>
          <cell r="H41">
            <v>0</v>
          </cell>
          <cell r="I41">
            <v>0</v>
          </cell>
          <cell r="J41">
            <v>0</v>
          </cell>
          <cell r="K41">
            <v>0</v>
          </cell>
          <cell r="L41">
            <v>0</v>
          </cell>
          <cell r="M41">
            <v>0</v>
          </cell>
        </row>
        <row r="42">
          <cell r="B42" t="str">
            <v>UK Contract Manufacturing Project Boom</v>
          </cell>
          <cell r="C42">
            <v>0</v>
          </cell>
          <cell r="D42">
            <v>100000</v>
          </cell>
          <cell r="E42">
            <v>0</v>
          </cell>
          <cell r="F42">
            <v>0</v>
          </cell>
          <cell r="G42">
            <v>0</v>
          </cell>
          <cell r="H42">
            <v>0</v>
          </cell>
          <cell r="I42">
            <v>0</v>
          </cell>
          <cell r="J42">
            <v>0</v>
          </cell>
          <cell r="K42">
            <v>0</v>
          </cell>
          <cell r="L42">
            <v>0</v>
          </cell>
          <cell r="M42">
            <v>0</v>
          </cell>
        </row>
        <row r="43">
          <cell r="B43" t="str">
            <v>UK Contract Manufacturing Project Robin</v>
          </cell>
          <cell r="C43">
            <v>48204</v>
          </cell>
          <cell r="D43">
            <v>0</v>
          </cell>
          <cell r="E43">
            <v>0</v>
          </cell>
          <cell r="F43">
            <v>0</v>
          </cell>
          <cell r="G43">
            <v>0</v>
          </cell>
          <cell r="H43">
            <v>0</v>
          </cell>
          <cell r="I43">
            <v>0</v>
          </cell>
          <cell r="J43">
            <v>0</v>
          </cell>
          <cell r="K43">
            <v>0</v>
          </cell>
          <cell r="L43">
            <v>0</v>
          </cell>
          <cell r="M43">
            <v>0</v>
          </cell>
        </row>
        <row r="44">
          <cell r="B44" t="str">
            <v>UK Contract Manufacturing Regal Foods</v>
          </cell>
          <cell r="C44">
            <v>0</v>
          </cell>
          <cell r="D44">
            <v>21600</v>
          </cell>
          <cell r="E44">
            <v>20000</v>
          </cell>
          <cell r="F44">
            <v>0</v>
          </cell>
          <cell r="G44">
            <v>0</v>
          </cell>
          <cell r="H44">
            <v>0</v>
          </cell>
          <cell r="I44">
            <v>0</v>
          </cell>
          <cell r="J44">
            <v>0</v>
          </cell>
          <cell r="K44">
            <v>0</v>
          </cell>
          <cell r="L44">
            <v>0</v>
          </cell>
          <cell r="M44">
            <v>0</v>
          </cell>
        </row>
        <row r="45">
          <cell r="B45">
            <v>0</v>
          </cell>
          <cell r="C45">
            <v>134014.63636363635</v>
          </cell>
          <cell r="D45">
            <v>233993.4050909091</v>
          </cell>
          <cell r="E45">
            <v>156000</v>
          </cell>
          <cell r="F45">
            <v>0</v>
          </cell>
          <cell r="G45">
            <v>15881</v>
          </cell>
          <cell r="H45">
            <v>34000</v>
          </cell>
          <cell r="I45">
            <v>15624</v>
          </cell>
          <cell r="J45">
            <v>51000</v>
          </cell>
          <cell r="K45">
            <v>0</v>
          </cell>
          <cell r="L45">
            <v>51000</v>
          </cell>
          <cell r="M45">
            <v>63046</v>
          </cell>
        </row>
        <row r="46">
          <cell r="B46">
            <v>0</v>
          </cell>
          <cell r="C46">
            <v>253539.63636363635</v>
          </cell>
          <cell r="D46">
            <v>300933.4050909091</v>
          </cell>
          <cell r="E46">
            <v>230000</v>
          </cell>
          <cell r="F46">
            <v>11000</v>
          </cell>
          <cell r="G46">
            <v>15881</v>
          </cell>
          <cell r="H46">
            <v>41000</v>
          </cell>
          <cell r="I46">
            <v>21133</v>
          </cell>
          <cell r="J46">
            <v>71000</v>
          </cell>
          <cell r="K46">
            <v>38108</v>
          </cell>
          <cell r="L46">
            <v>67000</v>
          </cell>
          <cell r="M46">
            <v>63046</v>
          </cell>
        </row>
        <row r="47">
          <cell r="B47">
            <v>0</v>
          </cell>
          <cell r="C47">
            <v>936331.46976676246</v>
          </cell>
          <cell r="D47">
            <v>576760.86972692446</v>
          </cell>
          <cell r="E47">
            <v>572000.40028985508</v>
          </cell>
          <cell r="F47">
            <v>33000.080057971012</v>
          </cell>
          <cell r="G47">
            <v>39159</v>
          </cell>
          <cell r="H47">
            <v>96000.080057971005</v>
          </cell>
          <cell r="I47">
            <v>81009</v>
          </cell>
          <cell r="J47">
            <v>126000.08005797102</v>
          </cell>
          <cell r="K47">
            <v>79623</v>
          </cell>
          <cell r="L47">
            <v>157000.080057971</v>
          </cell>
          <cell r="M47">
            <v>91332</v>
          </cell>
        </row>
      </sheetData>
      <sheetData sheetId="3"/>
      <sheetData sheetId="4"/>
      <sheetData sheetId="5"/>
      <sheetData sheetId="6"/>
      <sheetData sheetId="7"/>
      <sheetData sheetId="8"/>
      <sheetData sheetId="9">
        <row r="9">
          <cell r="A9" t="str">
            <v>FEB0001</v>
          </cell>
          <cell r="B9" t="str">
            <v>ECB - Choc Chunk</v>
          </cell>
          <cell r="C9">
            <v>2323</v>
          </cell>
          <cell r="D9">
            <v>541</v>
          </cell>
          <cell r="E9">
            <v>0</v>
          </cell>
          <cell r="F9">
            <v>1016</v>
          </cell>
          <cell r="G9">
            <v>541</v>
          </cell>
          <cell r="H9">
            <v>0</v>
          </cell>
          <cell r="I9">
            <v>475</v>
          </cell>
          <cell r="J9">
            <v>541</v>
          </cell>
          <cell r="K9">
            <v>0</v>
          </cell>
          <cell r="L9">
            <v>-66</v>
          </cell>
        </row>
        <row r="10">
          <cell r="A10" t="str">
            <v>FEB0002</v>
          </cell>
          <cell r="B10" t="str">
            <v>ECB - Pecan &amp; Caramel</v>
          </cell>
          <cell r="C10">
            <v>1</v>
          </cell>
          <cell r="D10">
            <v>208.26</v>
          </cell>
          <cell r="E10">
            <v>0</v>
          </cell>
          <cell r="F10">
            <v>124.74000000000001</v>
          </cell>
          <cell r="G10">
            <v>208.26</v>
          </cell>
          <cell r="H10">
            <v>0</v>
          </cell>
          <cell r="I10">
            <v>-83.519999999999982</v>
          </cell>
          <cell r="J10">
            <v>208.26</v>
          </cell>
          <cell r="K10">
            <v>0</v>
          </cell>
          <cell r="L10">
            <v>-291.77999999999997</v>
          </cell>
        </row>
        <row r="11">
          <cell r="A11" t="str">
            <v>FEB0003</v>
          </cell>
          <cell r="B11" t="str">
            <v>ECB 20g MCC</v>
          </cell>
          <cell r="C11">
            <v>77</v>
          </cell>
          <cell r="D11">
            <v>0</v>
          </cell>
          <cell r="E11">
            <v>0</v>
          </cell>
          <cell r="F11">
            <v>120</v>
          </cell>
          <cell r="G11">
            <v>0</v>
          </cell>
          <cell r="H11">
            <v>0</v>
          </cell>
          <cell r="I11">
            <v>120</v>
          </cell>
          <cell r="J11">
            <v>0</v>
          </cell>
          <cell r="K11">
            <v>0</v>
          </cell>
          <cell r="L11">
            <v>120</v>
          </cell>
        </row>
        <row r="12">
          <cell r="A12" t="str">
            <v>FEB0004</v>
          </cell>
          <cell r="B12" t="str">
            <v>ECB - Half Coated Choc Chunk</v>
          </cell>
          <cell r="C12">
            <v>2272</v>
          </cell>
          <cell r="D12">
            <v>441.00000000000006</v>
          </cell>
          <cell r="E12">
            <v>0</v>
          </cell>
          <cell r="F12">
            <v>2290</v>
          </cell>
          <cell r="G12">
            <v>441.00000000000006</v>
          </cell>
          <cell r="H12">
            <v>0</v>
          </cell>
          <cell r="I12">
            <v>1849</v>
          </cell>
          <cell r="J12">
            <v>441.00000000000006</v>
          </cell>
          <cell r="K12">
            <v>0</v>
          </cell>
          <cell r="L12">
            <v>1408</v>
          </cell>
        </row>
        <row r="13">
          <cell r="A13" t="str">
            <v>FEB0005</v>
          </cell>
          <cell r="B13" t="str">
            <v>ECB - Stem Ginger Choc Chunk</v>
          </cell>
          <cell r="C13">
            <v>687</v>
          </cell>
          <cell r="D13">
            <v>372.1</v>
          </cell>
          <cell r="E13">
            <v>0</v>
          </cell>
          <cell r="F13">
            <v>1408.9</v>
          </cell>
          <cell r="G13">
            <v>372.1</v>
          </cell>
          <cell r="H13">
            <v>0</v>
          </cell>
          <cell r="I13">
            <v>1036.8000000000002</v>
          </cell>
          <cell r="J13">
            <v>372.1</v>
          </cell>
          <cell r="K13">
            <v>0</v>
          </cell>
          <cell r="L13">
            <v>664.70000000000016</v>
          </cell>
        </row>
        <row r="14">
          <cell r="A14" t="str">
            <v>FEB0006</v>
          </cell>
          <cell r="B14" t="str">
            <v>ECB - Crunch Ginger</v>
          </cell>
          <cell r="C14">
            <v>1042</v>
          </cell>
          <cell r="D14">
            <v>227.68</v>
          </cell>
          <cell r="E14">
            <v>0</v>
          </cell>
          <cell r="F14">
            <v>72.319999999999993</v>
          </cell>
          <cell r="G14">
            <v>227.68</v>
          </cell>
          <cell r="H14">
            <v>0</v>
          </cell>
          <cell r="I14">
            <v>-155.36000000000001</v>
          </cell>
          <cell r="J14">
            <v>227.68</v>
          </cell>
          <cell r="K14">
            <v>0</v>
          </cell>
          <cell r="L14">
            <v>-383.04</v>
          </cell>
        </row>
        <row r="15">
          <cell r="A15" t="str">
            <v>FEB0007</v>
          </cell>
          <cell r="B15" t="str">
            <v>ECB - Crunch Coconut</v>
          </cell>
          <cell r="C15">
            <v>0</v>
          </cell>
          <cell r="D15">
            <v>227.68</v>
          </cell>
          <cell r="E15">
            <v>0</v>
          </cell>
          <cell r="F15">
            <v>548.31999999999994</v>
          </cell>
          <cell r="G15">
            <v>227.68</v>
          </cell>
          <cell r="H15">
            <v>0</v>
          </cell>
          <cell r="I15">
            <v>320.63999999999993</v>
          </cell>
          <cell r="J15">
            <v>227.68</v>
          </cell>
          <cell r="K15">
            <v>0</v>
          </cell>
          <cell r="L15">
            <v>92.959999999999923</v>
          </cell>
        </row>
        <row r="16">
          <cell r="A16" t="str">
            <v>FEB0008</v>
          </cell>
          <cell r="B16" t="str">
            <v>ECB - Half Coated Crunch</v>
          </cell>
          <cell r="C16">
            <v>0</v>
          </cell>
          <cell r="D16">
            <v>195.76</v>
          </cell>
          <cell r="E16">
            <v>0</v>
          </cell>
          <cell r="F16">
            <v>436.24</v>
          </cell>
          <cell r="G16">
            <v>195.76</v>
          </cell>
          <cell r="H16">
            <v>0</v>
          </cell>
          <cell r="I16">
            <v>240.48000000000002</v>
          </cell>
          <cell r="J16">
            <v>195.76</v>
          </cell>
          <cell r="K16">
            <v>0</v>
          </cell>
          <cell r="L16">
            <v>44.720000000000027</v>
          </cell>
        </row>
        <row r="17">
          <cell r="A17" t="str">
            <v>FEB0009</v>
          </cell>
          <cell r="B17" t="str">
            <v>ECB - Half Coated Oaties</v>
          </cell>
          <cell r="C17">
            <v>0</v>
          </cell>
          <cell r="D17">
            <v>195.76</v>
          </cell>
          <cell r="E17">
            <v>0</v>
          </cell>
          <cell r="F17">
            <v>-168.76</v>
          </cell>
          <cell r="G17">
            <v>195.76</v>
          </cell>
          <cell r="H17">
            <v>0</v>
          </cell>
          <cell r="I17">
            <v>-364.52</v>
          </cell>
          <cell r="J17">
            <v>195.76</v>
          </cell>
          <cell r="K17">
            <v>0</v>
          </cell>
          <cell r="L17">
            <v>-560.28</v>
          </cell>
        </row>
        <row r="18">
          <cell r="A18" t="str">
            <v>FEB0010</v>
          </cell>
          <cell r="B18" t="str">
            <v>ECB FS HC MCC Twin Pack</v>
          </cell>
          <cell r="C18">
            <v>1361</v>
          </cell>
          <cell r="D18">
            <v>89.9</v>
          </cell>
          <cell r="E18">
            <v>0</v>
          </cell>
          <cell r="F18">
            <v>1195.0999999999999</v>
          </cell>
          <cell r="G18">
            <v>89.9</v>
          </cell>
          <cell r="H18">
            <v>0</v>
          </cell>
          <cell r="I18">
            <v>1105.1999999999998</v>
          </cell>
          <cell r="J18">
            <v>89.9</v>
          </cell>
          <cell r="K18">
            <v>0</v>
          </cell>
          <cell r="L18">
            <v>1015.2999999999998</v>
          </cell>
        </row>
        <row r="19">
          <cell r="A19" t="str">
            <v>FEB0011</v>
          </cell>
          <cell r="B19" t="str">
            <v>ECB FS MCC Twin Pack</v>
          </cell>
          <cell r="C19">
            <v>651</v>
          </cell>
          <cell r="D19">
            <v>89.9</v>
          </cell>
          <cell r="E19">
            <v>0</v>
          </cell>
          <cell r="F19">
            <v>242.1</v>
          </cell>
          <cell r="G19">
            <v>89.9</v>
          </cell>
          <cell r="H19">
            <v>0</v>
          </cell>
          <cell r="I19">
            <v>152.19999999999999</v>
          </cell>
          <cell r="J19">
            <v>89.9</v>
          </cell>
          <cell r="K19">
            <v>0</v>
          </cell>
          <cell r="L19">
            <v>62.299999999999983</v>
          </cell>
        </row>
        <row r="20">
          <cell r="A20" t="str">
            <v>FEB0012</v>
          </cell>
          <cell r="B20" t="str">
            <v>ECB - Granola Nuts &amp; Seeds</v>
          </cell>
          <cell r="C20">
            <v>1126</v>
          </cell>
          <cell r="D20">
            <v>266</v>
          </cell>
          <cell r="E20">
            <v>0</v>
          </cell>
          <cell r="F20">
            <v>656</v>
          </cell>
          <cell r="G20">
            <v>266</v>
          </cell>
          <cell r="H20">
            <v>0</v>
          </cell>
          <cell r="I20">
            <v>390</v>
          </cell>
          <cell r="J20">
            <v>266</v>
          </cell>
          <cell r="K20">
            <v>0</v>
          </cell>
          <cell r="L20">
            <v>124</v>
          </cell>
        </row>
        <row r="21">
          <cell r="A21" t="str">
            <v>FEB0013</v>
          </cell>
          <cell r="B21" t="str">
            <v>ECB - Granola Choc Chip</v>
          </cell>
          <cell r="C21">
            <v>1132</v>
          </cell>
          <cell r="D21">
            <v>266.00000000000006</v>
          </cell>
          <cell r="E21">
            <v>0</v>
          </cell>
          <cell r="F21">
            <v>-108.00000000000006</v>
          </cell>
          <cell r="G21">
            <v>266.00000000000006</v>
          </cell>
          <cell r="H21">
            <v>0</v>
          </cell>
          <cell r="I21">
            <v>-374.00000000000011</v>
          </cell>
          <cell r="J21">
            <v>266.00000000000006</v>
          </cell>
          <cell r="K21">
            <v>0</v>
          </cell>
          <cell r="L21">
            <v>-640.00000000000023</v>
          </cell>
        </row>
        <row r="22">
          <cell r="A22" t="str">
            <v>FEB0014</v>
          </cell>
          <cell r="B22" t="str">
            <v>ECB - US Granola Nuts &amp; Seeds</v>
          </cell>
          <cell r="C22">
            <v>0</v>
          </cell>
          <cell r="D22">
            <v>0</v>
          </cell>
          <cell r="E22">
            <v>0</v>
          </cell>
          <cell r="F22">
            <v>0</v>
          </cell>
          <cell r="G22">
            <v>0</v>
          </cell>
          <cell r="H22">
            <v>0</v>
          </cell>
          <cell r="I22">
            <v>0</v>
          </cell>
          <cell r="J22">
            <v>0</v>
          </cell>
          <cell r="K22">
            <v>0</v>
          </cell>
          <cell r="L22">
            <v>0</v>
          </cell>
        </row>
        <row r="23">
          <cell r="A23" t="str">
            <v>FEB0016</v>
          </cell>
          <cell r="B23" t="str">
            <v>ECB - US Enrobed Butter Crunch</v>
          </cell>
          <cell r="C23">
            <v>0</v>
          </cell>
          <cell r="D23">
            <v>0</v>
          </cell>
          <cell r="E23">
            <v>0</v>
          </cell>
          <cell r="F23">
            <v>0</v>
          </cell>
          <cell r="G23">
            <v>0</v>
          </cell>
          <cell r="H23">
            <v>0</v>
          </cell>
          <cell r="I23">
            <v>0</v>
          </cell>
          <cell r="J23">
            <v>0</v>
          </cell>
          <cell r="K23">
            <v>0</v>
          </cell>
          <cell r="L23">
            <v>0</v>
          </cell>
        </row>
        <row r="24">
          <cell r="A24" t="str">
            <v>FEB0017</v>
          </cell>
          <cell r="B24" t="str">
            <v>ECB - US Coconut Crunch</v>
          </cell>
          <cell r="C24">
            <v>0</v>
          </cell>
          <cell r="D24">
            <v>0</v>
          </cell>
          <cell r="E24">
            <v>0</v>
          </cell>
          <cell r="F24">
            <v>0</v>
          </cell>
          <cell r="G24">
            <v>0</v>
          </cell>
          <cell r="H24">
            <v>0</v>
          </cell>
          <cell r="I24">
            <v>0</v>
          </cell>
          <cell r="J24">
            <v>0</v>
          </cell>
          <cell r="K24">
            <v>0</v>
          </cell>
          <cell r="L24">
            <v>0</v>
          </cell>
        </row>
        <row r="25">
          <cell r="A25" t="str">
            <v>FEB0018</v>
          </cell>
          <cell r="B25" t="str">
            <v>ECB - US Ginger Crunch</v>
          </cell>
          <cell r="C25">
            <v>4</v>
          </cell>
          <cell r="D25">
            <v>0</v>
          </cell>
          <cell r="E25">
            <v>0</v>
          </cell>
          <cell r="F25">
            <v>3</v>
          </cell>
          <cell r="G25">
            <v>0</v>
          </cell>
          <cell r="H25">
            <v>0</v>
          </cell>
          <cell r="I25">
            <v>3</v>
          </cell>
          <cell r="J25">
            <v>0</v>
          </cell>
          <cell r="K25">
            <v>0</v>
          </cell>
          <cell r="L25">
            <v>3</v>
          </cell>
        </row>
        <row r="26">
          <cell r="A26" t="str">
            <v>FEB0019</v>
          </cell>
          <cell r="B26" t="str">
            <v>ECB Palm Export - Milk Choc Chunk</v>
          </cell>
          <cell r="C26">
            <v>4104</v>
          </cell>
          <cell r="D26">
            <v>1000</v>
          </cell>
          <cell r="E26">
            <v>0</v>
          </cell>
          <cell r="F26">
            <v>1044</v>
          </cell>
          <cell r="G26">
            <v>1000</v>
          </cell>
          <cell r="H26">
            <v>0</v>
          </cell>
          <cell r="I26">
            <v>44</v>
          </cell>
          <cell r="J26">
            <v>1000</v>
          </cell>
          <cell r="K26">
            <v>0</v>
          </cell>
          <cell r="L26">
            <v>-956</v>
          </cell>
        </row>
        <row r="27">
          <cell r="A27" t="str">
            <v>FEB0020</v>
          </cell>
          <cell r="B27" t="str">
            <v>ECB Palm Export - HC Choc Chunk</v>
          </cell>
          <cell r="C27">
            <v>2768</v>
          </cell>
          <cell r="D27">
            <v>1000</v>
          </cell>
          <cell r="E27">
            <v>0</v>
          </cell>
          <cell r="F27">
            <v>817</v>
          </cell>
          <cell r="G27">
            <v>1000</v>
          </cell>
          <cell r="H27">
            <v>0</v>
          </cell>
          <cell r="I27">
            <v>-183</v>
          </cell>
          <cell r="J27">
            <v>1000</v>
          </cell>
          <cell r="K27">
            <v>0</v>
          </cell>
          <cell r="L27">
            <v>-1183</v>
          </cell>
        </row>
        <row r="28">
          <cell r="A28" t="str">
            <v>FEB0021</v>
          </cell>
          <cell r="B28" t="str">
            <v>ECB Palm Export - Stem Ginger</v>
          </cell>
          <cell r="C28">
            <v>4642</v>
          </cell>
          <cell r="D28">
            <v>1000</v>
          </cell>
          <cell r="E28">
            <v>0</v>
          </cell>
          <cell r="F28">
            <v>1314</v>
          </cell>
          <cell r="G28">
            <v>1000</v>
          </cell>
          <cell r="H28">
            <v>0</v>
          </cell>
          <cell r="I28">
            <v>314</v>
          </cell>
          <cell r="J28">
            <v>1000</v>
          </cell>
          <cell r="K28">
            <v>0</v>
          </cell>
          <cell r="L28">
            <v>-686</v>
          </cell>
        </row>
        <row r="29">
          <cell r="A29" t="str">
            <v>FEB0022</v>
          </cell>
          <cell r="B29" t="str">
            <v>ECB Palm Export - Granola Nuts &amp; Seeds</v>
          </cell>
          <cell r="C29">
            <v>4635</v>
          </cell>
          <cell r="D29">
            <v>1000</v>
          </cell>
          <cell r="E29">
            <v>0</v>
          </cell>
          <cell r="F29">
            <v>2528</v>
          </cell>
          <cell r="G29">
            <v>1000</v>
          </cell>
          <cell r="H29">
            <v>0</v>
          </cell>
          <cell r="I29">
            <v>1528</v>
          </cell>
          <cell r="J29">
            <v>1000</v>
          </cell>
          <cell r="K29">
            <v>0</v>
          </cell>
          <cell r="L29">
            <v>528</v>
          </cell>
        </row>
        <row r="30">
          <cell r="A30" t="str">
            <v>FEB0023</v>
          </cell>
          <cell r="B30" t="str">
            <v>ECB Palm Export - Triple Choc Cookie</v>
          </cell>
          <cell r="C30">
            <v>2661</v>
          </cell>
          <cell r="D30">
            <v>1000</v>
          </cell>
          <cell r="E30">
            <v>0</v>
          </cell>
          <cell r="F30">
            <v>1824</v>
          </cell>
          <cell r="G30">
            <v>1000</v>
          </cell>
          <cell r="H30">
            <v>0</v>
          </cell>
          <cell r="I30">
            <v>824</v>
          </cell>
          <cell r="J30">
            <v>1000</v>
          </cell>
          <cell r="K30">
            <v>0</v>
          </cell>
          <cell r="L30">
            <v>-176</v>
          </cell>
        </row>
        <row r="31">
          <cell r="A31" t="str">
            <v>FHL0001</v>
          </cell>
          <cell r="B31" t="str">
            <v>CM - Hill 14% CC Std</v>
          </cell>
          <cell r="C31">
            <v>0</v>
          </cell>
          <cell r="D31">
            <v>702</v>
          </cell>
          <cell r="E31">
            <v>0</v>
          </cell>
          <cell r="F31">
            <v>-702</v>
          </cell>
          <cell r="G31">
            <v>702</v>
          </cell>
          <cell r="H31">
            <v>0</v>
          </cell>
          <cell r="I31">
            <v>-1404</v>
          </cell>
          <cell r="J31">
            <v>702</v>
          </cell>
          <cell r="K31">
            <v>0</v>
          </cell>
          <cell r="L31">
            <v>-2106</v>
          </cell>
        </row>
        <row r="32">
          <cell r="A32" t="str">
            <v>FOM0006_2</v>
          </cell>
          <cell r="B32" t="str">
            <v>Oh My 200g</v>
          </cell>
          <cell r="C32">
            <v>0</v>
          </cell>
          <cell r="D32">
            <v>0</v>
          </cell>
          <cell r="E32">
            <v>0</v>
          </cell>
          <cell r="F32">
            <v>154</v>
          </cell>
          <cell r="G32">
            <v>0</v>
          </cell>
          <cell r="H32">
            <v>0</v>
          </cell>
          <cell r="I32">
            <v>154</v>
          </cell>
          <cell r="J32">
            <v>0</v>
          </cell>
          <cell r="K32">
            <v>0</v>
          </cell>
          <cell r="L32">
            <v>154</v>
          </cell>
        </row>
        <row r="33">
          <cell r="A33" t="str">
            <v>FOM0005</v>
          </cell>
          <cell r="B33" t="str">
            <v>Oh My - Double Choc 14%</v>
          </cell>
          <cell r="C33">
            <v>713</v>
          </cell>
          <cell r="D33">
            <v>194.51249999999999</v>
          </cell>
          <cell r="E33">
            <v>0</v>
          </cell>
          <cell r="F33">
            <v>-194.51249999999999</v>
          </cell>
          <cell r="G33">
            <v>194.51249999999999</v>
          </cell>
          <cell r="H33">
            <v>4403.7000000000007</v>
          </cell>
          <cell r="I33">
            <v>4014.6750000000006</v>
          </cell>
          <cell r="J33">
            <v>194.51249999999999</v>
          </cell>
          <cell r="K33">
            <v>0</v>
          </cell>
          <cell r="L33">
            <v>3820.1625000000008</v>
          </cell>
        </row>
        <row r="34">
          <cell r="A34" t="str">
            <v>FOM0006</v>
          </cell>
          <cell r="B34" t="str">
            <v>Oh My - Std 14%</v>
          </cell>
          <cell r="C34">
            <v>1608</v>
          </cell>
          <cell r="D34">
            <v>244.51249999999999</v>
          </cell>
          <cell r="E34">
            <v>0</v>
          </cell>
          <cell r="F34">
            <v>-234.51249999999999</v>
          </cell>
          <cell r="G34">
            <v>244.51249999999999</v>
          </cell>
          <cell r="H34">
            <v>4403.7000000000007</v>
          </cell>
          <cell r="I34">
            <v>3924.6750000000006</v>
          </cell>
          <cell r="J34">
            <v>244.51249999999999</v>
          </cell>
          <cell r="K34">
            <v>0</v>
          </cell>
          <cell r="L34">
            <v>3680.1625000000008</v>
          </cell>
        </row>
        <row r="35">
          <cell r="A35" t="str">
            <v>FAL0001</v>
          </cell>
          <cell r="B35" t="str">
            <v>PL - 25% Aldi Ireland CC 200gm</v>
          </cell>
          <cell r="C35" t="str">
            <v/>
          </cell>
          <cell r="D35">
            <v>0</v>
          </cell>
          <cell r="E35">
            <v>0</v>
          </cell>
          <cell r="F35">
            <v>0</v>
          </cell>
          <cell r="G35">
            <v>0</v>
          </cell>
          <cell r="H35">
            <v>0</v>
          </cell>
          <cell r="I35">
            <v>0</v>
          </cell>
          <cell r="J35">
            <v>0</v>
          </cell>
          <cell r="K35">
            <v>0</v>
          </cell>
          <cell r="L35">
            <v>0</v>
          </cell>
        </row>
        <row r="36">
          <cell r="A36" t="str">
            <v>FAL0002</v>
          </cell>
          <cell r="B36" t="str">
            <v>PL - 8% Aldi Ireland CC 400gm</v>
          </cell>
          <cell r="C36">
            <v>1524</v>
          </cell>
          <cell r="D36">
            <v>1354.1666666666667</v>
          </cell>
          <cell r="E36">
            <v>0</v>
          </cell>
          <cell r="F36">
            <v>1786.8333333333333</v>
          </cell>
          <cell r="G36">
            <v>1354.1666666666667</v>
          </cell>
          <cell r="H36">
            <v>0</v>
          </cell>
          <cell r="I36">
            <v>432.66666666666652</v>
          </cell>
          <cell r="J36">
            <v>1354.1666666666667</v>
          </cell>
          <cell r="K36">
            <v>7627.5</v>
          </cell>
          <cell r="L36">
            <v>6706</v>
          </cell>
        </row>
        <row r="37">
          <cell r="A37" t="str">
            <v>FRC0001</v>
          </cell>
          <cell r="B37" t="str">
            <v>CM - Rose Confectionery</v>
          </cell>
          <cell r="C37">
            <v>0</v>
          </cell>
          <cell r="D37">
            <v>0</v>
          </cell>
          <cell r="E37">
            <v>0</v>
          </cell>
          <cell r="F37">
            <v>0</v>
          </cell>
          <cell r="G37">
            <v>0</v>
          </cell>
          <cell r="H37">
            <v>0</v>
          </cell>
          <cell r="I37">
            <v>0</v>
          </cell>
          <cell r="J37">
            <v>0</v>
          </cell>
          <cell r="K37">
            <v>0</v>
          </cell>
          <cell r="L37">
            <v>0</v>
          </cell>
        </row>
        <row r="38">
          <cell r="A38" t="str">
            <v>FCM0001</v>
          </cell>
          <cell r="B38" t="str">
            <v>CM - Coolmore Coconut Crunch</v>
          </cell>
          <cell r="C38">
            <v>774</v>
          </cell>
          <cell r="D38">
            <v>100</v>
          </cell>
          <cell r="E38">
            <v>0</v>
          </cell>
          <cell r="F38">
            <v>343.5</v>
          </cell>
          <cell r="G38">
            <v>100</v>
          </cell>
          <cell r="H38">
            <v>0</v>
          </cell>
          <cell r="I38">
            <v>243.5</v>
          </cell>
          <cell r="J38">
            <v>100</v>
          </cell>
          <cell r="K38">
            <v>0</v>
          </cell>
          <cell r="L38">
            <v>143.5</v>
          </cell>
        </row>
        <row r="39">
          <cell r="A39">
            <v>0</v>
          </cell>
          <cell r="B39">
            <v>0</v>
          </cell>
          <cell r="C39" t="str">
            <v/>
          </cell>
          <cell r="D39">
            <v>0</v>
          </cell>
          <cell r="E39">
            <v>0</v>
          </cell>
          <cell r="F39">
            <v>0</v>
          </cell>
          <cell r="G39">
            <v>0</v>
          </cell>
          <cell r="H39">
            <v>0</v>
          </cell>
          <cell r="I39">
            <v>0</v>
          </cell>
          <cell r="J39">
            <v>0</v>
          </cell>
          <cell r="K39">
            <v>0</v>
          </cell>
          <cell r="L39">
            <v>0</v>
          </cell>
        </row>
        <row r="40">
          <cell r="A40">
            <v>0</v>
          </cell>
          <cell r="B40">
            <v>0</v>
          </cell>
          <cell r="C40" t="str">
            <v/>
          </cell>
          <cell r="D40">
            <v>0</v>
          </cell>
          <cell r="E40">
            <v>0</v>
          </cell>
          <cell r="F40">
            <v>0</v>
          </cell>
          <cell r="G40">
            <v>0</v>
          </cell>
          <cell r="H40">
            <v>0</v>
          </cell>
          <cell r="I40">
            <v>0</v>
          </cell>
          <cell r="J40">
            <v>0</v>
          </cell>
          <cell r="K40">
            <v>0</v>
          </cell>
          <cell r="L40">
            <v>0</v>
          </cell>
        </row>
        <row r="41">
          <cell r="A41" t="str">
            <v>new 1 2</v>
          </cell>
          <cell r="B41" t="str">
            <v>x 24 pack Caramel &amp; Pecan</v>
          </cell>
          <cell r="C41" t="str">
            <v/>
          </cell>
          <cell r="D41">
            <v>0</v>
          </cell>
          <cell r="E41">
            <v>0</v>
          </cell>
          <cell r="F41">
            <v>0</v>
          </cell>
          <cell r="G41">
            <v>0</v>
          </cell>
          <cell r="H41">
            <v>0</v>
          </cell>
          <cell r="I41">
            <v>0</v>
          </cell>
          <cell r="J41">
            <v>0</v>
          </cell>
          <cell r="K41">
            <v>0</v>
          </cell>
          <cell r="L41">
            <v>0</v>
          </cell>
        </row>
        <row r="42">
          <cell r="A42" t="str">
            <v>new 2 2</v>
          </cell>
          <cell r="B42" t="str">
            <v>x 24 pack Granola</v>
          </cell>
          <cell r="C42" t="str">
            <v/>
          </cell>
          <cell r="D42">
            <v>0</v>
          </cell>
          <cell r="E42">
            <v>0</v>
          </cell>
          <cell r="F42">
            <v>0</v>
          </cell>
          <cell r="G42">
            <v>0</v>
          </cell>
          <cell r="H42">
            <v>0</v>
          </cell>
          <cell r="I42">
            <v>0</v>
          </cell>
          <cell r="J42">
            <v>0</v>
          </cell>
          <cell r="K42">
            <v>0</v>
          </cell>
          <cell r="L42">
            <v>0</v>
          </cell>
        </row>
        <row r="43">
          <cell r="A43" t="str">
            <v>new 3 2</v>
          </cell>
          <cell r="B43" t="str">
            <v>x 24 pack Granola (Seed)</v>
          </cell>
          <cell r="C43" t="str">
            <v/>
          </cell>
          <cell r="D43">
            <v>0</v>
          </cell>
          <cell r="E43">
            <v>0</v>
          </cell>
          <cell r="F43">
            <v>0</v>
          </cell>
          <cell r="G43">
            <v>0</v>
          </cell>
          <cell r="H43">
            <v>0</v>
          </cell>
          <cell r="I43">
            <v>0</v>
          </cell>
          <cell r="J43">
            <v>0</v>
          </cell>
          <cell r="K43">
            <v>0</v>
          </cell>
          <cell r="L43">
            <v>0</v>
          </cell>
        </row>
        <row r="44">
          <cell r="A44" t="str">
            <v>new 4 2</v>
          </cell>
          <cell r="B44" t="str">
            <v>x 24 pack Stem Ginger</v>
          </cell>
          <cell r="C44" t="str">
            <v/>
          </cell>
          <cell r="D44">
            <v>0</v>
          </cell>
          <cell r="E44">
            <v>0</v>
          </cell>
          <cell r="F44">
            <v>0</v>
          </cell>
          <cell r="G44">
            <v>0</v>
          </cell>
          <cell r="H44">
            <v>0</v>
          </cell>
          <cell r="I44">
            <v>0</v>
          </cell>
          <cell r="J44">
            <v>0</v>
          </cell>
          <cell r="K44">
            <v>0</v>
          </cell>
          <cell r="L44">
            <v>0</v>
          </cell>
        </row>
        <row r="45">
          <cell r="A45" t="str">
            <v>new 45 E</v>
          </cell>
          <cell r="B45" t="str">
            <v>CB - Choc Chunk 50% EF</v>
          </cell>
          <cell r="C45" t="str">
            <v/>
          </cell>
          <cell r="D45">
            <v>0</v>
          </cell>
          <cell r="E45">
            <v>0</v>
          </cell>
          <cell r="F45">
            <v>0</v>
          </cell>
          <cell r="G45">
            <v>0</v>
          </cell>
          <cell r="H45">
            <v>0</v>
          </cell>
          <cell r="I45">
            <v>0</v>
          </cell>
          <cell r="J45">
            <v>0</v>
          </cell>
          <cell r="K45">
            <v>0</v>
          </cell>
          <cell r="L45">
            <v>0</v>
          </cell>
        </row>
        <row r="46">
          <cell r="A46" t="str">
            <v>new 48 E</v>
          </cell>
          <cell r="B46" t="str">
            <v>CB - Crunch Coconut 50% EF</v>
          </cell>
          <cell r="C46" t="str">
            <v/>
          </cell>
          <cell r="D46">
            <v>0</v>
          </cell>
          <cell r="E46">
            <v>0</v>
          </cell>
          <cell r="F46">
            <v>0</v>
          </cell>
          <cell r="G46">
            <v>0</v>
          </cell>
          <cell r="H46">
            <v>0</v>
          </cell>
          <cell r="I46">
            <v>0</v>
          </cell>
          <cell r="J46">
            <v>0</v>
          </cell>
          <cell r="K46">
            <v>0</v>
          </cell>
          <cell r="L46">
            <v>0</v>
          </cell>
        </row>
        <row r="47">
          <cell r="A47" t="str">
            <v>new 49 E</v>
          </cell>
          <cell r="B47" t="str">
            <v>CB - Crunch Ginger 50% EF</v>
          </cell>
          <cell r="C47" t="str">
            <v/>
          </cell>
          <cell r="D47">
            <v>0</v>
          </cell>
          <cell r="E47">
            <v>0</v>
          </cell>
          <cell r="F47">
            <v>0</v>
          </cell>
          <cell r="G47">
            <v>0</v>
          </cell>
          <cell r="H47">
            <v>0</v>
          </cell>
          <cell r="I47">
            <v>0</v>
          </cell>
          <cell r="J47">
            <v>0</v>
          </cell>
          <cell r="K47">
            <v>0</v>
          </cell>
          <cell r="L47">
            <v>0</v>
          </cell>
        </row>
        <row r="48">
          <cell r="A48" t="str">
            <v>new 46 E</v>
          </cell>
          <cell r="B48" t="str">
            <v>CB - Half Coated CC 50% EF</v>
          </cell>
          <cell r="C48" t="str">
            <v/>
          </cell>
          <cell r="D48">
            <v>0</v>
          </cell>
          <cell r="E48">
            <v>0</v>
          </cell>
          <cell r="F48">
            <v>0</v>
          </cell>
          <cell r="G48">
            <v>0</v>
          </cell>
          <cell r="H48">
            <v>0</v>
          </cell>
          <cell r="I48">
            <v>0</v>
          </cell>
          <cell r="J48">
            <v>0</v>
          </cell>
          <cell r="K48">
            <v>0</v>
          </cell>
          <cell r="L48">
            <v>0</v>
          </cell>
        </row>
        <row r="49">
          <cell r="A49" t="str">
            <v>new 47 E</v>
          </cell>
          <cell r="B49" t="str">
            <v>CB - Granola Nuts &amp; Seeds 50% EF</v>
          </cell>
          <cell r="C49" t="str">
            <v/>
          </cell>
          <cell r="D49">
            <v>0</v>
          </cell>
          <cell r="E49">
            <v>0</v>
          </cell>
          <cell r="F49">
            <v>0</v>
          </cell>
          <cell r="G49">
            <v>0</v>
          </cell>
          <cell r="H49">
            <v>0</v>
          </cell>
          <cell r="I49">
            <v>0</v>
          </cell>
          <cell r="J49">
            <v>0</v>
          </cell>
          <cell r="K49">
            <v>0</v>
          </cell>
          <cell r="L49">
            <v>0</v>
          </cell>
        </row>
        <row r="50">
          <cell r="A50" t="str">
            <v>FJA0004</v>
          </cell>
          <cell r="B50" t="str">
            <v>Jacob's Polo</v>
          </cell>
          <cell r="C50">
            <v>0</v>
          </cell>
          <cell r="D50">
            <v>0</v>
          </cell>
          <cell r="E50">
            <v>0</v>
          </cell>
          <cell r="F50">
            <v>0</v>
          </cell>
          <cell r="G50">
            <v>0</v>
          </cell>
          <cell r="H50">
            <v>1016</v>
          </cell>
          <cell r="I50">
            <v>1016</v>
          </cell>
          <cell r="J50">
            <v>0</v>
          </cell>
          <cell r="K50">
            <v>0</v>
          </cell>
          <cell r="L50">
            <v>1016</v>
          </cell>
        </row>
        <row r="51">
          <cell r="A51" t="str">
            <v>FJA0001</v>
          </cell>
          <cell r="B51" t="str">
            <v>Jacob's Goldgrain 300g</v>
          </cell>
          <cell r="C51">
            <v>630</v>
          </cell>
          <cell r="D51">
            <v>0</v>
          </cell>
          <cell r="E51">
            <v>0</v>
          </cell>
          <cell r="F51">
            <v>631</v>
          </cell>
          <cell r="G51">
            <v>0</v>
          </cell>
          <cell r="H51">
            <v>0</v>
          </cell>
          <cell r="I51">
            <v>631</v>
          </cell>
          <cell r="J51">
            <v>0</v>
          </cell>
          <cell r="K51">
            <v>0</v>
          </cell>
          <cell r="L51">
            <v>631</v>
          </cell>
        </row>
        <row r="52">
          <cell r="A52" t="str">
            <v>FJA0002</v>
          </cell>
          <cell r="B52" t="str">
            <v>Jacob's Ginger Nut</v>
          </cell>
          <cell r="C52">
            <v>0</v>
          </cell>
          <cell r="D52">
            <v>537.4375</v>
          </cell>
          <cell r="E52">
            <v>0</v>
          </cell>
          <cell r="F52">
            <v>-537.4375</v>
          </cell>
          <cell r="G52">
            <v>537.4375</v>
          </cell>
          <cell r="H52">
            <v>0</v>
          </cell>
          <cell r="I52">
            <v>-1074.875</v>
          </cell>
          <cell r="J52">
            <v>537.4375</v>
          </cell>
          <cell r="K52">
            <v>0</v>
          </cell>
          <cell r="L52">
            <v>-1612.3125</v>
          </cell>
        </row>
        <row r="53">
          <cell r="A53" t="str">
            <v>new 12 C</v>
          </cell>
          <cell r="B53" t="str">
            <v>Jacob's Lincoln</v>
          </cell>
          <cell r="C53">
            <v>0</v>
          </cell>
          <cell r="D53">
            <v>0</v>
          </cell>
          <cell r="E53">
            <v>0</v>
          </cell>
          <cell r="F53">
            <v>0</v>
          </cell>
          <cell r="G53">
            <v>0</v>
          </cell>
          <cell r="H53">
            <v>0</v>
          </cell>
          <cell r="I53">
            <v>0</v>
          </cell>
          <cell r="J53">
            <v>0</v>
          </cell>
          <cell r="K53">
            <v>0</v>
          </cell>
          <cell r="L53">
            <v>0</v>
          </cell>
        </row>
        <row r="54">
          <cell r="A54" t="str">
            <v>new 9 CM</v>
          </cell>
          <cell r="B54" t="e">
            <v>#NAME?</v>
          </cell>
          <cell r="C54" t="str">
            <v/>
          </cell>
          <cell r="D54">
            <v>0</v>
          </cell>
          <cell r="E54">
            <v>0</v>
          </cell>
          <cell r="F54">
            <v>0</v>
          </cell>
          <cell r="G54">
            <v>0</v>
          </cell>
          <cell r="H54">
            <v>0</v>
          </cell>
          <cell r="I54">
            <v>0</v>
          </cell>
          <cell r="J54">
            <v>0</v>
          </cell>
          <cell r="K54">
            <v>0</v>
          </cell>
          <cell r="L54">
            <v>0</v>
          </cell>
        </row>
        <row r="55">
          <cell r="A55" t="str">
            <v>new 8 CM</v>
          </cell>
          <cell r="B55" t="e">
            <v>#NAME?</v>
          </cell>
          <cell r="C55">
            <v>0</v>
          </cell>
          <cell r="D55">
            <v>625</v>
          </cell>
          <cell r="E55">
            <v>0</v>
          </cell>
          <cell r="F55">
            <v>-625</v>
          </cell>
          <cell r="G55">
            <v>625</v>
          </cell>
          <cell r="H55">
            <v>0</v>
          </cell>
          <cell r="I55">
            <v>-1250</v>
          </cell>
          <cell r="J55">
            <v>625</v>
          </cell>
          <cell r="K55">
            <v>0</v>
          </cell>
          <cell r="L55">
            <v>0</v>
          </cell>
        </row>
        <row r="56">
          <cell r="A56" t="str">
            <v>new 13 C</v>
          </cell>
          <cell r="B56" t="str">
            <v>M - M1 New 1 HC Rotary</v>
          </cell>
          <cell r="C56" t="str">
            <v/>
          </cell>
          <cell r="D56">
            <v>0</v>
          </cell>
          <cell r="E56">
            <v>0</v>
          </cell>
          <cell r="F56">
            <v>0</v>
          </cell>
          <cell r="G56">
            <v>0</v>
          </cell>
          <cell r="H56">
            <v>0</v>
          </cell>
          <cell r="I56">
            <v>0</v>
          </cell>
          <cell r="J56">
            <v>0</v>
          </cell>
          <cell r="K56">
            <v>0</v>
          </cell>
          <cell r="L56">
            <v>0</v>
          </cell>
        </row>
        <row r="57">
          <cell r="A57" t="str">
            <v>new 14 C</v>
          </cell>
          <cell r="B57" t="str">
            <v>M - M1 New 2 HC Rotary</v>
          </cell>
          <cell r="C57" t="str">
            <v/>
          </cell>
          <cell r="D57">
            <v>0</v>
          </cell>
          <cell r="E57">
            <v>0</v>
          </cell>
          <cell r="F57">
            <v>0</v>
          </cell>
          <cell r="G57">
            <v>0</v>
          </cell>
          <cell r="H57">
            <v>0</v>
          </cell>
          <cell r="I57">
            <v>0</v>
          </cell>
          <cell r="J57">
            <v>0</v>
          </cell>
          <cell r="K57">
            <v>0</v>
          </cell>
          <cell r="L57">
            <v>0</v>
          </cell>
        </row>
        <row r="58">
          <cell r="A58" t="str">
            <v>new 15 C</v>
          </cell>
          <cell r="B58" t="str">
            <v>M - M1 New 3 HC Rotary</v>
          </cell>
          <cell r="C58" t="str">
            <v/>
          </cell>
          <cell r="D58">
            <v>0</v>
          </cell>
          <cell r="E58">
            <v>0</v>
          </cell>
          <cell r="F58">
            <v>0</v>
          </cell>
          <cell r="G58">
            <v>0</v>
          </cell>
          <cell r="H58">
            <v>0</v>
          </cell>
          <cell r="I58">
            <v>0</v>
          </cell>
          <cell r="J58">
            <v>0</v>
          </cell>
          <cell r="K58">
            <v>0</v>
          </cell>
          <cell r="L58">
            <v>0</v>
          </cell>
        </row>
        <row r="59">
          <cell r="A59" t="str">
            <v>new 6 CM</v>
          </cell>
          <cell r="B59" t="e">
            <v>#NAME?</v>
          </cell>
          <cell r="C59" t="str">
            <v/>
          </cell>
          <cell r="D59">
            <v>0</v>
          </cell>
          <cell r="E59">
            <v>0</v>
          </cell>
          <cell r="F59">
            <v>0</v>
          </cell>
          <cell r="G59">
            <v>0</v>
          </cell>
          <cell r="H59">
            <v>0</v>
          </cell>
          <cell r="I59">
            <v>0</v>
          </cell>
          <cell r="J59">
            <v>0</v>
          </cell>
          <cell r="K59">
            <v>0</v>
          </cell>
          <cell r="L59">
            <v>0</v>
          </cell>
        </row>
        <row r="60">
          <cell r="A60" t="str">
            <v>new 7 CM</v>
          </cell>
          <cell r="B60" t="e">
            <v>#NAME?</v>
          </cell>
          <cell r="C60" t="str">
            <v/>
          </cell>
          <cell r="D60">
            <v>0</v>
          </cell>
          <cell r="E60">
            <v>0</v>
          </cell>
          <cell r="F60">
            <v>0</v>
          </cell>
          <cell r="G60">
            <v>0</v>
          </cell>
          <cell r="H60">
            <v>0</v>
          </cell>
          <cell r="I60">
            <v>0</v>
          </cell>
          <cell r="J60">
            <v>0</v>
          </cell>
          <cell r="K60">
            <v>0</v>
          </cell>
          <cell r="L60">
            <v>0</v>
          </cell>
        </row>
        <row r="61">
          <cell r="A61" t="str">
            <v>new 19 C</v>
          </cell>
          <cell r="B61" t="str">
            <v>M - Robin Protein 1</v>
          </cell>
          <cell r="C61" t="str">
            <v/>
          </cell>
          <cell r="D61">
            <v>0</v>
          </cell>
          <cell r="E61">
            <v>0</v>
          </cell>
          <cell r="F61">
            <v>0</v>
          </cell>
          <cell r="G61">
            <v>0</v>
          </cell>
          <cell r="H61">
            <v>0</v>
          </cell>
          <cell r="I61">
            <v>0</v>
          </cell>
          <cell r="J61">
            <v>0</v>
          </cell>
          <cell r="K61">
            <v>0</v>
          </cell>
          <cell r="L61">
            <v>0</v>
          </cell>
        </row>
        <row r="62">
          <cell r="A62" t="str">
            <v>new 20 C</v>
          </cell>
          <cell r="B62" t="str">
            <v>M - Robin Protein 2</v>
          </cell>
          <cell r="C62" t="str">
            <v/>
          </cell>
          <cell r="D62">
            <v>0</v>
          </cell>
          <cell r="E62">
            <v>0</v>
          </cell>
          <cell r="F62">
            <v>0</v>
          </cell>
          <cell r="G62">
            <v>0</v>
          </cell>
          <cell r="H62">
            <v>0</v>
          </cell>
          <cell r="I62">
            <v>0</v>
          </cell>
          <cell r="J62">
            <v>0</v>
          </cell>
          <cell r="K62">
            <v>0</v>
          </cell>
          <cell r="L62">
            <v>0</v>
          </cell>
        </row>
        <row r="63">
          <cell r="A63" t="str">
            <v>FBL0001</v>
          </cell>
          <cell r="B63" t="str">
            <v>Boland's 145gm Choc Chip</v>
          </cell>
          <cell r="C63">
            <v>0</v>
          </cell>
          <cell r="D63">
            <v>0</v>
          </cell>
          <cell r="E63">
            <v>0</v>
          </cell>
          <cell r="F63">
            <v>0</v>
          </cell>
          <cell r="G63">
            <v>0</v>
          </cell>
          <cell r="H63">
            <v>3564.9</v>
          </cell>
          <cell r="I63">
            <v>3564.9</v>
          </cell>
          <cell r="J63">
            <v>0</v>
          </cell>
          <cell r="K63">
            <v>0</v>
          </cell>
          <cell r="L63">
            <v>3564.9</v>
          </cell>
        </row>
        <row r="64">
          <cell r="A64" t="str">
            <v>FRG0001</v>
          </cell>
          <cell r="B64" t="str">
            <v>M -Regal 14% CC Std</v>
          </cell>
          <cell r="C64">
            <v>1712</v>
          </cell>
          <cell r="D64">
            <v>500</v>
          </cell>
          <cell r="E64">
            <v>0</v>
          </cell>
          <cell r="F64">
            <v>-189</v>
          </cell>
          <cell r="G64">
            <v>500</v>
          </cell>
          <cell r="H64">
            <v>0</v>
          </cell>
          <cell r="I64">
            <v>-689</v>
          </cell>
          <cell r="J64">
            <v>500</v>
          </cell>
          <cell r="K64">
            <v>0</v>
          </cell>
          <cell r="L64">
            <v>-1189</v>
          </cell>
        </row>
        <row r="65">
          <cell r="A65" t="str">
            <v>FRG0002</v>
          </cell>
          <cell r="B65" t="str">
            <v>M -Regal 14% Double CC</v>
          </cell>
          <cell r="C65">
            <v>1012</v>
          </cell>
          <cell r="D65">
            <v>500</v>
          </cell>
          <cell r="E65">
            <v>0</v>
          </cell>
          <cell r="F65">
            <v>513</v>
          </cell>
          <cell r="G65">
            <v>500</v>
          </cell>
          <cell r="H65">
            <v>0</v>
          </cell>
          <cell r="I65">
            <v>13</v>
          </cell>
          <cell r="J65">
            <v>500</v>
          </cell>
          <cell r="K65">
            <v>0</v>
          </cell>
          <cell r="L65">
            <v>-487</v>
          </cell>
        </row>
        <row r="66">
          <cell r="A66" t="str">
            <v>new 40 C</v>
          </cell>
          <cell r="B66" t="str">
            <v>M - HandiSnak</v>
          </cell>
          <cell r="C66">
            <v>0</v>
          </cell>
          <cell r="D66">
            <v>0</v>
          </cell>
          <cell r="E66">
            <v>0</v>
          </cell>
          <cell r="F66">
            <v>0</v>
          </cell>
          <cell r="G66">
            <v>0</v>
          </cell>
          <cell r="H66">
            <v>0</v>
          </cell>
          <cell r="I66">
            <v>0</v>
          </cell>
          <cell r="J66">
            <v>0</v>
          </cell>
          <cell r="K66">
            <v>0</v>
          </cell>
          <cell r="L66">
            <v>0</v>
          </cell>
        </row>
        <row r="67">
          <cell r="A67" t="str">
            <v>Boom 1 C</v>
          </cell>
          <cell r="B67" t="str">
            <v>M - Project Boom SKU 1</v>
          </cell>
          <cell r="C67" t="str">
            <v/>
          </cell>
          <cell r="D67">
            <v>0</v>
          </cell>
          <cell r="E67">
            <v>0</v>
          </cell>
          <cell r="F67">
            <v>0</v>
          </cell>
          <cell r="G67">
            <v>0</v>
          </cell>
          <cell r="H67">
            <v>0</v>
          </cell>
          <cell r="I67">
            <v>0</v>
          </cell>
          <cell r="J67">
            <v>0</v>
          </cell>
          <cell r="K67">
            <v>0</v>
          </cell>
          <cell r="L67">
            <v>0</v>
          </cell>
        </row>
        <row r="68">
          <cell r="A68" t="str">
            <v>Boom 2 C</v>
          </cell>
          <cell r="B68" t="str">
            <v>M - Project Boom SKU 2</v>
          </cell>
          <cell r="C68" t="str">
            <v/>
          </cell>
          <cell r="D68">
            <v>0</v>
          </cell>
          <cell r="E68">
            <v>0</v>
          </cell>
          <cell r="F68">
            <v>0</v>
          </cell>
          <cell r="G68">
            <v>0</v>
          </cell>
          <cell r="H68">
            <v>0</v>
          </cell>
          <cell r="I68">
            <v>0</v>
          </cell>
          <cell r="J68">
            <v>0</v>
          </cell>
          <cell r="K68">
            <v>0</v>
          </cell>
          <cell r="L68">
            <v>0</v>
          </cell>
        </row>
        <row r="69">
          <cell r="A69" t="str">
            <v>Boom 3 C</v>
          </cell>
          <cell r="B69" t="str">
            <v>M - Project Boom SKU 3</v>
          </cell>
          <cell r="C69" t="str">
            <v/>
          </cell>
          <cell r="D69">
            <v>0</v>
          </cell>
          <cell r="E69">
            <v>0</v>
          </cell>
          <cell r="F69">
            <v>0</v>
          </cell>
          <cell r="G69">
            <v>0</v>
          </cell>
          <cell r="H69">
            <v>0</v>
          </cell>
          <cell r="I69">
            <v>0</v>
          </cell>
          <cell r="J69">
            <v>0</v>
          </cell>
          <cell r="K69">
            <v>0</v>
          </cell>
          <cell r="L69">
            <v>0</v>
          </cell>
        </row>
        <row r="70">
          <cell r="A70" t="str">
            <v>Cabana 1</v>
          </cell>
          <cell r="B70" t="str">
            <v>CM - Project Cabana SKU 1</v>
          </cell>
          <cell r="C70" t="str">
            <v/>
          </cell>
          <cell r="D70">
            <v>0</v>
          </cell>
          <cell r="E70">
            <v>0</v>
          </cell>
          <cell r="F70">
            <v>0</v>
          </cell>
          <cell r="G70">
            <v>0</v>
          </cell>
          <cell r="H70">
            <v>0</v>
          </cell>
          <cell r="I70">
            <v>0</v>
          </cell>
          <cell r="J70">
            <v>0</v>
          </cell>
          <cell r="K70">
            <v>0</v>
          </cell>
          <cell r="L70">
            <v>0</v>
          </cell>
        </row>
        <row r="71">
          <cell r="A71" t="str">
            <v>Cabana 2</v>
          </cell>
          <cell r="B71" t="str">
            <v>CM - Project Cabana SKU 2</v>
          </cell>
          <cell r="C71" t="str">
            <v/>
          </cell>
          <cell r="D71">
            <v>0</v>
          </cell>
          <cell r="E71">
            <v>0</v>
          </cell>
          <cell r="F71">
            <v>0</v>
          </cell>
          <cell r="G71">
            <v>0</v>
          </cell>
          <cell r="H71">
            <v>0</v>
          </cell>
          <cell r="I71">
            <v>0</v>
          </cell>
          <cell r="J71">
            <v>0</v>
          </cell>
          <cell r="K71">
            <v>0</v>
          </cell>
          <cell r="L71">
            <v>0</v>
          </cell>
        </row>
        <row r="72">
          <cell r="A72" t="str">
            <v>Cabana 3</v>
          </cell>
          <cell r="B72" t="str">
            <v>CM - Project Cabana SKU 3</v>
          </cell>
          <cell r="C72" t="str">
            <v/>
          </cell>
          <cell r="D72">
            <v>0</v>
          </cell>
          <cell r="E72">
            <v>0</v>
          </cell>
          <cell r="F72">
            <v>0</v>
          </cell>
          <cell r="G72">
            <v>0</v>
          </cell>
          <cell r="H72">
            <v>0</v>
          </cell>
          <cell r="I72">
            <v>0</v>
          </cell>
          <cell r="J72">
            <v>0</v>
          </cell>
          <cell r="K72">
            <v>0</v>
          </cell>
          <cell r="L72">
            <v>0</v>
          </cell>
        </row>
        <row r="73">
          <cell r="A73" t="str">
            <v>FHL0002</v>
          </cell>
          <cell r="B73" t="str">
            <v>CM - Hill Ginger Nut 150g</v>
          </cell>
          <cell r="C73">
            <v>2137</v>
          </cell>
          <cell r="D73">
            <v>540</v>
          </cell>
          <cell r="E73">
            <v>7875</v>
          </cell>
          <cell r="F73">
            <v>7335</v>
          </cell>
          <cell r="G73">
            <v>540</v>
          </cell>
          <cell r="H73">
            <v>0</v>
          </cell>
          <cell r="I73">
            <v>6795</v>
          </cell>
          <cell r="J73">
            <v>540</v>
          </cell>
          <cell r="K73">
            <v>0</v>
          </cell>
          <cell r="L73">
            <v>6255</v>
          </cell>
        </row>
        <row r="74">
          <cell r="A74" t="str">
            <v>new 25 P</v>
          </cell>
          <cell r="B74" t="str">
            <v>L - Aldi Granola 160g</v>
          </cell>
          <cell r="C74" t="str">
            <v/>
          </cell>
          <cell r="D74">
            <v>0</v>
          </cell>
          <cell r="E74">
            <v>0</v>
          </cell>
          <cell r="F74">
            <v>0</v>
          </cell>
          <cell r="G74">
            <v>0</v>
          </cell>
          <cell r="H74">
            <v>0</v>
          </cell>
          <cell r="I74">
            <v>0</v>
          </cell>
          <cell r="J74">
            <v>0</v>
          </cell>
          <cell r="K74">
            <v>0</v>
          </cell>
          <cell r="L74">
            <v>0</v>
          </cell>
        </row>
        <row r="75">
          <cell r="A75" t="str">
            <v>new 35 P</v>
          </cell>
          <cell r="B75" t="str">
            <v>L - Tesco EV 8% Choc Chip</v>
          </cell>
          <cell r="C75" t="str">
            <v/>
          </cell>
          <cell r="D75">
            <v>0</v>
          </cell>
          <cell r="E75">
            <v>0</v>
          </cell>
          <cell r="F75">
            <v>0</v>
          </cell>
          <cell r="G75">
            <v>0</v>
          </cell>
          <cell r="H75">
            <v>0</v>
          </cell>
          <cell r="I75">
            <v>0</v>
          </cell>
          <cell r="J75">
            <v>0</v>
          </cell>
          <cell r="K75">
            <v>0</v>
          </cell>
          <cell r="L75">
            <v>0</v>
          </cell>
        </row>
        <row r="76">
          <cell r="A76" t="str">
            <v>new 32 P</v>
          </cell>
          <cell r="B76" t="str">
            <v>L - Tesco 22% Choc Chip</v>
          </cell>
          <cell r="C76" t="str">
            <v/>
          </cell>
          <cell r="D76">
            <v>0</v>
          </cell>
          <cell r="E76">
            <v>0</v>
          </cell>
          <cell r="F76">
            <v>0</v>
          </cell>
          <cell r="G76">
            <v>0</v>
          </cell>
          <cell r="H76">
            <v>0</v>
          </cell>
          <cell r="I76">
            <v>0</v>
          </cell>
          <cell r="J76">
            <v>0</v>
          </cell>
          <cell r="K76">
            <v>0</v>
          </cell>
          <cell r="L76">
            <v>0</v>
          </cell>
        </row>
        <row r="77">
          <cell r="A77" t="str">
            <v>new 33 P</v>
          </cell>
          <cell r="B77" t="str">
            <v>L - Tesco 22% Choc Chip TWIN</v>
          </cell>
          <cell r="C77" t="str">
            <v/>
          </cell>
          <cell r="D77">
            <v>0</v>
          </cell>
          <cell r="E77">
            <v>0</v>
          </cell>
          <cell r="F77">
            <v>0</v>
          </cell>
          <cell r="G77">
            <v>0</v>
          </cell>
          <cell r="H77">
            <v>0</v>
          </cell>
          <cell r="I77">
            <v>0</v>
          </cell>
          <cell r="J77">
            <v>0</v>
          </cell>
          <cell r="K77">
            <v>0</v>
          </cell>
          <cell r="L77">
            <v>0</v>
          </cell>
        </row>
        <row r="78">
          <cell r="A78" t="str">
            <v>new 38 P</v>
          </cell>
          <cell r="B78" t="str">
            <v>L - Tesco Oatie Standard</v>
          </cell>
          <cell r="C78" t="str">
            <v/>
          </cell>
          <cell r="D78">
            <v>0</v>
          </cell>
          <cell r="E78">
            <v>0</v>
          </cell>
          <cell r="F78">
            <v>0</v>
          </cell>
          <cell r="G78">
            <v>0</v>
          </cell>
          <cell r="H78">
            <v>0</v>
          </cell>
          <cell r="I78">
            <v>0</v>
          </cell>
          <cell r="J78">
            <v>0</v>
          </cell>
          <cell r="K78">
            <v>0</v>
          </cell>
          <cell r="L78">
            <v>0</v>
          </cell>
        </row>
        <row r="79">
          <cell r="A79" t="str">
            <v>new 24 P</v>
          </cell>
          <cell r="B79" t="str">
            <v>L - 8% Choc Chip 400g</v>
          </cell>
          <cell r="C79" t="str">
            <v/>
          </cell>
          <cell r="D79">
            <v>0</v>
          </cell>
          <cell r="E79">
            <v>0</v>
          </cell>
          <cell r="F79">
            <v>0</v>
          </cell>
          <cell r="G79">
            <v>0</v>
          </cell>
          <cell r="H79">
            <v>0</v>
          </cell>
          <cell r="I79">
            <v>0</v>
          </cell>
          <cell r="J79">
            <v>0</v>
          </cell>
          <cell r="K79">
            <v>0</v>
          </cell>
          <cell r="L79">
            <v>0</v>
          </cell>
        </row>
        <row r="80">
          <cell r="A80" t="str">
            <v>new 23 P</v>
          </cell>
          <cell r="B80" t="str">
            <v>L - 14% Choc Chip 145g</v>
          </cell>
          <cell r="C80" t="str">
            <v/>
          </cell>
          <cell r="D80">
            <v>0</v>
          </cell>
          <cell r="E80">
            <v>0</v>
          </cell>
          <cell r="F80">
            <v>0</v>
          </cell>
          <cell r="G80">
            <v>0</v>
          </cell>
          <cell r="H80">
            <v>0</v>
          </cell>
          <cell r="I80">
            <v>0</v>
          </cell>
          <cell r="J80">
            <v>0</v>
          </cell>
          <cell r="K80">
            <v>0</v>
          </cell>
          <cell r="L80">
            <v>0</v>
          </cell>
        </row>
        <row r="81">
          <cell r="A81" t="str">
            <v>new 30 P</v>
          </cell>
          <cell r="B81" t="str">
            <v>L - Co-op Irresistible Triple Chocolate Cookies</v>
          </cell>
          <cell r="C81" t="str">
            <v/>
          </cell>
          <cell r="D81">
            <v>1.3888888888914153E-2</v>
          </cell>
          <cell r="E81">
            <v>0</v>
          </cell>
          <cell r="F81">
            <v>-2.7777777777828305E-2</v>
          </cell>
          <cell r="G81">
            <v>1.3888888888914153E-2</v>
          </cell>
          <cell r="H81">
            <v>0</v>
          </cell>
          <cell r="I81">
            <v>-4.1666666666742458E-2</v>
          </cell>
          <cell r="J81">
            <v>1.3888888888914153E-2</v>
          </cell>
          <cell r="K81">
            <v>0</v>
          </cell>
          <cell r="L81">
            <v>-5.5555555555656611E-2</v>
          </cell>
        </row>
        <row r="82">
          <cell r="A82" t="str">
            <v>new 29 P</v>
          </cell>
          <cell r="B82" t="str">
            <v>L - Co-op Irresistible Salted Caramel Cookies</v>
          </cell>
          <cell r="C82" t="str">
            <v/>
          </cell>
          <cell r="D82">
            <v>0</v>
          </cell>
          <cell r="E82">
            <v>0</v>
          </cell>
          <cell r="F82">
            <v>0</v>
          </cell>
          <cell r="G82">
            <v>0</v>
          </cell>
          <cell r="H82">
            <v>0</v>
          </cell>
          <cell r="I82">
            <v>0</v>
          </cell>
          <cell r="J82">
            <v>0</v>
          </cell>
          <cell r="K82">
            <v>0</v>
          </cell>
          <cell r="L82">
            <v>0</v>
          </cell>
        </row>
        <row r="83">
          <cell r="A83" t="str">
            <v>new 31 P</v>
          </cell>
          <cell r="B83" t="str">
            <v>L - Co-op Irresistible White Chocolate and Lemon Cookies 200G</v>
          </cell>
          <cell r="C83" t="str">
            <v/>
          </cell>
          <cell r="D83">
            <v>0</v>
          </cell>
          <cell r="E83">
            <v>0</v>
          </cell>
          <cell r="F83">
            <v>0</v>
          </cell>
          <cell r="G83">
            <v>0</v>
          </cell>
          <cell r="H83">
            <v>0</v>
          </cell>
          <cell r="I83">
            <v>0</v>
          </cell>
          <cell r="J83">
            <v>0</v>
          </cell>
          <cell r="K83">
            <v>0</v>
          </cell>
          <cell r="L83">
            <v>0</v>
          </cell>
        </row>
        <row r="84">
          <cell r="A84" t="str">
            <v>new 28 P</v>
          </cell>
          <cell r="B84" t="str">
            <v>L - Auchan Milk Choc Chunk</v>
          </cell>
          <cell r="C84" t="str">
            <v/>
          </cell>
          <cell r="D84">
            <v>0</v>
          </cell>
          <cell r="E84">
            <v>0</v>
          </cell>
          <cell r="F84">
            <v>0</v>
          </cell>
          <cell r="G84">
            <v>0</v>
          </cell>
          <cell r="H84">
            <v>0</v>
          </cell>
          <cell r="I84">
            <v>0</v>
          </cell>
          <cell r="J84">
            <v>0</v>
          </cell>
          <cell r="K84">
            <v>0</v>
          </cell>
          <cell r="L84">
            <v>0</v>
          </cell>
        </row>
        <row r="85">
          <cell r="A85" t="str">
            <v>new 26 P</v>
          </cell>
          <cell r="B85" t="str">
            <v>L - Auchan Caramel &amp; Pecan</v>
          </cell>
          <cell r="C85" t="str">
            <v/>
          </cell>
          <cell r="D85">
            <v>0</v>
          </cell>
          <cell r="E85">
            <v>0</v>
          </cell>
          <cell r="F85">
            <v>0</v>
          </cell>
          <cell r="G85">
            <v>0</v>
          </cell>
          <cell r="H85">
            <v>0</v>
          </cell>
          <cell r="I85">
            <v>0</v>
          </cell>
          <cell r="J85">
            <v>0</v>
          </cell>
          <cell r="K85">
            <v>0</v>
          </cell>
          <cell r="L85">
            <v>0</v>
          </cell>
        </row>
        <row r="86">
          <cell r="A86" t="str">
            <v>new 27 P</v>
          </cell>
          <cell r="B86" t="str">
            <v>L - Auchan Granola</v>
          </cell>
          <cell r="C86" t="str">
            <v/>
          </cell>
          <cell r="D86">
            <v>0</v>
          </cell>
          <cell r="E86">
            <v>0</v>
          </cell>
          <cell r="F86">
            <v>0</v>
          </cell>
          <cell r="G86">
            <v>0</v>
          </cell>
          <cell r="H86">
            <v>0</v>
          </cell>
          <cell r="I86">
            <v>0</v>
          </cell>
          <cell r="J86">
            <v>0</v>
          </cell>
          <cell r="K86">
            <v>0</v>
          </cell>
          <cell r="L86">
            <v>0</v>
          </cell>
        </row>
        <row r="87">
          <cell r="A87" t="str">
            <v>new 17 P</v>
          </cell>
          <cell r="B87" t="str">
            <v>L - Project Go Light 1</v>
          </cell>
          <cell r="C87" t="str">
            <v/>
          </cell>
          <cell r="D87">
            <v>0</v>
          </cell>
          <cell r="E87">
            <v>0</v>
          </cell>
          <cell r="F87">
            <v>0</v>
          </cell>
          <cell r="G87">
            <v>0</v>
          </cell>
          <cell r="H87">
            <v>0</v>
          </cell>
          <cell r="I87">
            <v>0</v>
          </cell>
          <cell r="J87">
            <v>0</v>
          </cell>
          <cell r="K87">
            <v>0</v>
          </cell>
          <cell r="L87">
            <v>0</v>
          </cell>
        </row>
      </sheetData>
      <sheetData sheetId="10"/>
      <sheetData sheetId="11"/>
      <sheetData sheetId="12">
        <row r="115">
          <cell r="AG115">
            <v>-61240.721450000005</v>
          </cell>
          <cell r="AI115">
            <v>0</v>
          </cell>
          <cell r="AJ115">
            <v>-4347.7050000000017</v>
          </cell>
        </row>
        <row r="116">
          <cell r="AG116">
            <v>-5438.8351699999976</v>
          </cell>
          <cell r="AI116">
            <v>0</v>
          </cell>
          <cell r="AJ116">
            <v>0</v>
          </cell>
        </row>
      </sheetData>
      <sheetData sheetId="13">
        <row r="5">
          <cell r="C5">
            <v>8</v>
          </cell>
        </row>
      </sheetData>
      <sheetData sheetId="14"/>
      <sheetData sheetId="15"/>
      <sheetData sheetId="16"/>
      <sheetData sheetId="17"/>
      <sheetData sheetId="18"/>
      <sheetData sheetId="19"/>
      <sheetData sheetId="20"/>
      <sheetData sheetId="21">
        <row r="1">
          <cell r="N1" t="str">
            <v>PL - 8% Aldi Ireland CC 400gm</v>
          </cell>
        </row>
        <row r="2">
          <cell r="A2" t="str">
            <v>WEEK 01</v>
          </cell>
          <cell r="B2">
            <v>43170</v>
          </cell>
          <cell r="C2">
            <v>1</v>
          </cell>
          <cell r="E2">
            <v>1</v>
          </cell>
          <cell r="F2">
            <v>1</v>
          </cell>
          <cell r="I2" t="str">
            <v>FEB0001</v>
          </cell>
          <cell r="J2" t="str">
            <v>ECB Milk Chocolate Chunk 12 x160g</v>
          </cell>
          <cell r="K2">
            <v>2726</v>
          </cell>
        </row>
        <row r="3">
          <cell r="A3" t="str">
            <v>WEEK 02</v>
          </cell>
          <cell r="B3">
            <v>43177</v>
          </cell>
          <cell r="C3">
            <v>1</v>
          </cell>
          <cell r="E3">
            <v>2</v>
          </cell>
          <cell r="F3">
            <v>2</v>
          </cell>
          <cell r="I3" t="str">
            <v>FEB0002</v>
          </cell>
          <cell r="J3" t="str">
            <v>ECB Caramel and Pecan (SG) 12 x 160g</v>
          </cell>
          <cell r="K3">
            <v>2728</v>
          </cell>
        </row>
        <row r="4">
          <cell r="A4" t="str">
            <v>WEEK 03</v>
          </cell>
          <cell r="B4">
            <v>43184</v>
          </cell>
          <cell r="C4">
            <v>1</v>
          </cell>
          <cell r="D4" t="str">
            <v>Bank hol 19/03/18</v>
          </cell>
          <cell r="E4">
            <v>3</v>
          </cell>
          <cell r="F4">
            <v>3</v>
          </cell>
          <cell r="I4" t="str">
            <v>FEB0003</v>
          </cell>
          <cell r="J4" t="str">
            <v>OHMY! DOUBLE CHOC CHIP COOKIES X20</v>
          </cell>
          <cell r="K4">
            <v>5219</v>
          </cell>
        </row>
        <row r="5">
          <cell r="A5" t="str">
            <v>WEEK 04</v>
          </cell>
          <cell r="B5">
            <v>43191</v>
          </cell>
          <cell r="C5">
            <v>1</v>
          </cell>
          <cell r="E5">
            <v>4</v>
          </cell>
          <cell r="F5">
            <v>4</v>
          </cell>
          <cell r="I5" t="str">
            <v>FEB0004</v>
          </cell>
          <cell r="J5" t="str">
            <v>ECB Chocolate Enrobed Milk Chocolate Chunk 12 x 160g</v>
          </cell>
          <cell r="K5">
            <v>2714</v>
          </cell>
        </row>
        <row r="6">
          <cell r="A6" t="str">
            <v>WEEK 05</v>
          </cell>
          <cell r="B6">
            <v>43198</v>
          </cell>
          <cell r="C6">
            <v>1</v>
          </cell>
          <cell r="E6">
            <v>5</v>
          </cell>
          <cell r="F6">
            <v>5</v>
          </cell>
          <cell r="I6" t="str">
            <v>FEB0005</v>
          </cell>
          <cell r="J6" t="str">
            <v>ECB Stem Ginger &amp; Chocolate Chunk Crunchy 12 x 160g</v>
          </cell>
          <cell r="K6">
            <v>2716</v>
          </cell>
        </row>
        <row r="7">
          <cell r="A7" t="str">
            <v>WEEK 06</v>
          </cell>
          <cell r="B7">
            <v>43205</v>
          </cell>
          <cell r="C7">
            <v>2</v>
          </cell>
          <cell r="E7">
            <v>1</v>
          </cell>
          <cell r="F7">
            <v>6</v>
          </cell>
          <cell r="I7" t="str">
            <v>FEB0006</v>
          </cell>
          <cell r="J7" t="str">
            <v>ECB Crunch'ems Ginger Crunch</v>
          </cell>
          <cell r="K7">
            <v>2722</v>
          </cell>
        </row>
        <row r="8">
          <cell r="A8" t="str">
            <v>WEEK 07</v>
          </cell>
          <cell r="B8">
            <v>43212</v>
          </cell>
          <cell r="C8">
            <v>2</v>
          </cell>
          <cell r="E8">
            <v>2</v>
          </cell>
          <cell r="F8">
            <v>7</v>
          </cell>
          <cell r="I8" t="str">
            <v>FEB0007</v>
          </cell>
          <cell r="J8" t="str">
            <v>ECB Crunch'ems Coconut Crunch</v>
          </cell>
          <cell r="K8">
            <v>2724</v>
          </cell>
        </row>
        <row r="9">
          <cell r="A9" t="str">
            <v>WEEK 08</v>
          </cell>
          <cell r="B9">
            <v>43219</v>
          </cell>
          <cell r="C9">
            <v>2</v>
          </cell>
          <cell r="E9">
            <v>3</v>
          </cell>
          <cell r="F9">
            <v>8</v>
          </cell>
          <cell r="I9" t="str">
            <v>FEB0008</v>
          </cell>
          <cell r="J9" t="str">
            <v>ECB Milk Chocolate Enrobed Butter Crunch</v>
          </cell>
          <cell r="K9">
            <v>2720</v>
          </cell>
        </row>
        <row r="10">
          <cell r="A10" t="str">
            <v>WEEK 09</v>
          </cell>
          <cell r="B10">
            <v>43226</v>
          </cell>
          <cell r="C10">
            <v>2</v>
          </cell>
          <cell r="E10">
            <v>4</v>
          </cell>
          <cell r="F10">
            <v>9</v>
          </cell>
          <cell r="I10" t="str">
            <v>FEB0009</v>
          </cell>
          <cell r="J10" t="str">
            <v>ECB Milk Chocolate Enrobed Oat Biscuits</v>
          </cell>
          <cell r="K10">
            <v>2718</v>
          </cell>
        </row>
        <row r="11">
          <cell r="A11" t="str">
            <v>WEEK 10</v>
          </cell>
          <cell r="B11">
            <v>43233</v>
          </cell>
          <cell r="C11">
            <v>3</v>
          </cell>
          <cell r="E11">
            <v>1</v>
          </cell>
          <cell r="F11">
            <v>10</v>
          </cell>
          <cell r="I11" t="str">
            <v>FEB0011</v>
          </cell>
          <cell r="J11" t="str">
            <v>Milk Chocolate Chunk Cookie 40g Twin Pack SRP</v>
          </cell>
          <cell r="K11">
            <v>2987</v>
          </cell>
        </row>
        <row r="12">
          <cell r="A12" t="str">
            <v>WEEK 11</v>
          </cell>
          <cell r="B12">
            <v>43240</v>
          </cell>
          <cell r="C12">
            <v>3</v>
          </cell>
          <cell r="E12">
            <v>2</v>
          </cell>
          <cell r="F12">
            <v>11</v>
          </cell>
          <cell r="I12" t="str">
            <v>FEB0012</v>
          </cell>
          <cell r="J12" t="str">
            <v>ECB Granola Crunchy with Nuts &amp; Seeds 160g</v>
          </cell>
          <cell r="K12">
            <v>497</v>
          </cell>
        </row>
        <row r="13">
          <cell r="A13" t="str">
            <v>WEEK 12</v>
          </cell>
          <cell r="B13">
            <v>43247</v>
          </cell>
          <cell r="C13">
            <v>3</v>
          </cell>
          <cell r="E13">
            <v>3</v>
          </cell>
          <cell r="F13">
            <v>12</v>
          </cell>
          <cell r="I13" t="str">
            <v>FEB0013</v>
          </cell>
          <cell r="J13" t="str">
            <v>ECB Granola Crunchy with Choc Chips</v>
          </cell>
          <cell r="K13">
            <v>498</v>
          </cell>
        </row>
        <row r="14">
          <cell r="A14" t="str">
            <v>WEEK 13</v>
          </cell>
          <cell r="B14">
            <v>43254</v>
          </cell>
          <cell r="C14">
            <v>3</v>
          </cell>
          <cell r="E14">
            <v>4</v>
          </cell>
          <cell r="F14">
            <v>13</v>
          </cell>
          <cell r="I14" t="str">
            <v>FOM0005</v>
          </cell>
          <cell r="J14" t="str">
            <v>Oh My Double Choc Chip Cookie ( 14 % ) 145g</v>
          </cell>
          <cell r="K14">
            <v>5219</v>
          </cell>
        </row>
        <row r="15">
          <cell r="A15" t="str">
            <v>WEEK 14</v>
          </cell>
          <cell r="B15">
            <v>43261</v>
          </cell>
          <cell r="C15">
            <v>4</v>
          </cell>
          <cell r="E15">
            <v>1</v>
          </cell>
          <cell r="F15">
            <v>14</v>
          </cell>
          <cell r="I15" t="str">
            <v>FOM0006</v>
          </cell>
          <cell r="J15" t="str">
            <v>Oh My Choc Chip Cookies ( 14 % ) 145g</v>
          </cell>
          <cell r="K15">
            <v>5222</v>
          </cell>
        </row>
        <row r="16">
          <cell r="A16" t="str">
            <v>WEEK 15</v>
          </cell>
          <cell r="B16">
            <v>43268</v>
          </cell>
          <cell r="C16">
            <v>4</v>
          </cell>
          <cell r="E16">
            <v>2</v>
          </cell>
          <cell r="F16">
            <v>15</v>
          </cell>
          <cell r="I16" t="str">
            <v>FOM0006</v>
          </cell>
          <cell r="J16" t="str">
            <v>Oh My Choc Chip Cookies ( 14 % ) 145g</v>
          </cell>
          <cell r="K16">
            <v>2712</v>
          </cell>
        </row>
        <row r="17">
          <cell r="A17" t="str">
            <v>WEEK 16</v>
          </cell>
          <cell r="B17">
            <v>43275</v>
          </cell>
          <cell r="C17">
            <v>4</v>
          </cell>
          <cell r="E17">
            <v>3</v>
          </cell>
          <cell r="F17">
            <v>16</v>
          </cell>
          <cell r="I17" t="str">
            <v>FOM0004</v>
          </cell>
          <cell r="J17" t="str">
            <v>Oh My! Half Coated Chocolate Chip Cookies</v>
          </cell>
          <cell r="K17">
            <v>2710</v>
          </cell>
        </row>
        <row r="18">
          <cell r="A18" t="str">
            <v>WEEK 17</v>
          </cell>
          <cell r="B18">
            <v>43282</v>
          </cell>
          <cell r="C18">
            <v>4</v>
          </cell>
          <cell r="E18">
            <v>4</v>
          </cell>
          <cell r="F18">
            <v>17</v>
          </cell>
          <cell r="I18" t="str">
            <v>FEB0010</v>
          </cell>
          <cell r="J18" t="str">
            <v xml:space="preserve">ECBH Chocolate Enrobed Milk Choc Chunk Cookies 2 Pack </v>
          </cell>
          <cell r="K18">
            <v>2988</v>
          </cell>
        </row>
        <row r="19">
          <cell r="A19" t="str">
            <v>WEEK 18</v>
          </cell>
          <cell r="B19">
            <v>43289</v>
          </cell>
          <cell r="C19">
            <v>4</v>
          </cell>
          <cell r="E19">
            <v>5</v>
          </cell>
          <cell r="F19">
            <v>18</v>
          </cell>
          <cell r="I19">
            <v>0</v>
          </cell>
          <cell r="J19">
            <v>0</v>
          </cell>
          <cell r="K19">
            <v>0</v>
          </cell>
        </row>
        <row r="20">
          <cell r="A20" t="str">
            <v>WEEK 19</v>
          </cell>
          <cell r="B20">
            <v>43296</v>
          </cell>
          <cell r="C20">
            <v>5</v>
          </cell>
          <cell r="E20">
            <v>1</v>
          </cell>
          <cell r="F20">
            <v>19</v>
          </cell>
          <cell r="I20">
            <v>0</v>
          </cell>
          <cell r="J20">
            <v>0</v>
          </cell>
          <cell r="K20">
            <v>0</v>
          </cell>
        </row>
        <row r="21">
          <cell r="A21" t="str">
            <v>WEEK 20</v>
          </cell>
          <cell r="B21">
            <v>43303</v>
          </cell>
          <cell r="C21">
            <v>5</v>
          </cell>
          <cell r="E21">
            <v>2</v>
          </cell>
          <cell r="F21">
            <v>20</v>
          </cell>
          <cell r="I21">
            <v>0</v>
          </cell>
          <cell r="J21">
            <v>0</v>
          </cell>
          <cell r="K21">
            <v>0</v>
          </cell>
        </row>
        <row r="22">
          <cell r="A22" t="str">
            <v>WEEK 21</v>
          </cell>
          <cell r="B22">
            <v>43310</v>
          </cell>
          <cell r="C22">
            <v>5</v>
          </cell>
          <cell r="E22">
            <v>3</v>
          </cell>
          <cell r="F22">
            <v>21</v>
          </cell>
          <cell r="I22">
            <v>0</v>
          </cell>
          <cell r="J22">
            <v>0</v>
          </cell>
          <cell r="K22">
            <v>0</v>
          </cell>
        </row>
        <row r="23">
          <cell r="A23" t="str">
            <v>WEEK 22</v>
          </cell>
          <cell r="B23">
            <v>43317</v>
          </cell>
          <cell r="C23">
            <v>5</v>
          </cell>
          <cell r="E23">
            <v>4</v>
          </cell>
          <cell r="F23">
            <v>22</v>
          </cell>
          <cell r="I23">
            <v>0</v>
          </cell>
          <cell r="J23">
            <v>0</v>
          </cell>
          <cell r="K23">
            <v>0</v>
          </cell>
        </row>
        <row r="24">
          <cell r="A24" t="str">
            <v>WEEK 23</v>
          </cell>
          <cell r="B24">
            <v>43324</v>
          </cell>
          <cell r="C24">
            <v>6</v>
          </cell>
          <cell r="E24">
            <v>1</v>
          </cell>
          <cell r="F24">
            <v>23</v>
          </cell>
          <cell r="I24">
            <v>0</v>
          </cell>
          <cell r="J24">
            <v>0</v>
          </cell>
          <cell r="K24">
            <v>0</v>
          </cell>
        </row>
        <row r="25">
          <cell r="A25" t="str">
            <v>WEEK 24</v>
          </cell>
          <cell r="B25">
            <v>43331</v>
          </cell>
          <cell r="C25">
            <v>6</v>
          </cell>
          <cell r="E25">
            <v>2</v>
          </cell>
          <cell r="F25">
            <v>24</v>
          </cell>
          <cell r="I25">
            <v>0</v>
          </cell>
          <cell r="J25">
            <v>0</v>
          </cell>
          <cell r="K25">
            <v>0</v>
          </cell>
        </row>
        <row r="26">
          <cell r="A26" t="str">
            <v>WEEK 25</v>
          </cell>
          <cell r="B26">
            <v>43338</v>
          </cell>
          <cell r="C26">
            <v>6</v>
          </cell>
          <cell r="E26">
            <v>3</v>
          </cell>
          <cell r="F26">
            <v>25</v>
          </cell>
          <cell r="I26">
            <v>0</v>
          </cell>
          <cell r="J26">
            <v>0</v>
          </cell>
          <cell r="K26">
            <v>0</v>
          </cell>
        </row>
        <row r="27">
          <cell r="A27" t="str">
            <v>WEEK 26</v>
          </cell>
          <cell r="B27">
            <v>43345</v>
          </cell>
          <cell r="C27">
            <v>6</v>
          </cell>
          <cell r="E27">
            <v>4</v>
          </cell>
          <cell r="F27">
            <v>26</v>
          </cell>
          <cell r="I27">
            <v>0</v>
          </cell>
          <cell r="J27">
            <v>0</v>
          </cell>
          <cell r="K27">
            <v>0</v>
          </cell>
        </row>
        <row r="28">
          <cell r="A28" t="str">
            <v>WEEK 27</v>
          </cell>
          <cell r="B28">
            <v>43352</v>
          </cell>
          <cell r="C28">
            <v>7</v>
          </cell>
          <cell r="E28">
            <v>1</v>
          </cell>
          <cell r="F28">
            <v>27</v>
          </cell>
          <cell r="I28">
            <v>0</v>
          </cell>
          <cell r="J28">
            <v>0</v>
          </cell>
          <cell r="K28">
            <v>0</v>
          </cell>
        </row>
        <row r="29">
          <cell r="A29" t="str">
            <v>WEEK 28</v>
          </cell>
          <cell r="B29">
            <v>43359</v>
          </cell>
          <cell r="C29">
            <v>7</v>
          </cell>
          <cell r="E29">
            <v>2</v>
          </cell>
          <cell r="F29">
            <v>28</v>
          </cell>
          <cell r="I29">
            <v>0</v>
          </cell>
          <cell r="J29">
            <v>0</v>
          </cell>
          <cell r="K29">
            <v>0</v>
          </cell>
        </row>
        <row r="30">
          <cell r="A30" t="str">
            <v>WEEK 29</v>
          </cell>
          <cell r="B30">
            <v>43366</v>
          </cell>
          <cell r="C30">
            <v>7</v>
          </cell>
          <cell r="E30">
            <v>3</v>
          </cell>
          <cell r="F30">
            <v>29</v>
          </cell>
          <cell r="I30">
            <v>0</v>
          </cell>
          <cell r="J30">
            <v>0</v>
          </cell>
          <cell r="K30">
            <v>0</v>
          </cell>
        </row>
        <row r="31">
          <cell r="A31" t="str">
            <v>WEEK 30</v>
          </cell>
          <cell r="B31">
            <v>43373</v>
          </cell>
          <cell r="C31">
            <v>7</v>
          </cell>
          <cell r="E31">
            <v>4</v>
          </cell>
          <cell r="F31">
            <v>30</v>
          </cell>
          <cell r="I31">
            <v>0</v>
          </cell>
          <cell r="J31">
            <v>0</v>
          </cell>
          <cell r="K31">
            <v>0</v>
          </cell>
        </row>
        <row r="32">
          <cell r="A32" t="str">
            <v>WEEK 31</v>
          </cell>
          <cell r="B32">
            <v>43380</v>
          </cell>
          <cell r="C32">
            <v>7</v>
          </cell>
          <cell r="E32">
            <v>5</v>
          </cell>
          <cell r="F32">
            <v>31</v>
          </cell>
          <cell r="I32">
            <v>0</v>
          </cell>
          <cell r="J32">
            <v>0</v>
          </cell>
          <cell r="K32">
            <v>0</v>
          </cell>
        </row>
        <row r="33">
          <cell r="A33" t="str">
            <v>WEEK 32</v>
          </cell>
          <cell r="B33">
            <v>43387</v>
          </cell>
          <cell r="C33">
            <v>8</v>
          </cell>
          <cell r="E33">
            <v>1</v>
          </cell>
          <cell r="F33">
            <v>32</v>
          </cell>
          <cell r="I33">
            <v>0</v>
          </cell>
          <cell r="J33">
            <v>0</v>
          </cell>
          <cell r="K33">
            <v>0</v>
          </cell>
        </row>
        <row r="34">
          <cell r="A34" t="str">
            <v>WEEK 33</v>
          </cell>
          <cell r="B34">
            <v>43394</v>
          </cell>
          <cell r="C34">
            <v>8</v>
          </cell>
          <cell r="E34">
            <v>2</v>
          </cell>
          <cell r="F34">
            <v>33</v>
          </cell>
          <cell r="I34">
            <v>0</v>
          </cell>
          <cell r="J34">
            <v>0</v>
          </cell>
          <cell r="K34">
            <v>0</v>
          </cell>
        </row>
        <row r="35">
          <cell r="A35" t="str">
            <v>WEEK 34</v>
          </cell>
          <cell r="B35">
            <v>43401</v>
          </cell>
          <cell r="C35">
            <v>8</v>
          </cell>
          <cell r="E35">
            <v>3</v>
          </cell>
          <cell r="F35">
            <v>34</v>
          </cell>
          <cell r="I35">
            <v>0</v>
          </cell>
          <cell r="J35">
            <v>0</v>
          </cell>
          <cell r="K35">
            <v>0</v>
          </cell>
        </row>
        <row r="36">
          <cell r="A36" t="str">
            <v>WEEK 35</v>
          </cell>
          <cell r="B36">
            <v>43408</v>
          </cell>
          <cell r="C36">
            <v>8</v>
          </cell>
          <cell r="E36">
            <v>4</v>
          </cell>
          <cell r="F36">
            <v>35</v>
          </cell>
          <cell r="I36">
            <v>0</v>
          </cell>
          <cell r="J36">
            <v>0</v>
          </cell>
          <cell r="K36">
            <v>0</v>
          </cell>
        </row>
        <row r="37">
          <cell r="A37" t="str">
            <v>WEEK 36</v>
          </cell>
          <cell r="B37">
            <v>43415</v>
          </cell>
          <cell r="C37">
            <v>9</v>
          </cell>
          <cell r="E37">
            <v>1</v>
          </cell>
          <cell r="F37">
            <v>36</v>
          </cell>
          <cell r="I37">
            <v>0</v>
          </cell>
          <cell r="J37">
            <v>0</v>
          </cell>
          <cell r="K37">
            <v>0</v>
          </cell>
        </row>
        <row r="38">
          <cell r="A38" t="str">
            <v>WEEK 37</v>
          </cell>
          <cell r="B38">
            <v>43422</v>
          </cell>
          <cell r="C38">
            <v>9</v>
          </cell>
          <cell r="E38">
            <v>2</v>
          </cell>
          <cell r="F38">
            <v>37</v>
          </cell>
          <cell r="I38">
            <v>0</v>
          </cell>
          <cell r="J38">
            <v>0</v>
          </cell>
          <cell r="K38">
            <v>0</v>
          </cell>
        </row>
        <row r="39">
          <cell r="A39" t="str">
            <v>WEEK 38</v>
          </cell>
          <cell r="B39">
            <v>43429</v>
          </cell>
          <cell r="C39">
            <v>9</v>
          </cell>
          <cell r="E39">
            <v>3</v>
          </cell>
          <cell r="F39">
            <v>38</v>
          </cell>
          <cell r="I39">
            <v>0</v>
          </cell>
          <cell r="J39">
            <v>0</v>
          </cell>
          <cell r="K39">
            <v>0</v>
          </cell>
        </row>
        <row r="40">
          <cell r="A40" t="str">
            <v>WEEK 39</v>
          </cell>
          <cell r="B40">
            <v>43436</v>
          </cell>
          <cell r="C40">
            <v>9</v>
          </cell>
          <cell r="E40">
            <v>4</v>
          </cell>
          <cell r="F40">
            <v>39</v>
          </cell>
          <cell r="I40">
            <v>0</v>
          </cell>
          <cell r="J40">
            <v>0</v>
          </cell>
          <cell r="K40">
            <v>0</v>
          </cell>
        </row>
        <row r="41">
          <cell r="A41" t="str">
            <v>WEEK 40</v>
          </cell>
          <cell r="B41">
            <v>43443</v>
          </cell>
          <cell r="C41">
            <v>10</v>
          </cell>
          <cell r="E41">
            <v>1</v>
          </cell>
          <cell r="F41">
            <v>40</v>
          </cell>
        </row>
        <row r="42">
          <cell r="A42" t="str">
            <v>WEEK 41</v>
          </cell>
          <cell r="B42">
            <v>43450</v>
          </cell>
          <cell r="C42">
            <v>10</v>
          </cell>
          <cell r="E42">
            <v>2</v>
          </cell>
          <cell r="F42">
            <v>41</v>
          </cell>
        </row>
        <row r="43">
          <cell r="A43" t="str">
            <v>WEEK 42</v>
          </cell>
          <cell r="B43">
            <v>43457</v>
          </cell>
          <cell r="C43">
            <v>10</v>
          </cell>
          <cell r="E43">
            <v>3</v>
          </cell>
          <cell r="F43">
            <v>42</v>
          </cell>
        </row>
        <row r="44">
          <cell r="A44" t="str">
            <v>WEEK 43</v>
          </cell>
          <cell r="B44">
            <v>43464</v>
          </cell>
          <cell r="C44">
            <v>10</v>
          </cell>
          <cell r="E44">
            <v>4</v>
          </cell>
          <cell r="F44">
            <v>43</v>
          </cell>
        </row>
        <row r="45">
          <cell r="A45" t="str">
            <v>WEEK 44</v>
          </cell>
          <cell r="B45">
            <v>43471</v>
          </cell>
          <cell r="C45">
            <v>10</v>
          </cell>
          <cell r="E45">
            <v>5</v>
          </cell>
          <cell r="F45">
            <v>44</v>
          </cell>
        </row>
        <row r="46">
          <cell r="A46" t="str">
            <v>WEEK 45</v>
          </cell>
          <cell r="B46">
            <v>43478</v>
          </cell>
          <cell r="C46">
            <v>11</v>
          </cell>
          <cell r="E46">
            <v>1</v>
          </cell>
          <cell r="F46">
            <v>45</v>
          </cell>
        </row>
        <row r="47">
          <cell r="A47" t="str">
            <v>WEEK 46</v>
          </cell>
          <cell r="B47">
            <v>43485</v>
          </cell>
          <cell r="C47">
            <v>11</v>
          </cell>
          <cell r="E47">
            <v>2</v>
          </cell>
          <cell r="F47">
            <v>46</v>
          </cell>
        </row>
        <row r="48">
          <cell r="A48" t="str">
            <v>WEEK 47</v>
          </cell>
          <cell r="B48">
            <v>43492</v>
          </cell>
          <cell r="C48">
            <v>11</v>
          </cell>
          <cell r="E48">
            <v>3</v>
          </cell>
          <cell r="F48">
            <v>47</v>
          </cell>
        </row>
        <row r="49">
          <cell r="A49" t="str">
            <v>WEEK 48</v>
          </cell>
          <cell r="B49">
            <v>43499</v>
          </cell>
          <cell r="C49">
            <v>11</v>
          </cell>
          <cell r="E49">
            <v>4</v>
          </cell>
          <cell r="F49">
            <v>48</v>
          </cell>
        </row>
        <row r="50">
          <cell r="A50" t="str">
            <v>WEEK 49</v>
          </cell>
          <cell r="B50">
            <v>43506</v>
          </cell>
          <cell r="C50">
            <v>12</v>
          </cell>
          <cell r="E50">
            <v>1</v>
          </cell>
          <cell r="F50">
            <v>49</v>
          </cell>
        </row>
        <row r="51">
          <cell r="A51" t="str">
            <v>WEEK 50</v>
          </cell>
          <cell r="B51">
            <v>43513</v>
          </cell>
          <cell r="C51">
            <v>12</v>
          </cell>
          <cell r="E51">
            <v>2</v>
          </cell>
          <cell r="F51">
            <v>50</v>
          </cell>
        </row>
        <row r="52">
          <cell r="A52" t="str">
            <v>WEEK 51</v>
          </cell>
          <cell r="B52">
            <v>43520</v>
          </cell>
          <cell r="C52">
            <v>12</v>
          </cell>
          <cell r="E52">
            <v>3</v>
          </cell>
          <cell r="F52">
            <v>51</v>
          </cell>
        </row>
        <row r="53">
          <cell r="A53" t="str">
            <v>WEEK 52</v>
          </cell>
          <cell r="B53">
            <v>43527</v>
          </cell>
          <cell r="C53">
            <v>12</v>
          </cell>
          <cell r="E53">
            <v>4</v>
          </cell>
          <cell r="F53">
            <v>52</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OUTRUN"/>
      <sheetName val="SALES Daily Tracker"/>
      <sheetName val="Production Daily Tracker"/>
      <sheetName val="Product List"/>
      <sheetName val="Sales budget"/>
      <sheetName val="Sales Forecast"/>
      <sheetName val="Planning"/>
      <sheetName val="Week lookup"/>
    </sheetNames>
    <sheetDataSet>
      <sheetData sheetId="0"/>
      <sheetData sheetId="1">
        <row r="5">
          <cell r="A5" t="str">
            <v>week 07</v>
          </cell>
        </row>
      </sheetData>
      <sheetData sheetId="2"/>
      <sheetData sheetId="3"/>
      <sheetData sheetId="4">
        <row r="6">
          <cell r="D6" t="str">
            <v>Ireland Brand Other Ireland (via T&amp;R)</v>
          </cell>
          <cell r="E6">
            <v>0</v>
          </cell>
          <cell r="F6">
            <v>0</v>
          </cell>
          <cell r="G6">
            <v>30210.318555288461</v>
          </cell>
          <cell r="H6">
            <v>72232.055817307701</v>
          </cell>
          <cell r="I6">
            <v>127981.18060096154</v>
          </cell>
          <cell r="J6">
            <v>31408.36831730769</v>
          </cell>
          <cell r="K6">
            <v>75407.124149038456</v>
          </cell>
          <cell r="L6">
            <v>33749.384149038466</v>
          </cell>
          <cell r="M6">
            <v>272241.80634591344</v>
          </cell>
          <cell r="N6">
            <v>87678.554676730768</v>
          </cell>
          <cell r="O6">
            <v>42944.218876730774</v>
          </cell>
          <cell r="P6">
            <v>42944.218876730774</v>
          </cell>
          <cell r="Q6">
            <v>44269.527309879821</v>
          </cell>
          <cell r="R6">
            <v>111742.23471481972</v>
          </cell>
          <cell r="S6">
            <v>972808.99238974764</v>
          </cell>
        </row>
        <row r="7">
          <cell r="D7" t="str">
            <v>Ireland Brand Stonehouse</v>
          </cell>
          <cell r="E7" t="str">
            <v>Stonehouse</v>
          </cell>
          <cell r="F7" t="str">
            <v>Stonehouse</v>
          </cell>
          <cell r="G7">
            <v>19728.502499999999</v>
          </cell>
          <cell r="H7">
            <v>56412.877500000002</v>
          </cell>
          <cell r="I7">
            <v>20872.5975</v>
          </cell>
          <cell r="J7">
            <v>19728.502499999999</v>
          </cell>
          <cell r="K7">
            <v>38201.053049999995</v>
          </cell>
          <cell r="L7">
            <v>372.92805000000004</v>
          </cell>
          <cell r="M7">
            <v>6818.5062825000005</v>
          </cell>
          <cell r="N7">
            <v>42103.202525999994</v>
          </cell>
          <cell r="O7">
            <v>492.26502600000003</v>
          </cell>
          <cell r="P7">
            <v>1750.390026</v>
          </cell>
          <cell r="Q7">
            <v>516.87827730000015</v>
          </cell>
          <cell r="R7">
            <v>42386.254915949998</v>
          </cell>
          <cell r="S7">
            <v>249383.95815375002</v>
          </cell>
        </row>
        <row r="8">
          <cell r="D8" t="str">
            <v>Ireland Brand OOH Ireland (Direct)</v>
          </cell>
          <cell r="E8" t="str">
            <v>OOH Ireland (Direct)</v>
          </cell>
          <cell r="F8" t="str">
            <v>OOH Ireland (Direct)</v>
          </cell>
          <cell r="G8">
            <v>0</v>
          </cell>
          <cell r="H8">
            <v>10687.5</v>
          </cell>
          <cell r="I8">
            <v>0</v>
          </cell>
          <cell r="J8">
            <v>0</v>
          </cell>
          <cell r="K8">
            <v>10687.5</v>
          </cell>
          <cell r="L8">
            <v>0</v>
          </cell>
          <cell r="M8">
            <v>0</v>
          </cell>
          <cell r="N8">
            <v>11756.25</v>
          </cell>
          <cell r="O8">
            <v>0</v>
          </cell>
          <cell r="P8">
            <v>0</v>
          </cell>
          <cell r="Q8">
            <v>0</v>
          </cell>
          <cell r="R8">
            <v>11756.25</v>
          </cell>
          <cell r="S8">
            <v>44887.5</v>
          </cell>
        </row>
        <row r="9">
          <cell r="D9">
            <v>0</v>
          </cell>
          <cell r="E9">
            <v>0</v>
          </cell>
          <cell r="F9">
            <v>0</v>
          </cell>
          <cell r="G9">
            <v>49938.821055288456</v>
          </cell>
          <cell r="H9">
            <v>139332.4333173077</v>
          </cell>
          <cell r="I9">
            <v>148853.77810096153</v>
          </cell>
          <cell r="J9">
            <v>51136.870817307688</v>
          </cell>
          <cell r="K9">
            <v>124295.67719903846</v>
          </cell>
          <cell r="L9">
            <v>34122.312199038461</v>
          </cell>
          <cell r="M9">
            <v>279060.31262841343</v>
          </cell>
          <cell r="N9">
            <v>141538.00720273078</v>
          </cell>
          <cell r="O9">
            <v>43436.483902730775</v>
          </cell>
          <cell r="P9">
            <v>44694.608902730775</v>
          </cell>
          <cell r="Q9">
            <v>44786.405587179805</v>
          </cell>
          <cell r="R9">
            <v>165884.73963076973</v>
          </cell>
          <cell r="S9">
            <v>1267080.4505434977</v>
          </cell>
        </row>
        <row r="10">
          <cell r="D10" t="str">
            <v>Ireland Contract Manufacturing Project Go West</v>
          </cell>
          <cell r="E10" t="str">
            <v>Project Go West</v>
          </cell>
          <cell r="F10" t="str">
            <v>Project Go West</v>
          </cell>
          <cell r="G10">
            <v>0</v>
          </cell>
          <cell r="H10">
            <v>0</v>
          </cell>
          <cell r="I10">
            <v>0</v>
          </cell>
          <cell r="J10">
            <v>0</v>
          </cell>
          <cell r="K10">
            <v>0</v>
          </cell>
          <cell r="L10">
            <v>0</v>
          </cell>
          <cell r="M10">
            <v>18540</v>
          </cell>
          <cell r="N10">
            <v>37080</v>
          </cell>
          <cell r="O10">
            <v>37080</v>
          </cell>
          <cell r="P10">
            <v>37080</v>
          </cell>
          <cell r="Q10">
            <v>37080</v>
          </cell>
          <cell r="R10">
            <v>37080</v>
          </cell>
          <cell r="S10">
            <v>203940</v>
          </cell>
        </row>
        <row r="11">
          <cell r="D11" t="str">
            <v>Ireland Contract Manufacturing Project M1</v>
          </cell>
          <cell r="E11" t="str">
            <v>Project M1</v>
          </cell>
          <cell r="F11" t="str">
            <v>Project M1</v>
          </cell>
          <cell r="G11">
            <v>62360</v>
          </cell>
          <cell r="H11">
            <v>62360</v>
          </cell>
          <cell r="I11">
            <v>62360</v>
          </cell>
          <cell r="J11">
            <v>100985</v>
          </cell>
          <cell r="K11">
            <v>100985</v>
          </cell>
          <cell r="L11">
            <v>100985</v>
          </cell>
          <cell r="M11">
            <v>100985</v>
          </cell>
          <cell r="N11">
            <v>100985</v>
          </cell>
          <cell r="O11">
            <v>100985</v>
          </cell>
          <cell r="P11">
            <v>100985</v>
          </cell>
          <cell r="Q11">
            <v>100985</v>
          </cell>
          <cell r="R11">
            <v>100985</v>
          </cell>
          <cell r="S11">
            <v>1095945</v>
          </cell>
        </row>
        <row r="12">
          <cell r="D12">
            <v>0</v>
          </cell>
          <cell r="E12">
            <v>0</v>
          </cell>
          <cell r="F12">
            <v>0</v>
          </cell>
          <cell r="G12">
            <v>62360</v>
          </cell>
          <cell r="H12">
            <v>62360</v>
          </cell>
          <cell r="I12">
            <v>62360</v>
          </cell>
          <cell r="J12">
            <v>100985</v>
          </cell>
          <cell r="K12">
            <v>100985</v>
          </cell>
          <cell r="L12">
            <v>100985</v>
          </cell>
          <cell r="M12">
            <v>119525</v>
          </cell>
          <cell r="N12">
            <v>138065</v>
          </cell>
          <cell r="O12">
            <v>138065</v>
          </cell>
          <cell r="P12">
            <v>138065</v>
          </cell>
          <cell r="Q12">
            <v>138065</v>
          </cell>
          <cell r="R12">
            <v>138065</v>
          </cell>
          <cell r="S12">
            <v>1299885</v>
          </cell>
        </row>
        <row r="13">
          <cell r="D13" t="str">
            <v>Ireland Private Label Aldi Ireland</v>
          </cell>
          <cell r="E13" t="str">
            <v>Aldi Ireland</v>
          </cell>
          <cell r="F13" t="str">
            <v>Aldi Ireland</v>
          </cell>
          <cell r="G13">
            <v>52000</v>
          </cell>
          <cell r="H13">
            <v>52000</v>
          </cell>
          <cell r="I13">
            <v>52000</v>
          </cell>
          <cell r="J13">
            <v>52000</v>
          </cell>
          <cell r="K13">
            <v>82041.666666666657</v>
          </cell>
          <cell r="L13">
            <v>82041.666666666657</v>
          </cell>
          <cell r="M13">
            <v>82041.666666666657</v>
          </cell>
          <cell r="N13">
            <v>82041.666666666657</v>
          </cell>
          <cell r="O13">
            <v>82041.666666666657</v>
          </cell>
          <cell r="P13">
            <v>82041.666666666657</v>
          </cell>
          <cell r="Q13">
            <v>82041.666666666657</v>
          </cell>
          <cell r="R13">
            <v>82041.666666666657</v>
          </cell>
          <cell r="S13">
            <v>864333.33333333302</v>
          </cell>
        </row>
        <row r="14">
          <cell r="D14" t="str">
            <v>Ireland Private Label Musgraves</v>
          </cell>
          <cell r="E14" t="str">
            <v>Musgraves</v>
          </cell>
          <cell r="F14" t="str">
            <v>Musgraves</v>
          </cell>
          <cell r="G14">
            <v>0</v>
          </cell>
          <cell r="H14">
            <v>0</v>
          </cell>
          <cell r="I14">
            <v>0</v>
          </cell>
          <cell r="J14">
            <v>0</v>
          </cell>
          <cell r="K14">
            <v>0</v>
          </cell>
          <cell r="L14">
            <v>0</v>
          </cell>
          <cell r="M14">
            <v>0</v>
          </cell>
          <cell r="N14">
            <v>0</v>
          </cell>
          <cell r="O14">
            <v>0</v>
          </cell>
          <cell r="P14">
            <v>0</v>
          </cell>
          <cell r="Q14">
            <v>0</v>
          </cell>
          <cell r="R14">
            <v>0</v>
          </cell>
          <cell r="S14">
            <v>0</v>
          </cell>
        </row>
        <row r="15">
          <cell r="D15" t="str">
            <v>Ireland Private Label Tesco Ireland</v>
          </cell>
          <cell r="E15" t="str">
            <v>Tesco Ireland</v>
          </cell>
          <cell r="F15" t="str">
            <v>Tesco Ireland</v>
          </cell>
          <cell r="G15">
            <v>0</v>
          </cell>
          <cell r="H15">
            <v>0</v>
          </cell>
          <cell r="I15">
            <v>0</v>
          </cell>
          <cell r="J15">
            <v>66712.550666666662</v>
          </cell>
          <cell r="K15">
            <v>66712.550666666662</v>
          </cell>
          <cell r="L15">
            <v>66712.550666666662</v>
          </cell>
          <cell r="M15">
            <v>109628.46886666666</v>
          </cell>
          <cell r="N15">
            <v>109628.46886666666</v>
          </cell>
          <cell r="O15">
            <v>109628.46886666666</v>
          </cell>
          <cell r="P15">
            <v>109628.46886666666</v>
          </cell>
          <cell r="Q15">
            <v>109628.46886666666</v>
          </cell>
          <cell r="R15">
            <v>109628.46886666666</v>
          </cell>
          <cell r="S15">
            <v>857908.46519999998</v>
          </cell>
        </row>
        <row r="16">
          <cell r="D16">
            <v>0</v>
          </cell>
          <cell r="E16">
            <v>0</v>
          </cell>
          <cell r="F16">
            <v>0</v>
          </cell>
          <cell r="G16">
            <v>52000</v>
          </cell>
          <cell r="H16">
            <v>52000</v>
          </cell>
          <cell r="I16">
            <v>52000</v>
          </cell>
          <cell r="J16">
            <v>118712.55066666666</v>
          </cell>
          <cell r="K16">
            <v>148754.21733333333</v>
          </cell>
          <cell r="L16">
            <v>148754.21733333333</v>
          </cell>
          <cell r="M16">
            <v>191670.13553333332</v>
          </cell>
          <cell r="N16">
            <v>191670.13553333332</v>
          </cell>
          <cell r="O16">
            <v>191670.13553333332</v>
          </cell>
          <cell r="P16">
            <v>191670.13553333332</v>
          </cell>
          <cell r="Q16">
            <v>191670.13553333332</v>
          </cell>
          <cell r="R16">
            <v>191670.13553333332</v>
          </cell>
          <cell r="S16">
            <v>1722241.798533333</v>
          </cell>
        </row>
        <row r="17">
          <cell r="D17">
            <v>0</v>
          </cell>
          <cell r="E17">
            <v>0</v>
          </cell>
          <cell r="F17">
            <v>0</v>
          </cell>
          <cell r="G17">
            <v>164298.82105528846</v>
          </cell>
          <cell r="H17">
            <v>253692.4333173077</v>
          </cell>
          <cell r="I17">
            <v>263213.77810096153</v>
          </cell>
          <cell r="J17">
            <v>270834.42148397432</v>
          </cell>
          <cell r="K17">
            <v>374034.89453237172</v>
          </cell>
          <cell r="L17">
            <v>283861.52953237179</v>
          </cell>
          <cell r="M17">
            <v>590255.44816174672</v>
          </cell>
          <cell r="N17">
            <v>471273.14273606404</v>
          </cell>
          <cell r="O17">
            <v>373171.61943606409</v>
          </cell>
          <cell r="P17">
            <v>374429.74443606409</v>
          </cell>
          <cell r="Q17">
            <v>374521.54112051311</v>
          </cell>
          <cell r="R17">
            <v>495619.875164103</v>
          </cell>
          <cell r="S17">
            <v>4289207.2490768302</v>
          </cell>
        </row>
        <row r="18">
          <cell r="D18" t="str">
            <v>ROW  USA Direct</v>
          </cell>
          <cell r="E18" t="str">
            <v>Cost Plus (USA)</v>
          </cell>
          <cell r="F18" t="str">
            <v>Cost Plus (USA)</v>
          </cell>
          <cell r="G18">
            <v>12892.411340996168</v>
          </cell>
          <cell r="H18">
            <v>12892.411340996168</v>
          </cell>
          <cell r="I18">
            <v>12892.411340996168</v>
          </cell>
          <cell r="J18">
            <v>12892.411340996168</v>
          </cell>
          <cell r="K18">
            <v>12892.411340996168</v>
          </cell>
          <cell r="L18">
            <v>12892.411340996168</v>
          </cell>
          <cell r="M18">
            <v>13537.031908045978</v>
          </cell>
          <cell r="N18">
            <v>13537.031908045978</v>
          </cell>
          <cell r="O18">
            <v>13537.031908045978</v>
          </cell>
          <cell r="P18">
            <v>13537.031908045978</v>
          </cell>
          <cell r="Q18">
            <v>13537.031908045978</v>
          </cell>
          <cell r="R18">
            <v>13537.031908045978</v>
          </cell>
          <cell r="S18">
            <v>158576.6594942529</v>
          </cell>
        </row>
        <row r="19">
          <cell r="D19" t="str">
            <v>ROW Brand Tudor Rose</v>
          </cell>
          <cell r="E19" t="str">
            <v>Tudor Rose</v>
          </cell>
          <cell r="F19" t="str">
            <v>Tudor Rose</v>
          </cell>
          <cell r="G19">
            <v>33330.199999999997</v>
          </cell>
          <cell r="H19">
            <v>33330.199999999997</v>
          </cell>
          <cell r="I19">
            <v>33330.199999999997</v>
          </cell>
          <cell r="J19">
            <v>33330.199999999997</v>
          </cell>
          <cell r="K19">
            <v>33330.199999999997</v>
          </cell>
          <cell r="L19">
            <v>33330.199999999997</v>
          </cell>
          <cell r="M19">
            <v>34996.71</v>
          </cell>
          <cell r="N19">
            <v>34996.71</v>
          </cell>
          <cell r="O19">
            <v>34996.71</v>
          </cell>
          <cell r="P19">
            <v>34996.71</v>
          </cell>
          <cell r="Q19">
            <v>34996.71</v>
          </cell>
          <cell r="R19">
            <v>34996.71</v>
          </cell>
          <cell r="S19">
            <v>409961.46000000008</v>
          </cell>
        </row>
        <row r="20">
          <cell r="D20">
            <v>0</v>
          </cell>
          <cell r="E20">
            <v>0</v>
          </cell>
          <cell r="F20">
            <v>0</v>
          </cell>
          <cell r="G20">
            <v>46222.611340996169</v>
          </cell>
          <cell r="H20">
            <v>46222.611340996169</v>
          </cell>
          <cell r="I20">
            <v>46222.611340996169</v>
          </cell>
          <cell r="J20">
            <v>46222.611340996169</v>
          </cell>
          <cell r="K20">
            <v>46222.611340996169</v>
          </cell>
          <cell r="L20">
            <v>46222.611340996169</v>
          </cell>
          <cell r="M20">
            <v>48533.74190804598</v>
          </cell>
          <cell r="N20">
            <v>48533.74190804598</v>
          </cell>
          <cell r="O20">
            <v>48533.74190804598</v>
          </cell>
          <cell r="P20">
            <v>48533.74190804598</v>
          </cell>
          <cell r="Q20">
            <v>48533.74190804598</v>
          </cell>
          <cell r="R20">
            <v>48533.74190804598</v>
          </cell>
          <cell r="S20">
            <v>568538.11949425295</v>
          </cell>
        </row>
        <row r="21">
          <cell r="D21" t="str">
            <v>ROW Private Label Auchan</v>
          </cell>
          <cell r="E21" t="str">
            <v>Auchan</v>
          </cell>
          <cell r="F21" t="str">
            <v>Auchan</v>
          </cell>
          <cell r="G21">
            <v>0</v>
          </cell>
          <cell r="H21">
            <v>0</v>
          </cell>
          <cell r="I21">
            <v>0</v>
          </cell>
          <cell r="J21">
            <v>0</v>
          </cell>
          <cell r="K21">
            <v>0</v>
          </cell>
          <cell r="L21">
            <v>0</v>
          </cell>
          <cell r="M21">
            <v>0</v>
          </cell>
          <cell r="N21">
            <v>235827.08333333331</v>
          </cell>
          <cell r="O21">
            <v>235827.08333333331</v>
          </cell>
          <cell r="P21">
            <v>235827.08333333331</v>
          </cell>
          <cell r="Q21">
            <v>235827.08333333331</v>
          </cell>
          <cell r="R21">
            <v>235827.08333333331</v>
          </cell>
          <cell r="S21">
            <v>1179135.4166666665</v>
          </cell>
        </row>
        <row r="22">
          <cell r="D22">
            <v>0</v>
          </cell>
          <cell r="E22">
            <v>0</v>
          </cell>
          <cell r="F22">
            <v>0</v>
          </cell>
          <cell r="G22">
            <v>0</v>
          </cell>
          <cell r="H22">
            <v>0</v>
          </cell>
          <cell r="I22">
            <v>0</v>
          </cell>
          <cell r="J22">
            <v>0</v>
          </cell>
          <cell r="K22">
            <v>0</v>
          </cell>
          <cell r="L22">
            <v>0</v>
          </cell>
          <cell r="M22">
            <v>0</v>
          </cell>
          <cell r="N22">
            <v>235827.08333333331</v>
          </cell>
          <cell r="O22">
            <v>235827.08333333331</v>
          </cell>
          <cell r="P22">
            <v>235827.08333333331</v>
          </cell>
          <cell r="Q22">
            <v>235827.08333333331</v>
          </cell>
          <cell r="R22">
            <v>235827.08333333331</v>
          </cell>
          <cell r="S22">
            <v>1179135.4166666665</v>
          </cell>
        </row>
        <row r="23">
          <cell r="D23">
            <v>0</v>
          </cell>
          <cell r="E23">
            <v>0</v>
          </cell>
          <cell r="F23">
            <v>0</v>
          </cell>
          <cell r="G23">
            <v>46222.611340996169</v>
          </cell>
          <cell r="H23">
            <v>46222.611340996169</v>
          </cell>
          <cell r="I23">
            <v>46222.611340996169</v>
          </cell>
          <cell r="J23">
            <v>46222.611340996169</v>
          </cell>
          <cell r="K23">
            <v>46222.611340996169</v>
          </cell>
          <cell r="L23">
            <v>46222.611340996169</v>
          </cell>
          <cell r="M23">
            <v>48533.74190804598</v>
          </cell>
          <cell r="N23">
            <v>284360.82524137932</v>
          </cell>
          <cell r="O23">
            <v>284360.82524137932</v>
          </cell>
          <cell r="P23">
            <v>284360.82524137932</v>
          </cell>
          <cell r="Q23">
            <v>284360.82524137932</v>
          </cell>
          <cell r="R23">
            <v>284360.82524137932</v>
          </cell>
          <cell r="S23">
            <v>1747673.5361609193</v>
          </cell>
        </row>
        <row r="24">
          <cell r="D24" t="str">
            <v>UK Brand Fordham</v>
          </cell>
          <cell r="E24" t="str">
            <v>Fordham</v>
          </cell>
          <cell r="F24" t="str">
            <v>Fordham</v>
          </cell>
          <cell r="G24">
            <v>20810</v>
          </cell>
          <cell r="H24">
            <v>20810</v>
          </cell>
          <cell r="I24">
            <v>20810</v>
          </cell>
          <cell r="J24">
            <v>20810</v>
          </cell>
          <cell r="K24">
            <v>20810</v>
          </cell>
          <cell r="L24">
            <v>20810</v>
          </cell>
          <cell r="M24">
            <v>21850.5</v>
          </cell>
          <cell r="N24">
            <v>21850.5</v>
          </cell>
          <cell r="O24">
            <v>21850.5</v>
          </cell>
          <cell r="P24">
            <v>21850.5</v>
          </cell>
          <cell r="Q24">
            <v>21850.5</v>
          </cell>
          <cell r="R24">
            <v>21850.5</v>
          </cell>
          <cell r="S24">
            <v>255963</v>
          </cell>
        </row>
        <row r="25">
          <cell r="D25">
            <v>0</v>
          </cell>
          <cell r="E25">
            <v>0</v>
          </cell>
          <cell r="F25">
            <v>0</v>
          </cell>
          <cell r="G25">
            <v>20810</v>
          </cell>
          <cell r="H25">
            <v>20810</v>
          </cell>
          <cell r="I25">
            <v>20810</v>
          </cell>
          <cell r="J25">
            <v>20810</v>
          </cell>
          <cell r="K25">
            <v>20810</v>
          </cell>
          <cell r="L25">
            <v>20810</v>
          </cell>
          <cell r="M25">
            <v>21850.5</v>
          </cell>
          <cell r="N25">
            <v>21850.5</v>
          </cell>
          <cell r="O25">
            <v>21850.5</v>
          </cell>
          <cell r="P25">
            <v>21850.5</v>
          </cell>
          <cell r="Q25">
            <v>21850.5</v>
          </cell>
          <cell r="R25">
            <v>21850.5</v>
          </cell>
          <cell r="S25">
            <v>255963</v>
          </cell>
        </row>
        <row r="26">
          <cell r="D26" t="str">
            <v>UK Contract Manufacturing Project Bill</v>
          </cell>
          <cell r="E26" t="str">
            <v>Project Bill</v>
          </cell>
          <cell r="F26" t="str">
            <v>Project Bill</v>
          </cell>
          <cell r="G26">
            <v>21538.636363636364</v>
          </cell>
          <cell r="H26">
            <v>21538.636363636364</v>
          </cell>
          <cell r="I26">
            <v>21538.636363636364</v>
          </cell>
          <cell r="J26">
            <v>21538.636363636364</v>
          </cell>
          <cell r="K26">
            <v>21538.636363636364</v>
          </cell>
          <cell r="L26">
            <v>21538.636363636364</v>
          </cell>
          <cell r="M26">
            <v>21538.636363636364</v>
          </cell>
          <cell r="N26">
            <v>21538.636363636364</v>
          </cell>
          <cell r="O26">
            <v>21538.636363636364</v>
          </cell>
          <cell r="P26">
            <v>21538.636363636364</v>
          </cell>
          <cell r="Q26">
            <v>21538.636363636364</v>
          </cell>
          <cell r="R26">
            <v>21538.636363636364</v>
          </cell>
          <cell r="S26">
            <v>258463.63636363632</v>
          </cell>
        </row>
        <row r="27">
          <cell r="D27" t="str">
            <v>UK Contract Manufacturing Project Go Light</v>
          </cell>
          <cell r="E27" t="str">
            <v>Project Go Light</v>
          </cell>
          <cell r="F27" t="str">
            <v>Project Go Light</v>
          </cell>
          <cell r="G27">
            <v>0</v>
          </cell>
          <cell r="H27">
            <v>0</v>
          </cell>
          <cell r="I27">
            <v>0</v>
          </cell>
          <cell r="J27">
            <v>0</v>
          </cell>
          <cell r="K27">
            <v>64272</v>
          </cell>
          <cell r="L27">
            <v>64272</v>
          </cell>
          <cell r="M27">
            <v>64272</v>
          </cell>
          <cell r="N27">
            <v>64272</v>
          </cell>
          <cell r="O27">
            <v>64272</v>
          </cell>
          <cell r="P27">
            <v>64272</v>
          </cell>
          <cell r="Q27">
            <v>64272</v>
          </cell>
          <cell r="R27">
            <v>64272</v>
          </cell>
          <cell r="S27">
            <v>514176</v>
          </cell>
        </row>
        <row r="28">
          <cell r="D28" t="str">
            <v>UK Contract Manufacturing Project Robin</v>
          </cell>
          <cell r="E28" t="str">
            <v>Project Robin</v>
          </cell>
          <cell r="F28" t="str">
            <v>Project Robin</v>
          </cell>
          <cell r="G28">
            <v>0</v>
          </cell>
          <cell r="H28">
            <v>32136</v>
          </cell>
          <cell r="I28">
            <v>32136</v>
          </cell>
          <cell r="J28">
            <v>32136</v>
          </cell>
          <cell r="K28">
            <v>32136</v>
          </cell>
          <cell r="L28">
            <v>32136</v>
          </cell>
          <cell r="M28">
            <v>48204</v>
          </cell>
          <cell r="N28">
            <v>48204</v>
          </cell>
          <cell r="O28">
            <v>64272</v>
          </cell>
          <cell r="P28">
            <v>64272</v>
          </cell>
          <cell r="Q28">
            <v>64272</v>
          </cell>
          <cell r="R28">
            <v>64272</v>
          </cell>
          <cell r="S28">
            <v>514176</v>
          </cell>
        </row>
        <row r="29">
          <cell r="D29">
            <v>0</v>
          </cell>
          <cell r="E29">
            <v>0</v>
          </cell>
          <cell r="F29">
            <v>0</v>
          </cell>
          <cell r="G29">
            <v>21538.636363636364</v>
          </cell>
          <cell r="H29">
            <v>53674.636363636368</v>
          </cell>
          <cell r="I29">
            <v>53674.636363636368</v>
          </cell>
          <cell r="J29">
            <v>53674.636363636368</v>
          </cell>
          <cell r="K29">
            <v>117946.63636363637</v>
          </cell>
          <cell r="L29">
            <v>117946.63636363637</v>
          </cell>
          <cell r="M29">
            <v>134014.63636363635</v>
          </cell>
          <cell r="N29">
            <v>134014.63636363635</v>
          </cell>
          <cell r="O29">
            <v>150082.63636363635</v>
          </cell>
          <cell r="P29">
            <v>150082.63636363635</v>
          </cell>
          <cell r="Q29">
            <v>150082.63636363635</v>
          </cell>
          <cell r="R29">
            <v>150082.63636363635</v>
          </cell>
          <cell r="S29">
            <v>1286815.6363636362</v>
          </cell>
        </row>
        <row r="30">
          <cell r="D30" t="str">
            <v>UK Private Label Aldi UK</v>
          </cell>
          <cell r="E30" t="str">
            <v>Aldi UK</v>
          </cell>
          <cell r="F30" t="str">
            <v>Aldi UK</v>
          </cell>
          <cell r="G30">
            <v>0</v>
          </cell>
          <cell r="H30">
            <v>0</v>
          </cell>
          <cell r="I30">
            <v>0</v>
          </cell>
          <cell r="J30">
            <v>65312.500000000007</v>
          </cell>
          <cell r="K30">
            <v>119387.5</v>
          </cell>
          <cell r="L30">
            <v>119387.5</v>
          </cell>
          <cell r="M30">
            <v>119387.5</v>
          </cell>
          <cell r="N30">
            <v>119387.5</v>
          </cell>
          <cell r="O30">
            <v>119387.5</v>
          </cell>
          <cell r="P30">
            <v>119387.5</v>
          </cell>
          <cell r="Q30">
            <v>119387.5</v>
          </cell>
          <cell r="R30">
            <v>119387.5</v>
          </cell>
          <cell r="S30">
            <v>1020412.5</v>
          </cell>
        </row>
        <row r="31">
          <cell r="D31" t="str">
            <v>UK Private Label Co-Op</v>
          </cell>
          <cell r="E31" t="str">
            <v>Co-Op</v>
          </cell>
          <cell r="F31" t="str">
            <v>Co-Op</v>
          </cell>
          <cell r="G31">
            <v>0</v>
          </cell>
          <cell r="H31">
            <v>0</v>
          </cell>
          <cell r="I31">
            <v>0</v>
          </cell>
          <cell r="J31">
            <v>0</v>
          </cell>
          <cell r="K31">
            <v>0</v>
          </cell>
          <cell r="L31">
            <v>22289.64333333333</v>
          </cell>
          <cell r="M31">
            <v>22289.64333333333</v>
          </cell>
          <cell r="N31">
            <v>22289.64333333333</v>
          </cell>
          <cell r="O31">
            <v>22289.64333333333</v>
          </cell>
          <cell r="P31">
            <v>22289.64333333333</v>
          </cell>
          <cell r="Q31">
            <v>22289.64333333333</v>
          </cell>
          <cell r="R31">
            <v>22289.64333333333</v>
          </cell>
          <cell r="S31">
            <v>156027.50333333333</v>
          </cell>
        </row>
        <row r="32">
          <cell r="D32">
            <v>0</v>
          </cell>
          <cell r="E32">
            <v>0</v>
          </cell>
          <cell r="F32">
            <v>0</v>
          </cell>
          <cell r="G32">
            <v>0</v>
          </cell>
          <cell r="H32">
            <v>0</v>
          </cell>
          <cell r="I32">
            <v>0</v>
          </cell>
          <cell r="J32">
            <v>65312.500000000007</v>
          </cell>
          <cell r="K32">
            <v>119387.5</v>
          </cell>
          <cell r="L32">
            <v>141677.14333333334</v>
          </cell>
          <cell r="M32">
            <v>141677.14333333334</v>
          </cell>
          <cell r="N32">
            <v>141677.14333333334</v>
          </cell>
          <cell r="O32">
            <v>141677.14333333334</v>
          </cell>
          <cell r="P32">
            <v>141677.14333333334</v>
          </cell>
          <cell r="Q32">
            <v>141677.14333333334</v>
          </cell>
          <cell r="R32">
            <v>141677.14333333334</v>
          </cell>
          <cell r="S32">
            <v>1176440.0033333334</v>
          </cell>
        </row>
        <row r="33">
          <cell r="D33">
            <v>0</v>
          </cell>
          <cell r="E33">
            <v>0</v>
          </cell>
          <cell r="F33">
            <v>0</v>
          </cell>
          <cell r="G33">
            <v>42348.636363636368</v>
          </cell>
          <cell r="H33">
            <v>74484.636363636368</v>
          </cell>
          <cell r="I33">
            <v>74484.636363636368</v>
          </cell>
          <cell r="J33">
            <v>139797.13636363638</v>
          </cell>
          <cell r="K33">
            <v>258144.13636363635</v>
          </cell>
          <cell r="L33">
            <v>280433.77969696966</v>
          </cell>
          <cell r="M33">
            <v>297542.27969696966</v>
          </cell>
          <cell r="N33">
            <v>297542.27969696966</v>
          </cell>
          <cell r="O33">
            <v>313610.27969696966</v>
          </cell>
          <cell r="P33">
            <v>313610.27969696966</v>
          </cell>
          <cell r="Q33">
            <v>313610.27969696966</v>
          </cell>
          <cell r="R33">
            <v>313610.27969696966</v>
          </cell>
          <cell r="S33">
            <v>2719218.6396969697</v>
          </cell>
        </row>
        <row r="34">
          <cell r="D34">
            <v>0</v>
          </cell>
          <cell r="E34">
            <v>0</v>
          </cell>
          <cell r="F34">
            <v>0</v>
          </cell>
          <cell r="G34">
            <v>252870.06875992095</v>
          </cell>
          <cell r="H34">
            <v>374399.68102194025</v>
          </cell>
          <cell r="I34">
            <v>383921.02580559405</v>
          </cell>
          <cell r="J34">
            <v>456854.16918860684</v>
          </cell>
          <cell r="K34">
            <v>678401.64223700424</v>
          </cell>
          <cell r="L34">
            <v>610517.92057033768</v>
          </cell>
          <cell r="M34">
            <v>936331.46976676234</v>
          </cell>
          <cell r="N34">
            <v>1053176.247674413</v>
          </cell>
          <cell r="O34">
            <v>971142.72437441314</v>
          </cell>
          <cell r="P34">
            <v>972400.84937441314</v>
          </cell>
          <cell r="Q34">
            <v>972492.6460588621</v>
          </cell>
          <cell r="R34">
            <v>1093590.9801024518</v>
          </cell>
          <cell r="S34">
            <v>8756099.4249347206</v>
          </cell>
        </row>
      </sheetData>
      <sheetData sheetId="5">
        <row r="8">
          <cell r="C8">
            <v>36881.4</v>
          </cell>
          <cell r="D8">
            <v>0</v>
          </cell>
          <cell r="E8">
            <v>6567.99</v>
          </cell>
          <cell r="F8">
            <v>4178.9179730769229</v>
          </cell>
          <cell r="G8">
            <v>20346.809770384614</v>
          </cell>
          <cell r="H8">
            <v>4596.8097703846151</v>
          </cell>
          <cell r="I8">
            <v>54482.521121134618</v>
          </cell>
          <cell r="J8">
            <v>23392.788896907692</v>
          </cell>
          <cell r="K8">
            <v>6067.7888969076921</v>
          </cell>
          <cell r="L8">
            <v>6067.7888969076921</v>
          </cell>
          <cell r="M8">
            <v>6371.1783417530778</v>
          </cell>
          <cell r="N8">
            <v>26881.767512629616</v>
          </cell>
          <cell r="O8">
            <v>195835.76118008659</v>
          </cell>
          <cell r="P8">
            <v>0</v>
          </cell>
          <cell r="Q8">
            <v>7376.2800000000007</v>
          </cell>
          <cell r="R8">
            <v>7376.2800000000007</v>
          </cell>
          <cell r="S8">
            <v>7376.2800000000007</v>
          </cell>
          <cell r="T8">
            <v>7376.2800000000007</v>
          </cell>
          <cell r="U8">
            <v>7376.2800000000007</v>
          </cell>
          <cell r="V8">
            <v>0</v>
          </cell>
          <cell r="W8">
            <v>0</v>
          </cell>
          <cell r="X8">
            <v>0</v>
          </cell>
          <cell r="Y8">
            <v>0</v>
          </cell>
          <cell r="Z8">
            <v>1641.9974999999999</v>
          </cell>
          <cell r="AA8">
            <v>1641.9974999999999</v>
          </cell>
          <cell r="AB8">
            <v>1641.9974999999999</v>
          </cell>
          <cell r="AC8">
            <v>1641.9974999999999</v>
          </cell>
          <cell r="AD8">
            <v>835.78359461538457</v>
          </cell>
          <cell r="AE8">
            <v>835.78359461538457</v>
          </cell>
          <cell r="AF8">
            <v>835.78359461538457</v>
          </cell>
          <cell r="AG8">
            <v>835.78359461538457</v>
          </cell>
          <cell r="AH8">
            <v>835.78359461538457</v>
          </cell>
          <cell r="AI8">
            <v>5086.7024425961536</v>
          </cell>
          <cell r="AJ8">
            <v>5086.7024425961536</v>
          </cell>
          <cell r="AK8">
            <v>5086.7024425961536</v>
          </cell>
          <cell r="AL8">
            <v>5086.7024425961536</v>
          </cell>
          <cell r="AM8">
            <v>1149.2024425961538</v>
          </cell>
          <cell r="AN8">
            <v>1149.2024425961538</v>
          </cell>
          <cell r="AO8">
            <v>1149.2024425961538</v>
          </cell>
          <cell r="AP8">
            <v>1149.2024425961538</v>
          </cell>
          <cell r="AQ8">
            <v>10896.504224226923</v>
          </cell>
          <cell r="AR8">
            <v>10896.504224226923</v>
          </cell>
          <cell r="AS8">
            <v>10896.504224226923</v>
          </cell>
          <cell r="AT8">
            <v>10896.504224226923</v>
          </cell>
          <cell r="AU8">
            <v>10896.504224226923</v>
          </cell>
          <cell r="AV8">
            <v>5848.197224226923</v>
          </cell>
          <cell r="AW8">
            <v>5848.197224226923</v>
          </cell>
          <cell r="AX8">
            <v>5848.197224226923</v>
          </cell>
          <cell r="AY8">
            <v>5848.197224226923</v>
          </cell>
          <cell r="AZ8">
            <v>1516.947224226923</v>
          </cell>
          <cell r="BA8">
            <v>1516.947224226923</v>
          </cell>
          <cell r="BB8">
            <v>1516.947224226923</v>
          </cell>
          <cell r="BC8">
            <v>1516.947224226923</v>
          </cell>
          <cell r="BD8">
            <v>1213.5577793815385</v>
          </cell>
          <cell r="BE8">
            <v>1213.5577793815385</v>
          </cell>
          <cell r="BF8">
            <v>1213.5577793815385</v>
          </cell>
          <cell r="BG8">
            <v>1213.5577793815385</v>
          </cell>
          <cell r="BH8">
            <v>1213.5577793815385</v>
          </cell>
          <cell r="BI8">
            <v>1592.7945854382695</v>
          </cell>
          <cell r="BJ8">
            <v>1592.7945854382695</v>
          </cell>
          <cell r="BK8">
            <v>1592.7945854382695</v>
          </cell>
          <cell r="BL8">
            <v>1592.7945854382695</v>
          </cell>
          <cell r="BM8">
            <v>6720.4418781574041</v>
          </cell>
          <cell r="BN8">
            <v>6720.4418781574041</v>
          </cell>
          <cell r="BO8">
            <v>6720.4418781574041</v>
          </cell>
          <cell r="BP8">
            <v>6720.4418781574041</v>
          </cell>
          <cell r="BQ8">
            <v>195835.76118008664</v>
          </cell>
          <cell r="BR8">
            <v>0</v>
          </cell>
          <cell r="BS8">
            <v>29505.120000000003</v>
          </cell>
          <cell r="BT8">
            <v>29505.120000000003</v>
          </cell>
        </row>
        <row r="9">
          <cell r="C9">
            <v>48330.559999999998</v>
          </cell>
          <cell r="D9">
            <v>9342.9</v>
          </cell>
          <cell r="E9">
            <v>8268.57</v>
          </cell>
          <cell r="F9">
            <v>11486.189250000001</v>
          </cell>
          <cell r="G9">
            <v>23633.890675000002</v>
          </cell>
          <cell r="H9">
            <v>12471.390675000002</v>
          </cell>
          <cell r="I9">
            <v>102638.89461375</v>
          </cell>
          <cell r="J9">
            <v>27515.217191000003</v>
          </cell>
          <cell r="K9">
            <v>16102.717191000003</v>
          </cell>
          <cell r="L9">
            <v>16102.717191000003</v>
          </cell>
          <cell r="M9">
            <v>16713.666283049999</v>
          </cell>
          <cell r="N9">
            <v>36482.999424574999</v>
          </cell>
          <cell r="O9">
            <v>329089.71249437507</v>
          </cell>
          <cell r="P9">
            <v>0</v>
          </cell>
          <cell r="Q9">
            <v>9666.1119999999992</v>
          </cell>
          <cell r="R9">
            <v>9666.1119999999992</v>
          </cell>
          <cell r="S9">
            <v>9666.1119999999992</v>
          </cell>
          <cell r="T9">
            <v>9666.1119999999992</v>
          </cell>
          <cell r="U9">
            <v>9666.1119999999992</v>
          </cell>
          <cell r="V9">
            <v>2335.7249999999999</v>
          </cell>
          <cell r="W9">
            <v>2335.7249999999999</v>
          </cell>
          <cell r="X9">
            <v>2335.7249999999999</v>
          </cell>
          <cell r="Y9">
            <v>2335.7249999999999</v>
          </cell>
          <cell r="Z9">
            <v>2067.1424999999999</v>
          </cell>
          <cell r="AA9">
            <v>2067.1424999999999</v>
          </cell>
          <cell r="AB9">
            <v>2067.1424999999999</v>
          </cell>
          <cell r="AC9">
            <v>2067.1424999999999</v>
          </cell>
          <cell r="AD9">
            <v>2297.2378500000004</v>
          </cell>
          <cell r="AE9">
            <v>2297.2378500000004</v>
          </cell>
          <cell r="AF9">
            <v>2297.2378500000004</v>
          </cell>
          <cell r="AG9">
            <v>2297.2378500000004</v>
          </cell>
          <cell r="AH9">
            <v>2297.2378500000004</v>
          </cell>
          <cell r="AI9">
            <v>5908.4726687500006</v>
          </cell>
          <cell r="AJ9">
            <v>5908.4726687500006</v>
          </cell>
          <cell r="AK9">
            <v>5908.4726687500006</v>
          </cell>
          <cell r="AL9">
            <v>5908.4726687500006</v>
          </cell>
          <cell r="AM9">
            <v>3117.8476687500006</v>
          </cell>
          <cell r="AN9">
            <v>3117.8476687500006</v>
          </cell>
          <cell r="AO9">
            <v>3117.8476687500006</v>
          </cell>
          <cell r="AP9">
            <v>3117.8476687500006</v>
          </cell>
          <cell r="AQ9">
            <v>20527.77892275</v>
          </cell>
          <cell r="AR9">
            <v>20527.77892275</v>
          </cell>
          <cell r="AS9">
            <v>20527.77892275</v>
          </cell>
          <cell r="AT9">
            <v>20527.77892275</v>
          </cell>
          <cell r="AU9">
            <v>20527.77892275</v>
          </cell>
          <cell r="AV9">
            <v>6878.8042977500008</v>
          </cell>
          <cell r="AW9">
            <v>6878.8042977500008</v>
          </cell>
          <cell r="AX9">
            <v>6878.8042977500008</v>
          </cell>
          <cell r="AY9">
            <v>6878.8042977500008</v>
          </cell>
          <cell r="AZ9">
            <v>4025.6792977500008</v>
          </cell>
          <cell r="BA9">
            <v>4025.6792977500008</v>
          </cell>
          <cell r="BB9">
            <v>4025.6792977500008</v>
          </cell>
          <cell r="BC9">
            <v>4025.6792977500008</v>
          </cell>
          <cell r="BD9">
            <v>3220.5434382000008</v>
          </cell>
          <cell r="BE9">
            <v>3220.5434382000008</v>
          </cell>
          <cell r="BF9">
            <v>3220.5434382000008</v>
          </cell>
          <cell r="BG9">
            <v>3220.5434382000008</v>
          </cell>
          <cell r="BH9">
            <v>3220.5434382000008</v>
          </cell>
          <cell r="BI9">
            <v>4178.4165707624998</v>
          </cell>
          <cell r="BJ9">
            <v>4178.4165707624998</v>
          </cell>
          <cell r="BK9">
            <v>4178.4165707624998</v>
          </cell>
          <cell r="BL9">
            <v>4178.4165707624998</v>
          </cell>
          <cell r="BM9">
            <v>9120.7498561437496</v>
          </cell>
          <cell r="BN9">
            <v>9120.7498561437496</v>
          </cell>
          <cell r="BO9">
            <v>9120.7498561437496</v>
          </cell>
          <cell r="BP9">
            <v>9120.7498561437496</v>
          </cell>
          <cell r="BQ9">
            <v>329089.71249437518</v>
          </cell>
          <cell r="BR9">
            <v>0</v>
          </cell>
          <cell r="BS9">
            <v>38664.447999999997</v>
          </cell>
          <cell r="BT9">
            <v>38664.447999999997</v>
          </cell>
        </row>
        <row r="10">
          <cell r="C10">
            <v>41123.43</v>
          </cell>
          <cell r="D10">
            <v>3878.55</v>
          </cell>
          <cell r="E10">
            <v>14629.331249999999</v>
          </cell>
          <cell r="F10">
            <v>9967.6153124999983</v>
          </cell>
          <cell r="G10">
            <v>25073.213343750002</v>
          </cell>
          <cell r="H10">
            <v>10327.97334375</v>
          </cell>
          <cell r="I10">
            <v>32044.203829687503</v>
          </cell>
          <cell r="J10">
            <v>28384.310913750003</v>
          </cell>
          <cell r="K10">
            <v>12387.475113750002</v>
          </cell>
          <cell r="L10">
            <v>12387.475113750002</v>
          </cell>
          <cell r="M10">
            <v>12379.133126250003</v>
          </cell>
          <cell r="N10">
            <v>35169.143439375002</v>
          </cell>
          <cell r="O10">
            <v>237751.8547865625</v>
          </cell>
          <cell r="P10">
            <v>0</v>
          </cell>
          <cell r="Q10">
            <v>8224.6859999999997</v>
          </cell>
          <cell r="R10">
            <v>8224.6859999999997</v>
          </cell>
          <cell r="S10">
            <v>8224.6859999999997</v>
          </cell>
          <cell r="T10">
            <v>8224.6859999999997</v>
          </cell>
          <cell r="U10">
            <v>8224.6859999999997</v>
          </cell>
          <cell r="V10">
            <v>969.63750000000005</v>
          </cell>
          <cell r="W10">
            <v>969.63750000000005</v>
          </cell>
          <cell r="X10">
            <v>969.63750000000005</v>
          </cell>
          <cell r="Y10">
            <v>969.63750000000005</v>
          </cell>
          <cell r="Z10">
            <v>3657.3328124999998</v>
          </cell>
          <cell r="AA10">
            <v>3657.3328124999998</v>
          </cell>
          <cell r="AB10">
            <v>3657.3328124999998</v>
          </cell>
          <cell r="AC10">
            <v>3657.3328124999998</v>
          </cell>
          <cell r="AD10">
            <v>1993.5230624999997</v>
          </cell>
          <cell r="AE10">
            <v>1993.5230624999997</v>
          </cell>
          <cell r="AF10">
            <v>1993.5230624999997</v>
          </cell>
          <cell r="AG10">
            <v>1993.5230624999997</v>
          </cell>
          <cell r="AH10">
            <v>1993.5230624999997</v>
          </cell>
          <cell r="AI10">
            <v>6268.3033359375004</v>
          </cell>
          <cell r="AJ10">
            <v>6268.3033359375004</v>
          </cell>
          <cell r="AK10">
            <v>6268.3033359375004</v>
          </cell>
          <cell r="AL10">
            <v>6268.3033359375004</v>
          </cell>
          <cell r="AM10">
            <v>2581.9933359375</v>
          </cell>
          <cell r="AN10">
            <v>2581.9933359375</v>
          </cell>
          <cell r="AO10">
            <v>2581.9933359375</v>
          </cell>
          <cell r="AP10">
            <v>2581.9933359375</v>
          </cell>
          <cell r="AQ10">
            <v>6408.8407659375007</v>
          </cell>
          <cell r="AR10">
            <v>6408.8407659375007</v>
          </cell>
          <cell r="AS10">
            <v>6408.8407659375007</v>
          </cell>
          <cell r="AT10">
            <v>6408.8407659375007</v>
          </cell>
          <cell r="AU10">
            <v>6408.8407659375007</v>
          </cell>
          <cell r="AV10">
            <v>7096.0777284375008</v>
          </cell>
          <cell r="AW10">
            <v>7096.0777284375008</v>
          </cell>
          <cell r="AX10">
            <v>7096.0777284375008</v>
          </cell>
          <cell r="AY10">
            <v>7096.0777284375008</v>
          </cell>
          <cell r="AZ10">
            <v>3096.8687784375006</v>
          </cell>
          <cell r="BA10">
            <v>3096.8687784375006</v>
          </cell>
          <cell r="BB10">
            <v>3096.8687784375006</v>
          </cell>
          <cell r="BC10">
            <v>3096.8687784375006</v>
          </cell>
          <cell r="BD10">
            <v>2477.4950227500003</v>
          </cell>
          <cell r="BE10">
            <v>2477.4950227500003</v>
          </cell>
          <cell r="BF10">
            <v>2477.4950227500003</v>
          </cell>
          <cell r="BG10">
            <v>2477.4950227500003</v>
          </cell>
          <cell r="BH10">
            <v>2477.4950227500003</v>
          </cell>
          <cell r="BI10">
            <v>3094.7832815625006</v>
          </cell>
          <cell r="BJ10">
            <v>3094.7832815625006</v>
          </cell>
          <cell r="BK10">
            <v>3094.7832815625006</v>
          </cell>
          <cell r="BL10">
            <v>3094.7832815625006</v>
          </cell>
          <cell r="BM10">
            <v>8792.2858598437506</v>
          </cell>
          <cell r="BN10">
            <v>8792.2858598437506</v>
          </cell>
          <cell r="BO10">
            <v>8792.2858598437506</v>
          </cell>
          <cell r="BP10">
            <v>8792.2858598437506</v>
          </cell>
          <cell r="BQ10">
            <v>237751.85478656233</v>
          </cell>
          <cell r="BR10">
            <v>0</v>
          </cell>
          <cell r="BS10">
            <v>32898.743999999999</v>
          </cell>
          <cell r="BT10">
            <v>32898.743999999999</v>
          </cell>
        </row>
        <row r="11">
          <cell r="C11">
            <v>26666.839946153843</v>
          </cell>
          <cell r="D11">
            <v>2511.1368692307688</v>
          </cell>
          <cell r="E11">
            <v>7910.6274192307701</v>
          </cell>
          <cell r="F11">
            <v>5294.0332817307681</v>
          </cell>
          <cell r="G11">
            <v>5823.4366099038461</v>
          </cell>
          <cell r="H11">
            <v>5823.4366099038461</v>
          </cell>
          <cell r="I11">
            <v>71621.435093841341</v>
          </cell>
          <cell r="J11">
            <v>7686.9363250730776</v>
          </cell>
          <cell r="K11">
            <v>7686.9363250730776</v>
          </cell>
          <cell r="L11">
            <v>7686.9363250730776</v>
          </cell>
          <cell r="M11">
            <v>8071.2831413267313</v>
          </cell>
          <cell r="N11">
            <v>12106.924711990097</v>
          </cell>
          <cell r="O11">
            <v>168889.96265853121</v>
          </cell>
          <cell r="P11">
            <v>0</v>
          </cell>
          <cell r="Q11">
            <v>5333.3679892307682</v>
          </cell>
          <cell r="R11">
            <v>5333.3679892307682</v>
          </cell>
          <cell r="S11">
            <v>5333.3679892307682</v>
          </cell>
          <cell r="T11">
            <v>5333.3679892307682</v>
          </cell>
          <cell r="U11">
            <v>5333.3679892307682</v>
          </cell>
          <cell r="V11">
            <v>627.78421730769219</v>
          </cell>
          <cell r="W11">
            <v>627.78421730769219</v>
          </cell>
          <cell r="X11">
            <v>627.78421730769219</v>
          </cell>
          <cell r="Y11">
            <v>627.78421730769219</v>
          </cell>
          <cell r="Z11">
            <v>1977.6568548076925</v>
          </cell>
          <cell r="AA11">
            <v>1977.6568548076925</v>
          </cell>
          <cell r="AB11">
            <v>1977.6568548076925</v>
          </cell>
          <cell r="AC11">
            <v>1977.6568548076925</v>
          </cell>
          <cell r="AD11">
            <v>1058.8066563461537</v>
          </cell>
          <cell r="AE11">
            <v>1058.8066563461537</v>
          </cell>
          <cell r="AF11">
            <v>1058.8066563461537</v>
          </cell>
          <cell r="AG11">
            <v>1058.8066563461537</v>
          </cell>
          <cell r="AH11">
            <v>1058.8066563461537</v>
          </cell>
          <cell r="AI11">
            <v>1455.8591524759615</v>
          </cell>
          <cell r="AJ11">
            <v>1455.8591524759615</v>
          </cell>
          <cell r="AK11">
            <v>1455.8591524759615</v>
          </cell>
          <cell r="AL11">
            <v>1455.8591524759615</v>
          </cell>
          <cell r="AM11">
            <v>1455.8591524759615</v>
          </cell>
          <cell r="AN11">
            <v>1455.8591524759615</v>
          </cell>
          <cell r="AO11">
            <v>1455.8591524759615</v>
          </cell>
          <cell r="AP11">
            <v>1455.8591524759615</v>
          </cell>
          <cell r="AQ11">
            <v>14324.287018768267</v>
          </cell>
          <cell r="AR11">
            <v>14324.287018768267</v>
          </cell>
          <cell r="AS11">
            <v>14324.287018768267</v>
          </cell>
          <cell r="AT11">
            <v>14324.287018768267</v>
          </cell>
          <cell r="AU11">
            <v>14324.287018768267</v>
          </cell>
          <cell r="AV11">
            <v>1921.7340812682694</v>
          </cell>
          <cell r="AW11">
            <v>1921.7340812682694</v>
          </cell>
          <cell r="AX11">
            <v>1921.7340812682694</v>
          </cell>
          <cell r="AY11">
            <v>1921.7340812682694</v>
          </cell>
          <cell r="AZ11">
            <v>1921.7340812682694</v>
          </cell>
          <cell r="BA11">
            <v>1921.7340812682694</v>
          </cell>
          <cell r="BB11">
            <v>1921.7340812682694</v>
          </cell>
          <cell r="BC11">
            <v>1921.7340812682694</v>
          </cell>
          <cell r="BD11">
            <v>1537.3872650146154</v>
          </cell>
          <cell r="BE11">
            <v>1537.3872650146154</v>
          </cell>
          <cell r="BF11">
            <v>1537.3872650146154</v>
          </cell>
          <cell r="BG11">
            <v>1537.3872650146154</v>
          </cell>
          <cell r="BH11">
            <v>1537.3872650146154</v>
          </cell>
          <cell r="BI11">
            <v>2017.8207853316828</v>
          </cell>
          <cell r="BJ11">
            <v>2017.8207853316828</v>
          </cell>
          <cell r="BK11">
            <v>2017.8207853316828</v>
          </cell>
          <cell r="BL11">
            <v>2017.8207853316828</v>
          </cell>
          <cell r="BM11">
            <v>3026.7311779975244</v>
          </cell>
          <cell r="BN11">
            <v>3026.7311779975244</v>
          </cell>
          <cell r="BO11">
            <v>3026.7311779975244</v>
          </cell>
          <cell r="BP11">
            <v>3026.7311779975244</v>
          </cell>
          <cell r="BQ11">
            <v>168889.96265853124</v>
          </cell>
          <cell r="BR11">
            <v>0</v>
          </cell>
          <cell r="BS11">
            <v>21333.471956923073</v>
          </cell>
          <cell r="BT11">
            <v>21333.471956923073</v>
          </cell>
        </row>
        <row r="12">
          <cell r="C12">
            <v>9720</v>
          </cell>
          <cell r="D12">
            <v>4026</v>
          </cell>
          <cell r="E12">
            <v>12905</v>
          </cell>
          <cell r="F12">
            <v>481.61249999999995</v>
          </cell>
          <cell r="G12">
            <v>529.77375000000006</v>
          </cell>
          <cell r="H12">
            <v>529.77375000000006</v>
          </cell>
          <cell r="I12">
            <v>11454.7516875</v>
          </cell>
          <cell r="J12">
            <v>699.30135000000018</v>
          </cell>
          <cell r="K12">
            <v>699.30135000000018</v>
          </cell>
          <cell r="L12">
            <v>699.30135000000018</v>
          </cell>
          <cell r="M12">
            <v>734.26641750000022</v>
          </cell>
          <cell r="N12">
            <v>1101.3996262500002</v>
          </cell>
          <cell r="O12">
            <v>43580.481781250011</v>
          </cell>
          <cell r="P12">
            <v>0</v>
          </cell>
          <cell r="Q12">
            <v>1944</v>
          </cell>
          <cell r="R12">
            <v>1944</v>
          </cell>
          <cell r="S12">
            <v>1944</v>
          </cell>
          <cell r="T12">
            <v>1944</v>
          </cell>
          <cell r="U12">
            <v>1944</v>
          </cell>
          <cell r="V12">
            <v>1006.5</v>
          </cell>
          <cell r="W12">
            <v>1006.5</v>
          </cell>
          <cell r="X12">
            <v>1006.5</v>
          </cell>
          <cell r="Y12">
            <v>1006.5</v>
          </cell>
          <cell r="Z12">
            <v>3226.25</v>
          </cell>
          <cell r="AA12">
            <v>3226.25</v>
          </cell>
          <cell r="AB12">
            <v>3226.25</v>
          </cell>
          <cell r="AC12">
            <v>3226.25</v>
          </cell>
          <cell r="AD12">
            <v>96.322499999999991</v>
          </cell>
          <cell r="AE12">
            <v>96.322499999999991</v>
          </cell>
          <cell r="AF12">
            <v>96.322499999999991</v>
          </cell>
          <cell r="AG12">
            <v>96.322499999999991</v>
          </cell>
          <cell r="AH12">
            <v>96.322499999999991</v>
          </cell>
          <cell r="AI12">
            <v>132.44343750000002</v>
          </cell>
          <cell r="AJ12">
            <v>132.44343750000002</v>
          </cell>
          <cell r="AK12">
            <v>132.44343750000002</v>
          </cell>
          <cell r="AL12">
            <v>132.44343750000002</v>
          </cell>
          <cell r="AM12">
            <v>132.44343750000002</v>
          </cell>
          <cell r="AN12">
            <v>132.44343750000002</v>
          </cell>
          <cell r="AO12">
            <v>132.44343750000002</v>
          </cell>
          <cell r="AP12">
            <v>132.44343750000002</v>
          </cell>
          <cell r="AQ12">
            <v>2290.9503374999999</v>
          </cell>
          <cell r="AR12">
            <v>2290.9503374999999</v>
          </cell>
          <cell r="AS12">
            <v>2290.9503374999999</v>
          </cell>
          <cell r="AT12">
            <v>2290.9503374999999</v>
          </cell>
          <cell r="AU12">
            <v>2290.9503374999999</v>
          </cell>
          <cell r="AV12">
            <v>174.82533750000005</v>
          </cell>
          <cell r="AW12">
            <v>174.82533750000005</v>
          </cell>
          <cell r="AX12">
            <v>174.82533750000005</v>
          </cell>
          <cell r="AY12">
            <v>174.82533750000005</v>
          </cell>
          <cell r="AZ12">
            <v>174.82533750000005</v>
          </cell>
          <cell r="BA12">
            <v>174.82533750000005</v>
          </cell>
          <cell r="BB12">
            <v>174.82533750000005</v>
          </cell>
          <cell r="BC12">
            <v>174.82533750000005</v>
          </cell>
          <cell r="BD12">
            <v>139.86027000000004</v>
          </cell>
          <cell r="BE12">
            <v>139.86027000000004</v>
          </cell>
          <cell r="BF12">
            <v>139.86027000000004</v>
          </cell>
          <cell r="BG12">
            <v>139.86027000000004</v>
          </cell>
          <cell r="BH12">
            <v>139.86027000000004</v>
          </cell>
          <cell r="BI12">
            <v>183.56660437500005</v>
          </cell>
          <cell r="BJ12">
            <v>183.56660437500005</v>
          </cell>
          <cell r="BK12">
            <v>183.56660437500005</v>
          </cell>
          <cell r="BL12">
            <v>183.56660437500005</v>
          </cell>
          <cell r="BM12">
            <v>275.34990656250005</v>
          </cell>
          <cell r="BN12">
            <v>275.34990656250005</v>
          </cell>
          <cell r="BO12">
            <v>275.34990656250005</v>
          </cell>
          <cell r="BP12">
            <v>275.34990656250005</v>
          </cell>
          <cell r="BQ12">
            <v>43580.48178124996</v>
          </cell>
          <cell r="BR12">
            <v>0</v>
          </cell>
          <cell r="BS12">
            <v>7776</v>
          </cell>
          <cell r="BT12">
            <v>7776</v>
          </cell>
        </row>
        <row r="13">
          <cell r="B13" t="str">
            <v>Ireland Brand Other Ireland (via T&amp;R)</v>
          </cell>
          <cell r="C13">
            <v>162722.22994615382</v>
          </cell>
          <cell r="D13">
            <v>19758.58686923077</v>
          </cell>
          <cell r="E13">
            <v>50281.518669230769</v>
          </cell>
          <cell r="F13">
            <v>31408.36831730769</v>
          </cell>
          <cell r="G13">
            <v>75407.124149038456</v>
          </cell>
          <cell r="H13">
            <v>33749.384149038466</v>
          </cell>
          <cell r="I13">
            <v>272241.80634591344</v>
          </cell>
          <cell r="J13">
            <v>87678.554676730768</v>
          </cell>
          <cell r="K13">
            <v>42944.218876730774</v>
          </cell>
          <cell r="L13">
            <v>42944.218876730774</v>
          </cell>
          <cell r="M13">
            <v>44269.527309879821</v>
          </cell>
          <cell r="N13">
            <v>111742.23471481972</v>
          </cell>
          <cell r="O13">
            <v>975147.77290080546</v>
          </cell>
          <cell r="P13">
            <v>0</v>
          </cell>
          <cell r="Q13">
            <v>32544.445989230771</v>
          </cell>
          <cell r="R13">
            <v>32544.445989230771</v>
          </cell>
          <cell r="S13">
            <v>32544.445989230771</v>
          </cell>
          <cell r="T13">
            <v>32544.445989230771</v>
          </cell>
          <cell r="U13">
            <v>32544.445989230771</v>
          </cell>
          <cell r="V13">
            <v>4939.6467173076926</v>
          </cell>
          <cell r="W13">
            <v>4939.6467173076926</v>
          </cell>
          <cell r="X13">
            <v>4939.6467173076926</v>
          </cell>
          <cell r="Y13">
            <v>4939.6467173076926</v>
          </cell>
          <cell r="Z13">
            <v>12570.379667307692</v>
          </cell>
          <cell r="AA13">
            <v>12570.379667307692</v>
          </cell>
          <cell r="AB13">
            <v>12570.379667307692</v>
          </cell>
          <cell r="AC13">
            <v>12570.379667307692</v>
          </cell>
          <cell r="AD13">
            <v>6281.6736634615381</v>
          </cell>
          <cell r="AE13">
            <v>6281.6736634615381</v>
          </cell>
          <cell r="AF13">
            <v>6281.6736634615381</v>
          </cell>
          <cell r="AG13">
            <v>6281.6736634615381</v>
          </cell>
          <cell r="AH13">
            <v>6281.6736634615381</v>
          </cell>
          <cell r="AI13">
            <v>18851.781037259614</v>
          </cell>
          <cell r="AJ13">
            <v>18851.781037259614</v>
          </cell>
          <cell r="AK13">
            <v>18851.781037259614</v>
          </cell>
          <cell r="AL13">
            <v>18851.781037259614</v>
          </cell>
          <cell r="AM13">
            <v>8437.3460372596164</v>
          </cell>
          <cell r="AN13">
            <v>8437.3460372596164</v>
          </cell>
          <cell r="AO13">
            <v>8437.3460372596164</v>
          </cell>
          <cell r="AP13">
            <v>8437.3460372596164</v>
          </cell>
          <cell r="AQ13">
            <v>54448.361269182693</v>
          </cell>
          <cell r="AR13">
            <v>54448.361269182693</v>
          </cell>
          <cell r="AS13">
            <v>54448.361269182693</v>
          </cell>
          <cell r="AT13">
            <v>54448.361269182693</v>
          </cell>
          <cell r="AU13">
            <v>54448.361269182693</v>
          </cell>
          <cell r="AV13">
            <v>21919.638669182692</v>
          </cell>
          <cell r="AW13">
            <v>21919.638669182692</v>
          </cell>
          <cell r="AX13">
            <v>21919.638669182692</v>
          </cell>
          <cell r="AY13">
            <v>21919.638669182692</v>
          </cell>
          <cell r="AZ13">
            <v>10736.054719182694</v>
          </cell>
          <cell r="BA13">
            <v>10736.054719182694</v>
          </cell>
          <cell r="BB13">
            <v>10736.054719182694</v>
          </cell>
          <cell r="BC13">
            <v>10736.054719182694</v>
          </cell>
          <cell r="BD13">
            <v>8588.8437753461549</v>
          </cell>
          <cell r="BE13">
            <v>8588.8437753461549</v>
          </cell>
          <cell r="BF13">
            <v>8588.8437753461549</v>
          </cell>
          <cell r="BG13">
            <v>8588.8437753461549</v>
          </cell>
          <cell r="BH13">
            <v>8588.8437753461549</v>
          </cell>
          <cell r="BI13">
            <v>11067.381827469955</v>
          </cell>
          <cell r="BJ13">
            <v>11067.381827469955</v>
          </cell>
          <cell r="BK13">
            <v>11067.381827469955</v>
          </cell>
          <cell r="BL13">
            <v>11067.381827469955</v>
          </cell>
          <cell r="BM13">
            <v>27935.558678704929</v>
          </cell>
          <cell r="BN13">
            <v>27935.558678704929</v>
          </cell>
          <cell r="BO13">
            <v>27935.558678704929</v>
          </cell>
          <cell r="BP13">
            <v>27935.558678704929</v>
          </cell>
          <cell r="BQ13">
            <v>975147.77290080546</v>
          </cell>
          <cell r="BR13">
            <v>0</v>
          </cell>
          <cell r="BS13">
            <v>130177.78395692309</v>
          </cell>
          <cell r="BT13">
            <v>130177.78395692309</v>
          </cell>
        </row>
        <row r="14">
          <cell r="B14" t="str">
            <v>Ireland Brand Stonehouse</v>
          </cell>
          <cell r="C14">
            <v>87443.549999999988</v>
          </cell>
          <cell r="D14">
            <v>36.315000000000005</v>
          </cell>
          <cell r="E14">
            <v>9510.77</v>
          </cell>
          <cell r="F14">
            <v>19728.502499999999</v>
          </cell>
          <cell r="G14">
            <v>38201.053049999995</v>
          </cell>
          <cell r="H14">
            <v>372.92805000000004</v>
          </cell>
          <cell r="I14">
            <v>6818.5062825000005</v>
          </cell>
          <cell r="J14">
            <v>42103.202525999994</v>
          </cell>
          <cell r="K14">
            <v>492.26502600000003</v>
          </cell>
          <cell r="L14">
            <v>1750.390026</v>
          </cell>
          <cell r="M14">
            <v>516.87827730000015</v>
          </cell>
          <cell r="N14">
            <v>42386.254915949998</v>
          </cell>
          <cell r="O14">
            <v>249360.61565374999</v>
          </cell>
          <cell r="P14">
            <v>0</v>
          </cell>
          <cell r="Q14">
            <v>17488.71</v>
          </cell>
          <cell r="R14">
            <v>17488.71</v>
          </cell>
          <cell r="S14">
            <v>17488.71</v>
          </cell>
          <cell r="T14">
            <v>17488.71</v>
          </cell>
          <cell r="U14">
            <v>17488.71</v>
          </cell>
          <cell r="V14">
            <v>9.0787500000000012</v>
          </cell>
          <cell r="W14">
            <v>9.0787500000000012</v>
          </cell>
          <cell r="X14">
            <v>9.0787500000000012</v>
          </cell>
          <cell r="Y14">
            <v>9.0787500000000012</v>
          </cell>
          <cell r="Z14">
            <v>2377.6925000000001</v>
          </cell>
          <cell r="AA14">
            <v>2377.6925000000001</v>
          </cell>
          <cell r="AB14">
            <v>2377.6925000000001</v>
          </cell>
          <cell r="AC14">
            <v>2377.6925000000001</v>
          </cell>
          <cell r="AD14">
            <v>3945.7004999999999</v>
          </cell>
          <cell r="AE14">
            <v>3945.7004999999999</v>
          </cell>
          <cell r="AF14">
            <v>3945.7004999999999</v>
          </cell>
          <cell r="AG14">
            <v>3945.7004999999999</v>
          </cell>
          <cell r="AH14">
            <v>3945.7004999999999</v>
          </cell>
          <cell r="AI14">
            <v>9550.2632624999987</v>
          </cell>
          <cell r="AJ14">
            <v>9550.2632624999987</v>
          </cell>
          <cell r="AK14">
            <v>9550.2632624999987</v>
          </cell>
          <cell r="AL14">
            <v>9550.2632624999987</v>
          </cell>
          <cell r="AM14">
            <v>93.23201250000001</v>
          </cell>
          <cell r="AN14">
            <v>93.23201250000001</v>
          </cell>
          <cell r="AO14">
            <v>93.23201250000001</v>
          </cell>
          <cell r="AP14">
            <v>93.23201250000001</v>
          </cell>
          <cell r="AQ14">
            <v>1363.7012565</v>
          </cell>
          <cell r="AR14">
            <v>1363.7012565</v>
          </cell>
          <cell r="AS14">
            <v>1363.7012565</v>
          </cell>
          <cell r="AT14">
            <v>1363.7012565</v>
          </cell>
          <cell r="AU14">
            <v>1363.7012565</v>
          </cell>
          <cell r="AV14">
            <v>10525.800631499998</v>
          </cell>
          <cell r="AW14">
            <v>10525.800631499998</v>
          </cell>
          <cell r="AX14">
            <v>10525.800631499998</v>
          </cell>
          <cell r="AY14">
            <v>10525.800631499998</v>
          </cell>
          <cell r="AZ14">
            <v>123.06625650000001</v>
          </cell>
          <cell r="BA14">
            <v>123.06625650000001</v>
          </cell>
          <cell r="BB14">
            <v>123.06625650000001</v>
          </cell>
          <cell r="BC14">
            <v>123.06625650000001</v>
          </cell>
          <cell r="BD14">
            <v>350.07800520000001</v>
          </cell>
          <cell r="BE14">
            <v>350.07800520000001</v>
          </cell>
          <cell r="BF14">
            <v>350.07800520000001</v>
          </cell>
          <cell r="BG14">
            <v>350.07800520000001</v>
          </cell>
          <cell r="BH14">
            <v>350.07800520000001</v>
          </cell>
          <cell r="BI14">
            <v>129.21956932500004</v>
          </cell>
          <cell r="BJ14">
            <v>129.21956932500004</v>
          </cell>
          <cell r="BK14">
            <v>129.21956932500004</v>
          </cell>
          <cell r="BL14">
            <v>129.21956932500004</v>
          </cell>
          <cell r="BM14">
            <v>10596.563728987499</v>
          </cell>
          <cell r="BN14">
            <v>10596.563728987499</v>
          </cell>
          <cell r="BO14">
            <v>10596.563728987499</v>
          </cell>
          <cell r="BP14">
            <v>10596.563728987499</v>
          </cell>
          <cell r="BQ14">
            <v>249360.61565374999</v>
          </cell>
          <cell r="BR14">
            <v>0</v>
          </cell>
          <cell r="BS14">
            <v>69954.84</v>
          </cell>
          <cell r="BT14">
            <v>69954.84</v>
          </cell>
        </row>
        <row r="15">
          <cell r="B15" t="str">
            <v>Ireland Brand OOH Ireland (Direct)</v>
          </cell>
          <cell r="C15">
            <v>0</v>
          </cell>
          <cell r="D15">
            <v>10687.5</v>
          </cell>
          <cell r="E15">
            <v>0</v>
          </cell>
          <cell r="F15">
            <v>0</v>
          </cell>
          <cell r="G15">
            <v>10687.5</v>
          </cell>
          <cell r="H15">
            <v>0</v>
          </cell>
          <cell r="I15">
            <v>0</v>
          </cell>
          <cell r="J15">
            <v>11756.25</v>
          </cell>
          <cell r="K15">
            <v>0</v>
          </cell>
          <cell r="L15">
            <v>0</v>
          </cell>
          <cell r="M15">
            <v>0</v>
          </cell>
          <cell r="N15">
            <v>11756.25</v>
          </cell>
          <cell r="O15">
            <v>44887.5</v>
          </cell>
          <cell r="P15">
            <v>0</v>
          </cell>
          <cell r="Q15">
            <v>0</v>
          </cell>
          <cell r="R15">
            <v>0</v>
          </cell>
          <cell r="S15">
            <v>0</v>
          </cell>
          <cell r="T15">
            <v>0</v>
          </cell>
          <cell r="U15">
            <v>0</v>
          </cell>
          <cell r="V15">
            <v>2671.875</v>
          </cell>
          <cell r="W15">
            <v>2671.875</v>
          </cell>
          <cell r="X15">
            <v>2671.875</v>
          </cell>
          <cell r="Y15">
            <v>2671.875</v>
          </cell>
          <cell r="Z15">
            <v>0</v>
          </cell>
          <cell r="AA15">
            <v>0</v>
          </cell>
          <cell r="AB15">
            <v>0</v>
          </cell>
          <cell r="AC15">
            <v>0</v>
          </cell>
          <cell r="AD15">
            <v>0</v>
          </cell>
          <cell r="AE15">
            <v>0</v>
          </cell>
          <cell r="AF15">
            <v>0</v>
          </cell>
          <cell r="AG15">
            <v>0</v>
          </cell>
          <cell r="AH15">
            <v>0</v>
          </cell>
          <cell r="AI15">
            <v>2671.875</v>
          </cell>
          <cell r="AJ15">
            <v>2671.875</v>
          </cell>
          <cell r="AK15">
            <v>2671.875</v>
          </cell>
          <cell r="AL15">
            <v>2671.875</v>
          </cell>
          <cell r="AM15">
            <v>0</v>
          </cell>
          <cell r="AN15">
            <v>0</v>
          </cell>
          <cell r="AO15">
            <v>0</v>
          </cell>
          <cell r="AP15">
            <v>0</v>
          </cell>
          <cell r="AQ15">
            <v>0</v>
          </cell>
          <cell r="AR15">
            <v>0</v>
          </cell>
          <cell r="AS15">
            <v>0</v>
          </cell>
          <cell r="AT15">
            <v>0</v>
          </cell>
          <cell r="AU15">
            <v>0</v>
          </cell>
          <cell r="AV15">
            <v>2939.0625</v>
          </cell>
          <cell r="AW15">
            <v>2939.0625</v>
          </cell>
          <cell r="AX15">
            <v>2939.0625</v>
          </cell>
          <cell r="AY15">
            <v>2939.0625</v>
          </cell>
          <cell r="AZ15">
            <v>0</v>
          </cell>
          <cell r="BA15">
            <v>0</v>
          </cell>
          <cell r="BB15">
            <v>0</v>
          </cell>
          <cell r="BC15">
            <v>0</v>
          </cell>
          <cell r="BD15">
            <v>0</v>
          </cell>
          <cell r="BE15">
            <v>0</v>
          </cell>
          <cell r="BF15">
            <v>0</v>
          </cell>
          <cell r="BG15">
            <v>0</v>
          </cell>
          <cell r="BH15">
            <v>0</v>
          </cell>
          <cell r="BI15">
            <v>0</v>
          </cell>
          <cell r="BJ15">
            <v>0</v>
          </cell>
          <cell r="BK15">
            <v>0</v>
          </cell>
          <cell r="BL15">
            <v>0</v>
          </cell>
          <cell r="BM15">
            <v>2939.0625</v>
          </cell>
          <cell r="BN15">
            <v>2939.0625</v>
          </cell>
          <cell r="BO15">
            <v>2939.0625</v>
          </cell>
          <cell r="BP15">
            <v>2939.0625</v>
          </cell>
          <cell r="BQ15">
            <v>44887.5</v>
          </cell>
          <cell r="BR15">
            <v>0</v>
          </cell>
          <cell r="BS15">
            <v>0</v>
          </cell>
          <cell r="BT15">
            <v>0</v>
          </cell>
        </row>
        <row r="16">
          <cell r="B16">
            <v>0</v>
          </cell>
          <cell r="C16">
            <v>250165.77994615381</v>
          </cell>
          <cell r="D16">
            <v>30482.401869230765</v>
          </cell>
          <cell r="E16">
            <v>59792.288669230773</v>
          </cell>
          <cell r="F16">
            <v>51136.870817307688</v>
          </cell>
          <cell r="G16">
            <v>124295.67719903846</v>
          </cell>
          <cell r="H16">
            <v>34122.312199038461</v>
          </cell>
          <cell r="I16">
            <v>279060.31262841343</v>
          </cell>
          <cell r="J16">
            <v>141538.00720273078</v>
          </cell>
          <cell r="K16">
            <v>43436.483902730775</v>
          </cell>
          <cell r="L16">
            <v>44694.608902730775</v>
          </cell>
          <cell r="M16">
            <v>44786.405587179805</v>
          </cell>
          <cell r="N16">
            <v>165884.73963076973</v>
          </cell>
          <cell r="O16">
            <v>1269395.8885545551</v>
          </cell>
          <cell r="P16">
            <v>0</v>
          </cell>
          <cell r="Q16">
            <v>50033.155989230763</v>
          </cell>
          <cell r="R16">
            <v>50033.155989230763</v>
          </cell>
          <cell r="S16">
            <v>50033.155989230763</v>
          </cell>
          <cell r="T16">
            <v>50033.155989230763</v>
          </cell>
          <cell r="U16">
            <v>50033.155989230763</v>
          </cell>
          <cell r="V16">
            <v>7620.6004673076914</v>
          </cell>
          <cell r="W16">
            <v>7620.6004673076914</v>
          </cell>
          <cell r="X16">
            <v>7620.6004673076914</v>
          </cell>
          <cell r="Y16">
            <v>7620.6004673076914</v>
          </cell>
          <cell r="Z16">
            <v>14948.072167307693</v>
          </cell>
          <cell r="AA16">
            <v>14948.072167307693</v>
          </cell>
          <cell r="AB16">
            <v>14948.072167307693</v>
          </cell>
          <cell r="AC16">
            <v>14948.072167307693</v>
          </cell>
          <cell r="AD16">
            <v>10227.374163461538</v>
          </cell>
          <cell r="AE16">
            <v>10227.374163461538</v>
          </cell>
          <cell r="AF16">
            <v>10227.374163461538</v>
          </cell>
          <cell r="AG16">
            <v>10227.374163461538</v>
          </cell>
          <cell r="AH16">
            <v>10227.374163461538</v>
          </cell>
          <cell r="AI16">
            <v>31073.919299759615</v>
          </cell>
          <cell r="AJ16">
            <v>31073.919299759615</v>
          </cell>
          <cell r="AK16">
            <v>31073.919299759615</v>
          </cell>
          <cell r="AL16">
            <v>31073.919299759615</v>
          </cell>
          <cell r="AM16">
            <v>8530.5780497596152</v>
          </cell>
          <cell r="AN16">
            <v>8530.5780497596152</v>
          </cell>
          <cell r="AO16">
            <v>8530.5780497596152</v>
          </cell>
          <cell r="AP16">
            <v>8530.5780497596152</v>
          </cell>
          <cell r="AQ16">
            <v>55812.06252568269</v>
          </cell>
          <cell r="AR16">
            <v>55812.06252568269</v>
          </cell>
          <cell r="AS16">
            <v>55812.06252568269</v>
          </cell>
          <cell r="AT16">
            <v>55812.06252568269</v>
          </cell>
          <cell r="AU16">
            <v>55812.06252568269</v>
          </cell>
          <cell r="AV16">
            <v>35384.501800682694</v>
          </cell>
          <cell r="AW16">
            <v>35384.501800682694</v>
          </cell>
          <cell r="AX16">
            <v>35384.501800682694</v>
          </cell>
          <cell r="AY16">
            <v>35384.501800682694</v>
          </cell>
          <cell r="AZ16">
            <v>10859.120975682694</v>
          </cell>
          <cell r="BA16">
            <v>10859.120975682694</v>
          </cell>
          <cell r="BB16">
            <v>10859.120975682694</v>
          </cell>
          <cell r="BC16">
            <v>10859.120975682694</v>
          </cell>
          <cell r="BD16">
            <v>8938.9217805461558</v>
          </cell>
          <cell r="BE16">
            <v>8938.9217805461558</v>
          </cell>
          <cell r="BF16">
            <v>8938.9217805461558</v>
          </cell>
          <cell r="BG16">
            <v>8938.9217805461558</v>
          </cell>
          <cell r="BH16">
            <v>8938.9217805461558</v>
          </cell>
          <cell r="BI16">
            <v>11196.601396794951</v>
          </cell>
          <cell r="BJ16">
            <v>11196.601396794951</v>
          </cell>
          <cell r="BK16">
            <v>11196.601396794951</v>
          </cell>
          <cell r="BL16">
            <v>11196.601396794951</v>
          </cell>
          <cell r="BM16">
            <v>41471.184907692434</v>
          </cell>
          <cell r="BN16">
            <v>41471.184907692434</v>
          </cell>
          <cell r="BO16">
            <v>41471.184907692434</v>
          </cell>
          <cell r="BP16">
            <v>41471.184907692434</v>
          </cell>
          <cell r="BQ16">
            <v>1269395.8885545563</v>
          </cell>
          <cell r="BR16">
            <v>0</v>
          </cell>
          <cell r="BS16">
            <v>200132.62395692305</v>
          </cell>
          <cell r="BT16">
            <v>200132.62395692305</v>
          </cell>
        </row>
        <row r="17">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cell r="BG17">
            <v>0</v>
          </cell>
          <cell r="BH17">
            <v>0</v>
          </cell>
          <cell r="BI17">
            <v>0</v>
          </cell>
          <cell r="BJ17">
            <v>0</v>
          </cell>
          <cell r="BK17">
            <v>0</v>
          </cell>
          <cell r="BL17">
            <v>0</v>
          </cell>
          <cell r="BM17">
            <v>0</v>
          </cell>
          <cell r="BN17">
            <v>0</v>
          </cell>
          <cell r="BO17">
            <v>0</v>
          </cell>
          <cell r="BP17">
            <v>0</v>
          </cell>
          <cell r="BQ17">
            <v>0</v>
          </cell>
          <cell r="BR17">
            <v>0</v>
          </cell>
          <cell r="BS17">
            <v>0</v>
          </cell>
          <cell r="BT17">
            <v>0</v>
          </cell>
        </row>
        <row r="18">
          <cell r="B18" t="str">
            <v>Ireland Contract Manufacturing Project Go West</v>
          </cell>
          <cell r="C18">
            <v>0</v>
          </cell>
          <cell r="D18">
            <v>0</v>
          </cell>
          <cell r="E18">
            <v>0</v>
          </cell>
          <cell r="F18">
            <v>0</v>
          </cell>
          <cell r="G18">
            <v>0</v>
          </cell>
          <cell r="H18">
            <v>0</v>
          </cell>
          <cell r="I18">
            <v>18540</v>
          </cell>
          <cell r="J18">
            <v>37080</v>
          </cell>
          <cell r="K18">
            <v>37080</v>
          </cell>
          <cell r="L18">
            <v>37080</v>
          </cell>
          <cell r="M18">
            <v>37080</v>
          </cell>
          <cell r="N18">
            <v>37080</v>
          </cell>
          <cell r="O18">
            <v>203940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3708</v>
          </cell>
          <cell r="AR18">
            <v>3708</v>
          </cell>
          <cell r="AS18">
            <v>3708</v>
          </cell>
          <cell r="AT18">
            <v>3708</v>
          </cell>
          <cell r="AU18">
            <v>3708</v>
          </cell>
          <cell r="AV18">
            <v>9270</v>
          </cell>
          <cell r="AW18">
            <v>9270</v>
          </cell>
          <cell r="AX18">
            <v>9270</v>
          </cell>
          <cell r="AY18">
            <v>9270</v>
          </cell>
          <cell r="AZ18">
            <v>9270</v>
          </cell>
          <cell r="BA18">
            <v>9270</v>
          </cell>
          <cell r="BB18">
            <v>9270</v>
          </cell>
          <cell r="BC18">
            <v>9270</v>
          </cell>
          <cell r="BD18">
            <v>7416</v>
          </cell>
          <cell r="BE18">
            <v>7416</v>
          </cell>
          <cell r="BF18">
            <v>7416</v>
          </cell>
          <cell r="BG18">
            <v>7416</v>
          </cell>
          <cell r="BH18">
            <v>7416</v>
          </cell>
          <cell r="BI18">
            <v>9270</v>
          </cell>
          <cell r="BJ18">
            <v>9270</v>
          </cell>
          <cell r="BK18">
            <v>9270</v>
          </cell>
          <cell r="BL18">
            <v>9270</v>
          </cell>
          <cell r="BM18">
            <v>9270</v>
          </cell>
          <cell r="BN18">
            <v>9270</v>
          </cell>
          <cell r="BO18">
            <v>9270</v>
          </cell>
          <cell r="BP18">
            <v>9270</v>
          </cell>
          <cell r="BQ18">
            <v>203940</v>
          </cell>
          <cell r="BR18">
            <v>0</v>
          </cell>
          <cell r="BS18">
            <v>0</v>
          </cell>
          <cell r="BT18">
            <v>0</v>
          </cell>
        </row>
        <row r="19">
          <cell r="B19" t="str">
            <v>Ireland Contract Manufacturing Project M1</v>
          </cell>
          <cell r="C19">
            <v>0</v>
          </cell>
          <cell r="D19">
            <v>0</v>
          </cell>
          <cell r="E19">
            <v>39840</v>
          </cell>
          <cell r="F19">
            <v>100985</v>
          </cell>
          <cell r="G19">
            <v>100985</v>
          </cell>
          <cell r="H19">
            <v>100985</v>
          </cell>
          <cell r="I19">
            <v>100985</v>
          </cell>
          <cell r="J19">
            <v>100985</v>
          </cell>
          <cell r="K19">
            <v>100985</v>
          </cell>
          <cell r="L19">
            <v>100985</v>
          </cell>
          <cell r="M19">
            <v>100985</v>
          </cell>
          <cell r="N19">
            <v>100985</v>
          </cell>
          <cell r="O19">
            <v>948705</v>
          </cell>
          <cell r="P19">
            <v>0</v>
          </cell>
          <cell r="Q19">
            <v>0</v>
          </cell>
          <cell r="R19">
            <v>0</v>
          </cell>
          <cell r="S19">
            <v>0</v>
          </cell>
          <cell r="T19">
            <v>0</v>
          </cell>
          <cell r="U19">
            <v>0</v>
          </cell>
          <cell r="V19">
            <v>0</v>
          </cell>
          <cell r="W19">
            <v>0</v>
          </cell>
          <cell r="X19">
            <v>0</v>
          </cell>
          <cell r="Y19">
            <v>0</v>
          </cell>
          <cell r="Z19">
            <v>9960</v>
          </cell>
          <cell r="AA19">
            <v>9960</v>
          </cell>
          <cell r="AB19">
            <v>9960</v>
          </cell>
          <cell r="AC19">
            <v>9960</v>
          </cell>
          <cell r="AD19">
            <v>20197</v>
          </cell>
          <cell r="AE19">
            <v>20197</v>
          </cell>
          <cell r="AF19">
            <v>20197</v>
          </cell>
          <cell r="AG19">
            <v>20197</v>
          </cell>
          <cell r="AH19">
            <v>20197</v>
          </cell>
          <cell r="AI19">
            <v>25246.25</v>
          </cell>
          <cell r="AJ19">
            <v>25246.25</v>
          </cell>
          <cell r="AK19">
            <v>25246.25</v>
          </cell>
          <cell r="AL19">
            <v>25246.25</v>
          </cell>
          <cell r="AM19">
            <v>25246.25</v>
          </cell>
          <cell r="AN19">
            <v>25246.25</v>
          </cell>
          <cell r="AO19">
            <v>25246.25</v>
          </cell>
          <cell r="AP19">
            <v>25246.25</v>
          </cell>
          <cell r="AQ19">
            <v>20197</v>
          </cell>
          <cell r="AR19">
            <v>20197</v>
          </cell>
          <cell r="AS19">
            <v>20197</v>
          </cell>
          <cell r="AT19">
            <v>20197</v>
          </cell>
          <cell r="AU19">
            <v>20197</v>
          </cell>
          <cell r="AV19">
            <v>25246.25</v>
          </cell>
          <cell r="AW19">
            <v>25246.25</v>
          </cell>
          <cell r="AX19">
            <v>25246.25</v>
          </cell>
          <cell r="AY19">
            <v>25246.25</v>
          </cell>
          <cell r="AZ19">
            <v>25246.25</v>
          </cell>
          <cell r="BA19">
            <v>25246.25</v>
          </cell>
          <cell r="BB19">
            <v>25246.25</v>
          </cell>
          <cell r="BC19">
            <v>25246.25</v>
          </cell>
          <cell r="BD19">
            <v>20197</v>
          </cell>
          <cell r="BE19">
            <v>20197</v>
          </cell>
          <cell r="BF19">
            <v>20197</v>
          </cell>
          <cell r="BG19">
            <v>20197</v>
          </cell>
          <cell r="BH19">
            <v>20197</v>
          </cell>
          <cell r="BI19">
            <v>25246.25</v>
          </cell>
          <cell r="BJ19">
            <v>25246.25</v>
          </cell>
          <cell r="BK19">
            <v>25246.25</v>
          </cell>
          <cell r="BL19">
            <v>25246.25</v>
          </cell>
          <cell r="BM19">
            <v>25246.25</v>
          </cell>
          <cell r="BN19">
            <v>25246.25</v>
          </cell>
          <cell r="BO19">
            <v>25246.25</v>
          </cell>
          <cell r="BP19">
            <v>25246.25</v>
          </cell>
          <cell r="BQ19">
            <v>948705</v>
          </cell>
          <cell r="BR19">
            <v>0</v>
          </cell>
          <cell r="BS19">
            <v>0</v>
          </cell>
          <cell r="BT19">
            <v>0</v>
          </cell>
        </row>
        <row r="20">
          <cell r="B20" t="str">
            <v>Ireland Contract Manufacturing Coolmore Foods</v>
          </cell>
          <cell r="C20">
            <v>10700</v>
          </cell>
          <cell r="D20">
            <v>13375</v>
          </cell>
          <cell r="E20">
            <v>13375</v>
          </cell>
          <cell r="F20">
            <v>0</v>
          </cell>
          <cell r="G20">
            <v>0</v>
          </cell>
          <cell r="H20">
            <v>0</v>
          </cell>
          <cell r="I20">
            <v>0</v>
          </cell>
          <cell r="J20">
            <v>0</v>
          </cell>
          <cell r="K20">
            <v>0</v>
          </cell>
          <cell r="L20">
            <v>0</v>
          </cell>
          <cell r="M20">
            <v>0</v>
          </cell>
          <cell r="N20">
            <v>0</v>
          </cell>
          <cell r="O20">
            <v>37450</v>
          </cell>
          <cell r="P20">
            <v>0</v>
          </cell>
          <cell r="Q20">
            <v>2140</v>
          </cell>
          <cell r="R20">
            <v>2140</v>
          </cell>
          <cell r="S20">
            <v>2140</v>
          </cell>
          <cell r="T20">
            <v>2140</v>
          </cell>
          <cell r="U20">
            <v>2140</v>
          </cell>
          <cell r="V20">
            <v>3343.75</v>
          </cell>
          <cell r="W20">
            <v>3343.75</v>
          </cell>
          <cell r="X20">
            <v>3343.75</v>
          </cell>
          <cell r="Y20">
            <v>3343.75</v>
          </cell>
          <cell r="Z20">
            <v>3343.75</v>
          </cell>
          <cell r="AA20">
            <v>3343.75</v>
          </cell>
          <cell r="AB20">
            <v>3343.75</v>
          </cell>
          <cell r="AC20">
            <v>3343.75</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37450</v>
          </cell>
          <cell r="BR20">
            <v>0</v>
          </cell>
          <cell r="BS20">
            <v>8560</v>
          </cell>
          <cell r="BT20">
            <v>8560</v>
          </cell>
        </row>
        <row r="21">
          <cell r="B21" t="str">
            <v>Ireland Contract Manufacturing HandiSnak</v>
          </cell>
          <cell r="C21">
            <v>0</v>
          </cell>
          <cell r="D21">
            <v>5680</v>
          </cell>
          <cell r="E21">
            <v>0</v>
          </cell>
          <cell r="F21">
            <v>0</v>
          </cell>
          <cell r="G21">
            <v>0</v>
          </cell>
          <cell r="H21">
            <v>0</v>
          </cell>
          <cell r="I21">
            <v>0</v>
          </cell>
          <cell r="J21">
            <v>0</v>
          </cell>
          <cell r="K21">
            <v>0</v>
          </cell>
          <cell r="L21">
            <v>0</v>
          </cell>
          <cell r="M21">
            <v>0</v>
          </cell>
          <cell r="N21">
            <v>0</v>
          </cell>
          <cell r="O21">
            <v>5680</v>
          </cell>
          <cell r="P21">
            <v>0</v>
          </cell>
          <cell r="Q21">
            <v>0</v>
          </cell>
          <cell r="R21">
            <v>0</v>
          </cell>
          <cell r="S21">
            <v>0</v>
          </cell>
          <cell r="T21">
            <v>0</v>
          </cell>
          <cell r="U21">
            <v>0</v>
          </cell>
          <cell r="V21">
            <v>1420</v>
          </cell>
          <cell r="W21">
            <v>1420</v>
          </cell>
          <cell r="X21">
            <v>1420</v>
          </cell>
          <cell r="Y21">
            <v>1420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5680</v>
          </cell>
          <cell r="BR21">
            <v>0</v>
          </cell>
          <cell r="BS21">
            <v>0</v>
          </cell>
          <cell r="BT21">
            <v>0</v>
          </cell>
        </row>
        <row r="22">
          <cell r="B22" t="str">
            <v>Ireland Contract Manufacturing Rose Confectionery</v>
          </cell>
          <cell r="C22">
            <v>0</v>
          </cell>
          <cell r="D22">
            <v>17700</v>
          </cell>
          <cell r="E22">
            <v>17700</v>
          </cell>
          <cell r="F22">
            <v>0</v>
          </cell>
          <cell r="G22">
            <v>0</v>
          </cell>
          <cell r="H22">
            <v>0</v>
          </cell>
          <cell r="I22">
            <v>0</v>
          </cell>
          <cell r="J22">
            <v>0</v>
          </cell>
          <cell r="K22">
            <v>0</v>
          </cell>
          <cell r="L22">
            <v>0</v>
          </cell>
          <cell r="M22">
            <v>0</v>
          </cell>
          <cell r="N22">
            <v>0</v>
          </cell>
          <cell r="O22">
            <v>35400</v>
          </cell>
          <cell r="P22">
            <v>0</v>
          </cell>
          <cell r="Q22">
            <v>0</v>
          </cell>
          <cell r="R22">
            <v>0</v>
          </cell>
          <cell r="S22">
            <v>0</v>
          </cell>
          <cell r="T22">
            <v>0</v>
          </cell>
          <cell r="U22">
            <v>0</v>
          </cell>
          <cell r="V22">
            <v>4425</v>
          </cell>
          <cell r="W22">
            <v>4425</v>
          </cell>
          <cell r="X22">
            <v>4425</v>
          </cell>
          <cell r="Y22">
            <v>4425</v>
          </cell>
          <cell r="Z22">
            <v>4425</v>
          </cell>
          <cell r="AA22">
            <v>4425</v>
          </cell>
          <cell r="AB22">
            <v>4425</v>
          </cell>
          <cell r="AC22">
            <v>4425</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35400</v>
          </cell>
          <cell r="BR22">
            <v>0</v>
          </cell>
          <cell r="BS22">
            <v>0</v>
          </cell>
          <cell r="BT22">
            <v>0</v>
          </cell>
        </row>
        <row r="23">
          <cell r="B23">
            <v>0</v>
          </cell>
          <cell r="C23">
            <v>10700</v>
          </cell>
          <cell r="D23">
            <v>36755</v>
          </cell>
          <cell r="E23">
            <v>70915</v>
          </cell>
          <cell r="F23">
            <v>100985</v>
          </cell>
          <cell r="G23">
            <v>100985</v>
          </cell>
          <cell r="H23">
            <v>100985</v>
          </cell>
          <cell r="I23">
            <v>119525</v>
          </cell>
          <cell r="J23">
            <v>138065</v>
          </cell>
          <cell r="K23">
            <v>138065</v>
          </cell>
          <cell r="L23">
            <v>138065</v>
          </cell>
          <cell r="M23">
            <v>138065</v>
          </cell>
          <cell r="N23">
            <v>138065</v>
          </cell>
          <cell r="O23">
            <v>1231175</v>
          </cell>
          <cell r="P23">
            <v>0</v>
          </cell>
          <cell r="Q23">
            <v>2140</v>
          </cell>
          <cell r="R23">
            <v>2140</v>
          </cell>
          <cell r="S23">
            <v>2140</v>
          </cell>
          <cell r="T23">
            <v>2140</v>
          </cell>
          <cell r="U23">
            <v>2140</v>
          </cell>
          <cell r="V23">
            <v>9188.75</v>
          </cell>
          <cell r="W23">
            <v>9188.75</v>
          </cell>
          <cell r="X23">
            <v>9188.75</v>
          </cell>
          <cell r="Y23">
            <v>9188.75</v>
          </cell>
          <cell r="Z23">
            <v>17728.75</v>
          </cell>
          <cell r="AA23">
            <v>17728.75</v>
          </cell>
          <cell r="AB23">
            <v>17728.75</v>
          </cell>
          <cell r="AC23">
            <v>17728.75</v>
          </cell>
          <cell r="AD23">
            <v>20197</v>
          </cell>
          <cell r="AE23">
            <v>20197</v>
          </cell>
          <cell r="AF23">
            <v>20197</v>
          </cell>
          <cell r="AG23">
            <v>20197</v>
          </cell>
          <cell r="AH23">
            <v>20197</v>
          </cell>
          <cell r="AI23">
            <v>25246.25</v>
          </cell>
          <cell r="AJ23">
            <v>25246.25</v>
          </cell>
          <cell r="AK23">
            <v>25246.25</v>
          </cell>
          <cell r="AL23">
            <v>25246.25</v>
          </cell>
          <cell r="AM23">
            <v>25246.25</v>
          </cell>
          <cell r="AN23">
            <v>25246.25</v>
          </cell>
          <cell r="AO23">
            <v>25246.25</v>
          </cell>
          <cell r="AP23">
            <v>25246.25</v>
          </cell>
          <cell r="AQ23">
            <v>23905</v>
          </cell>
          <cell r="AR23">
            <v>23905</v>
          </cell>
          <cell r="AS23">
            <v>23905</v>
          </cell>
          <cell r="AT23">
            <v>23905</v>
          </cell>
          <cell r="AU23">
            <v>23905</v>
          </cell>
          <cell r="AV23">
            <v>34516.25</v>
          </cell>
          <cell r="AW23">
            <v>34516.25</v>
          </cell>
          <cell r="AX23">
            <v>34516.25</v>
          </cell>
          <cell r="AY23">
            <v>34516.25</v>
          </cell>
          <cell r="AZ23">
            <v>34516.25</v>
          </cell>
          <cell r="BA23">
            <v>34516.25</v>
          </cell>
          <cell r="BB23">
            <v>34516.25</v>
          </cell>
          <cell r="BC23">
            <v>34516.25</v>
          </cell>
          <cell r="BD23">
            <v>27613</v>
          </cell>
          <cell r="BE23">
            <v>27613</v>
          </cell>
          <cell r="BF23">
            <v>27613</v>
          </cell>
          <cell r="BG23">
            <v>27613</v>
          </cell>
          <cell r="BH23">
            <v>27613</v>
          </cell>
          <cell r="BI23">
            <v>34516.25</v>
          </cell>
          <cell r="BJ23">
            <v>34516.25</v>
          </cell>
          <cell r="BK23">
            <v>34516.25</v>
          </cell>
          <cell r="BL23">
            <v>34516.25</v>
          </cell>
          <cell r="BM23">
            <v>34516.25</v>
          </cell>
          <cell r="BN23">
            <v>34516.25</v>
          </cell>
          <cell r="BO23">
            <v>34516.25</v>
          </cell>
          <cell r="BP23">
            <v>34516.25</v>
          </cell>
          <cell r="BQ23">
            <v>1231175</v>
          </cell>
          <cell r="BR23">
            <v>0</v>
          </cell>
          <cell r="BS23">
            <v>8560</v>
          </cell>
          <cell r="BT23">
            <v>8560</v>
          </cell>
        </row>
        <row r="24">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v>0</v>
          </cell>
          <cell r="BT24">
            <v>0</v>
          </cell>
        </row>
        <row r="25">
          <cell r="B25" t="str">
            <v>Ireland Private Label Aldi Ireland</v>
          </cell>
          <cell r="C25">
            <v>52000</v>
          </cell>
          <cell r="D25">
            <v>52000</v>
          </cell>
          <cell r="E25">
            <v>52000</v>
          </cell>
          <cell r="F25">
            <v>52000</v>
          </cell>
          <cell r="G25">
            <v>82041.666666666657</v>
          </cell>
          <cell r="H25">
            <v>82041.666666666657</v>
          </cell>
          <cell r="I25">
            <v>82041.666666666657</v>
          </cell>
          <cell r="J25">
            <v>82041.666666666657</v>
          </cell>
          <cell r="K25">
            <v>82041.666666666657</v>
          </cell>
          <cell r="L25">
            <v>82041.666666666657</v>
          </cell>
          <cell r="M25">
            <v>82041.666666666657</v>
          </cell>
          <cell r="N25">
            <v>82041.666666666657</v>
          </cell>
          <cell r="O25">
            <v>864333.33333333302</v>
          </cell>
          <cell r="P25">
            <v>0</v>
          </cell>
          <cell r="Q25">
            <v>10400</v>
          </cell>
          <cell r="R25">
            <v>10400</v>
          </cell>
          <cell r="S25">
            <v>10400</v>
          </cell>
          <cell r="T25">
            <v>10400</v>
          </cell>
          <cell r="U25">
            <v>10400</v>
          </cell>
          <cell r="V25">
            <v>13000</v>
          </cell>
          <cell r="W25">
            <v>13000</v>
          </cell>
          <cell r="X25">
            <v>13000</v>
          </cell>
          <cell r="Y25">
            <v>13000</v>
          </cell>
          <cell r="Z25">
            <v>13000</v>
          </cell>
          <cell r="AA25">
            <v>13000</v>
          </cell>
          <cell r="AB25">
            <v>13000</v>
          </cell>
          <cell r="AC25">
            <v>13000</v>
          </cell>
          <cell r="AD25">
            <v>10400</v>
          </cell>
          <cell r="AE25">
            <v>10400</v>
          </cell>
          <cell r="AF25">
            <v>10400</v>
          </cell>
          <cell r="AG25">
            <v>10400</v>
          </cell>
          <cell r="AH25">
            <v>10400</v>
          </cell>
          <cell r="AI25">
            <v>20510.416666666664</v>
          </cell>
          <cell r="AJ25">
            <v>20510.416666666664</v>
          </cell>
          <cell r="AK25">
            <v>20510.416666666664</v>
          </cell>
          <cell r="AL25">
            <v>20510.416666666664</v>
          </cell>
          <cell r="AM25">
            <v>20510.416666666664</v>
          </cell>
          <cell r="AN25">
            <v>20510.416666666664</v>
          </cell>
          <cell r="AO25">
            <v>20510.416666666664</v>
          </cell>
          <cell r="AP25">
            <v>20510.416666666664</v>
          </cell>
          <cell r="AQ25">
            <v>16408.333333333332</v>
          </cell>
          <cell r="AR25">
            <v>16408.333333333332</v>
          </cell>
          <cell r="AS25">
            <v>16408.333333333332</v>
          </cell>
          <cell r="AT25">
            <v>16408.333333333332</v>
          </cell>
          <cell r="AU25">
            <v>16408.333333333332</v>
          </cell>
          <cell r="AV25">
            <v>20510.416666666664</v>
          </cell>
          <cell r="AW25">
            <v>20510.416666666664</v>
          </cell>
          <cell r="AX25">
            <v>20510.416666666664</v>
          </cell>
          <cell r="AY25">
            <v>20510.416666666664</v>
          </cell>
          <cell r="AZ25">
            <v>20510.416666666664</v>
          </cell>
          <cell r="BA25">
            <v>20510.416666666664</v>
          </cell>
          <cell r="BB25">
            <v>20510.416666666664</v>
          </cell>
          <cell r="BC25">
            <v>20510.416666666664</v>
          </cell>
          <cell r="BD25">
            <v>16408.333333333332</v>
          </cell>
          <cell r="BE25">
            <v>16408.333333333332</v>
          </cell>
          <cell r="BF25">
            <v>16408.333333333332</v>
          </cell>
          <cell r="BG25">
            <v>16408.333333333332</v>
          </cell>
          <cell r="BH25">
            <v>16408.333333333332</v>
          </cell>
          <cell r="BI25">
            <v>20510.416666666664</v>
          </cell>
          <cell r="BJ25">
            <v>20510.416666666664</v>
          </cell>
          <cell r="BK25">
            <v>20510.416666666664</v>
          </cell>
          <cell r="BL25">
            <v>20510.416666666664</v>
          </cell>
          <cell r="BM25">
            <v>20510.416666666664</v>
          </cell>
          <cell r="BN25">
            <v>20510.416666666664</v>
          </cell>
          <cell r="BO25">
            <v>20510.416666666664</v>
          </cell>
          <cell r="BP25">
            <v>20510.416666666664</v>
          </cell>
          <cell r="BQ25">
            <v>864333.33333333314</v>
          </cell>
          <cell r="BR25">
            <v>0</v>
          </cell>
          <cell r="BS25">
            <v>41600</v>
          </cell>
          <cell r="BT25">
            <v>41600</v>
          </cell>
        </row>
        <row r="26">
          <cell r="B26" t="str">
            <v>Ireland Private Label Musgraves</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0</v>
          </cell>
          <cell r="BS26">
            <v>0</v>
          </cell>
          <cell r="BT26">
            <v>0</v>
          </cell>
        </row>
        <row r="27">
          <cell r="B27" t="str">
            <v>Ireland Private Label Tesco Ireland</v>
          </cell>
          <cell r="C27">
            <v>0</v>
          </cell>
          <cell r="D27">
            <v>0</v>
          </cell>
          <cell r="E27">
            <v>0</v>
          </cell>
          <cell r="F27">
            <v>66712.550666666662</v>
          </cell>
          <cell r="G27">
            <v>66712.550666666662</v>
          </cell>
          <cell r="H27">
            <v>66712.550666666662</v>
          </cell>
          <cell r="I27">
            <v>109628.46886666666</v>
          </cell>
          <cell r="J27">
            <v>109628.46886666666</v>
          </cell>
          <cell r="K27">
            <v>109628.46886666666</v>
          </cell>
          <cell r="L27">
            <v>109628.46886666666</v>
          </cell>
          <cell r="M27">
            <v>109628.46886666666</v>
          </cell>
          <cell r="N27">
            <v>109628.46886666666</v>
          </cell>
          <cell r="O27">
            <v>857908.46519999998</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13342.510133333333</v>
          </cell>
          <cell r="AE27">
            <v>13342.510133333333</v>
          </cell>
          <cell r="AF27">
            <v>13342.510133333333</v>
          </cell>
          <cell r="AG27">
            <v>13342.510133333333</v>
          </cell>
          <cell r="AH27">
            <v>13342.510133333333</v>
          </cell>
          <cell r="AI27">
            <v>16678.137666666666</v>
          </cell>
          <cell r="AJ27">
            <v>16678.137666666666</v>
          </cell>
          <cell r="AK27">
            <v>16678.137666666666</v>
          </cell>
          <cell r="AL27">
            <v>16678.137666666666</v>
          </cell>
          <cell r="AM27">
            <v>16678.137666666666</v>
          </cell>
          <cell r="AN27">
            <v>16678.137666666666</v>
          </cell>
          <cell r="AO27">
            <v>16678.137666666666</v>
          </cell>
          <cell r="AP27">
            <v>16678.137666666666</v>
          </cell>
          <cell r="AQ27">
            <v>21925.693773333333</v>
          </cell>
          <cell r="AR27">
            <v>21925.693773333333</v>
          </cell>
          <cell r="AS27">
            <v>21925.693773333333</v>
          </cell>
          <cell r="AT27">
            <v>21925.693773333333</v>
          </cell>
          <cell r="AU27">
            <v>21925.693773333333</v>
          </cell>
          <cell r="AV27">
            <v>27407.117216666666</v>
          </cell>
          <cell r="AW27">
            <v>27407.117216666666</v>
          </cell>
          <cell r="AX27">
            <v>27407.117216666666</v>
          </cell>
          <cell r="AY27">
            <v>27407.117216666666</v>
          </cell>
          <cell r="AZ27">
            <v>27407.117216666666</v>
          </cell>
          <cell r="BA27">
            <v>27407.117216666666</v>
          </cell>
          <cell r="BB27">
            <v>27407.117216666666</v>
          </cell>
          <cell r="BC27">
            <v>27407.117216666666</v>
          </cell>
          <cell r="BD27">
            <v>21925.693773333333</v>
          </cell>
          <cell r="BE27">
            <v>21925.693773333333</v>
          </cell>
          <cell r="BF27">
            <v>21925.693773333333</v>
          </cell>
          <cell r="BG27">
            <v>21925.693773333333</v>
          </cell>
          <cell r="BH27">
            <v>21925.693773333333</v>
          </cell>
          <cell r="BI27">
            <v>27407.117216666666</v>
          </cell>
          <cell r="BJ27">
            <v>27407.117216666666</v>
          </cell>
          <cell r="BK27">
            <v>27407.117216666666</v>
          </cell>
          <cell r="BL27">
            <v>27407.117216666666</v>
          </cell>
          <cell r="BM27">
            <v>27407.117216666666</v>
          </cell>
          <cell r="BN27">
            <v>27407.117216666666</v>
          </cell>
          <cell r="BO27">
            <v>27407.117216666666</v>
          </cell>
          <cell r="BP27">
            <v>27407.117216666666</v>
          </cell>
          <cell r="BQ27">
            <v>857908.46520000044</v>
          </cell>
          <cell r="BR27">
            <v>0</v>
          </cell>
          <cell r="BS27">
            <v>0</v>
          </cell>
          <cell r="BT27">
            <v>0</v>
          </cell>
        </row>
        <row r="28">
          <cell r="B28">
            <v>0</v>
          </cell>
          <cell r="C28">
            <v>52000</v>
          </cell>
          <cell r="D28">
            <v>52000</v>
          </cell>
          <cell r="E28">
            <v>52000</v>
          </cell>
          <cell r="F28">
            <v>118712.55066666666</v>
          </cell>
          <cell r="G28">
            <v>148754.21733333333</v>
          </cell>
          <cell r="H28">
            <v>148754.21733333333</v>
          </cell>
          <cell r="I28">
            <v>191670.13553333332</v>
          </cell>
          <cell r="J28">
            <v>191670.13553333332</v>
          </cell>
          <cell r="K28">
            <v>191670.13553333332</v>
          </cell>
          <cell r="L28">
            <v>191670.13553333332</v>
          </cell>
          <cell r="M28">
            <v>191670.13553333332</v>
          </cell>
          <cell r="N28">
            <v>191670.13553333332</v>
          </cell>
          <cell r="O28">
            <v>1722241.798533333</v>
          </cell>
          <cell r="P28">
            <v>0</v>
          </cell>
          <cell r="Q28">
            <v>10400</v>
          </cell>
          <cell r="R28">
            <v>10400</v>
          </cell>
          <cell r="S28">
            <v>10400</v>
          </cell>
          <cell r="T28">
            <v>10400</v>
          </cell>
          <cell r="U28">
            <v>10400</v>
          </cell>
          <cell r="V28">
            <v>13000</v>
          </cell>
          <cell r="W28">
            <v>13000</v>
          </cell>
          <cell r="X28">
            <v>13000</v>
          </cell>
          <cell r="Y28">
            <v>13000</v>
          </cell>
          <cell r="Z28">
            <v>13000</v>
          </cell>
          <cell r="AA28">
            <v>13000</v>
          </cell>
          <cell r="AB28">
            <v>13000</v>
          </cell>
          <cell r="AC28">
            <v>13000</v>
          </cell>
          <cell r="AD28">
            <v>23742.510133333333</v>
          </cell>
          <cell r="AE28">
            <v>23742.510133333333</v>
          </cell>
          <cell r="AF28">
            <v>23742.510133333333</v>
          </cell>
          <cell r="AG28">
            <v>23742.510133333333</v>
          </cell>
          <cell r="AH28">
            <v>23742.510133333333</v>
          </cell>
          <cell r="AI28">
            <v>37188.554333333333</v>
          </cell>
          <cell r="AJ28">
            <v>37188.554333333333</v>
          </cell>
          <cell r="AK28">
            <v>37188.554333333333</v>
          </cell>
          <cell r="AL28">
            <v>37188.554333333333</v>
          </cell>
          <cell r="AM28">
            <v>37188.554333333333</v>
          </cell>
          <cell r="AN28">
            <v>37188.554333333333</v>
          </cell>
          <cell r="AO28">
            <v>37188.554333333333</v>
          </cell>
          <cell r="AP28">
            <v>37188.554333333333</v>
          </cell>
          <cell r="AQ28">
            <v>38334.027106666661</v>
          </cell>
          <cell r="AR28">
            <v>38334.027106666661</v>
          </cell>
          <cell r="AS28">
            <v>38334.027106666661</v>
          </cell>
          <cell r="AT28">
            <v>38334.027106666661</v>
          </cell>
          <cell r="AU28">
            <v>38334.027106666661</v>
          </cell>
          <cell r="AV28">
            <v>47917.53388333333</v>
          </cell>
          <cell r="AW28">
            <v>47917.53388333333</v>
          </cell>
          <cell r="AX28">
            <v>47917.53388333333</v>
          </cell>
          <cell r="AY28">
            <v>47917.53388333333</v>
          </cell>
          <cell r="AZ28">
            <v>47917.53388333333</v>
          </cell>
          <cell r="BA28">
            <v>47917.53388333333</v>
          </cell>
          <cell r="BB28">
            <v>47917.53388333333</v>
          </cell>
          <cell r="BC28">
            <v>47917.53388333333</v>
          </cell>
          <cell r="BD28">
            <v>38334.027106666661</v>
          </cell>
          <cell r="BE28">
            <v>38334.027106666661</v>
          </cell>
          <cell r="BF28">
            <v>38334.027106666661</v>
          </cell>
          <cell r="BG28">
            <v>38334.027106666661</v>
          </cell>
          <cell r="BH28">
            <v>38334.027106666661</v>
          </cell>
          <cell r="BI28">
            <v>47917.53388333333</v>
          </cell>
          <cell r="BJ28">
            <v>47917.53388333333</v>
          </cell>
          <cell r="BK28">
            <v>47917.53388333333</v>
          </cell>
          <cell r="BL28">
            <v>47917.53388333333</v>
          </cell>
          <cell r="BM28">
            <v>47917.53388333333</v>
          </cell>
          <cell r="BN28">
            <v>47917.53388333333</v>
          </cell>
          <cell r="BO28">
            <v>47917.53388333333</v>
          </cell>
          <cell r="BP28">
            <v>47917.53388333333</v>
          </cell>
          <cell r="BQ28">
            <v>1722241.7985333346</v>
          </cell>
          <cell r="BR28">
            <v>0</v>
          </cell>
          <cell r="BS28">
            <v>41600</v>
          </cell>
          <cell r="BT28">
            <v>41600</v>
          </cell>
        </row>
        <row r="29">
          <cell r="B29">
            <v>0</v>
          </cell>
          <cell r="C29">
            <v>312865.77994615381</v>
          </cell>
          <cell r="D29">
            <v>119237.40186923076</v>
          </cell>
          <cell r="E29">
            <v>182707.28866923077</v>
          </cell>
          <cell r="F29">
            <v>270834.42148397432</v>
          </cell>
          <cell r="G29">
            <v>374034.89453237172</v>
          </cell>
          <cell r="H29">
            <v>283861.52953237179</v>
          </cell>
          <cell r="I29">
            <v>590255.44816174672</v>
          </cell>
          <cell r="J29">
            <v>471273.14273606404</v>
          </cell>
          <cell r="K29">
            <v>373171.61943606409</v>
          </cell>
          <cell r="L29">
            <v>374429.74443606409</v>
          </cell>
          <cell r="M29">
            <v>374521.54112051311</v>
          </cell>
          <cell r="N29">
            <v>495619.875164103</v>
          </cell>
          <cell r="O29">
            <v>4222812.6870878879</v>
          </cell>
          <cell r="P29">
            <v>0</v>
          </cell>
          <cell r="Q29">
            <v>62573.155989230763</v>
          </cell>
          <cell r="R29">
            <v>62573.155989230763</v>
          </cell>
          <cell r="S29">
            <v>62573.155989230763</v>
          </cell>
          <cell r="T29">
            <v>62573.155989230763</v>
          </cell>
          <cell r="U29">
            <v>62573.155989230763</v>
          </cell>
          <cell r="V29">
            <v>29809.35046730769</v>
          </cell>
          <cell r="W29">
            <v>29809.35046730769</v>
          </cell>
          <cell r="X29">
            <v>29809.35046730769</v>
          </cell>
          <cell r="Y29">
            <v>29809.35046730769</v>
          </cell>
          <cell r="Z29">
            <v>45676.822167307691</v>
          </cell>
          <cell r="AA29">
            <v>45676.822167307691</v>
          </cell>
          <cell r="AB29">
            <v>45676.822167307691</v>
          </cell>
          <cell r="AC29">
            <v>45676.822167307691</v>
          </cell>
          <cell r="AD29">
            <v>54166.884296794866</v>
          </cell>
          <cell r="AE29">
            <v>54166.884296794866</v>
          </cell>
          <cell r="AF29">
            <v>54166.884296794866</v>
          </cell>
          <cell r="AG29">
            <v>54166.884296794866</v>
          </cell>
          <cell r="AH29">
            <v>54166.884296794866</v>
          </cell>
          <cell r="AI29">
            <v>93508.72363309293</v>
          </cell>
          <cell r="AJ29">
            <v>93508.72363309293</v>
          </cell>
          <cell r="AK29">
            <v>93508.72363309293</v>
          </cell>
          <cell r="AL29">
            <v>93508.72363309293</v>
          </cell>
          <cell r="AM29">
            <v>70965.382383092947</v>
          </cell>
          <cell r="AN29">
            <v>70965.382383092947</v>
          </cell>
          <cell r="AO29">
            <v>70965.382383092947</v>
          </cell>
          <cell r="AP29">
            <v>70965.382383092947</v>
          </cell>
          <cell r="AQ29">
            <v>118051.08963234935</v>
          </cell>
          <cell r="AR29">
            <v>118051.08963234935</v>
          </cell>
          <cell r="AS29">
            <v>118051.08963234935</v>
          </cell>
          <cell r="AT29">
            <v>118051.08963234935</v>
          </cell>
          <cell r="AU29">
            <v>118051.08963234935</v>
          </cell>
          <cell r="AV29">
            <v>117818.28568401601</v>
          </cell>
          <cell r="AW29">
            <v>117818.28568401601</v>
          </cell>
          <cell r="AX29">
            <v>117818.28568401601</v>
          </cell>
          <cell r="AY29">
            <v>117818.28568401601</v>
          </cell>
          <cell r="AZ29">
            <v>93292.904859016024</v>
          </cell>
          <cell r="BA29">
            <v>93292.904859016024</v>
          </cell>
          <cell r="BB29">
            <v>93292.904859016024</v>
          </cell>
          <cell r="BC29">
            <v>93292.904859016024</v>
          </cell>
          <cell r="BD29">
            <v>74885.948887212813</v>
          </cell>
          <cell r="BE29">
            <v>74885.948887212813</v>
          </cell>
          <cell r="BF29">
            <v>74885.948887212813</v>
          </cell>
          <cell r="BG29">
            <v>74885.948887212813</v>
          </cell>
          <cell r="BH29">
            <v>74885.948887212813</v>
          </cell>
          <cell r="BI29">
            <v>93630.385280128277</v>
          </cell>
          <cell r="BJ29">
            <v>93630.385280128277</v>
          </cell>
          <cell r="BK29">
            <v>93630.385280128277</v>
          </cell>
          <cell r="BL29">
            <v>93630.385280128277</v>
          </cell>
          <cell r="BM29">
            <v>123904.96879102575</v>
          </cell>
          <cell r="BN29">
            <v>123904.96879102575</v>
          </cell>
          <cell r="BO29">
            <v>123904.96879102575</v>
          </cell>
          <cell r="BP29">
            <v>123904.96879102575</v>
          </cell>
          <cell r="BQ29">
            <v>4222812.6870878879</v>
          </cell>
          <cell r="BR29">
            <v>0</v>
          </cell>
          <cell r="BS29">
            <v>250292.62395692305</v>
          </cell>
          <cell r="BT29">
            <v>250292.62395692305</v>
          </cell>
        </row>
        <row r="30">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Q30">
            <v>0</v>
          </cell>
          <cell r="BR30">
            <v>0</v>
          </cell>
          <cell r="BS30">
            <v>0</v>
          </cell>
          <cell r="BT30">
            <v>0</v>
          </cell>
        </row>
        <row r="31">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0</v>
          </cell>
          <cell r="BS31">
            <v>0</v>
          </cell>
          <cell r="BT31">
            <v>0</v>
          </cell>
        </row>
        <row r="32">
          <cell r="B32" t="str">
            <v>ROW  USA Direct</v>
          </cell>
          <cell r="C32">
            <v>0</v>
          </cell>
          <cell r="D32">
            <v>0</v>
          </cell>
          <cell r="E32">
            <v>0</v>
          </cell>
          <cell r="F32">
            <v>12892.411340996168</v>
          </cell>
          <cell r="G32">
            <v>12892.411340996168</v>
          </cell>
          <cell r="H32">
            <v>12892.411340996168</v>
          </cell>
          <cell r="I32">
            <v>13537.031908045978</v>
          </cell>
          <cell r="J32">
            <v>13537.031908045978</v>
          </cell>
          <cell r="K32">
            <v>13537.031908045978</v>
          </cell>
          <cell r="L32">
            <v>13537.031908045978</v>
          </cell>
          <cell r="M32">
            <v>13537.031908045978</v>
          </cell>
          <cell r="N32">
            <v>13537.031908045978</v>
          </cell>
          <cell r="O32">
            <v>119899.42547126435</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2578.4822681992337</v>
          </cell>
          <cell r="AE32">
            <v>2578.4822681992337</v>
          </cell>
          <cell r="AF32">
            <v>2578.4822681992337</v>
          </cell>
          <cell r="AG32">
            <v>2578.4822681992337</v>
          </cell>
          <cell r="AH32">
            <v>2578.4822681992337</v>
          </cell>
          <cell r="AI32">
            <v>3223.1028352490421</v>
          </cell>
          <cell r="AJ32">
            <v>3223.1028352490421</v>
          </cell>
          <cell r="AK32">
            <v>3223.1028352490421</v>
          </cell>
          <cell r="AL32">
            <v>3223.1028352490421</v>
          </cell>
          <cell r="AM32">
            <v>3223.1028352490421</v>
          </cell>
          <cell r="AN32">
            <v>3223.1028352490421</v>
          </cell>
          <cell r="AO32">
            <v>3223.1028352490421</v>
          </cell>
          <cell r="AP32">
            <v>3223.1028352490421</v>
          </cell>
          <cell r="AQ32">
            <v>2707.4063816091957</v>
          </cell>
          <cell r="AR32">
            <v>2707.4063816091957</v>
          </cell>
          <cell r="AS32">
            <v>2707.4063816091957</v>
          </cell>
          <cell r="AT32">
            <v>2707.4063816091957</v>
          </cell>
          <cell r="AU32">
            <v>2707.4063816091957</v>
          </cell>
          <cell r="AV32">
            <v>3384.2579770114944</v>
          </cell>
          <cell r="AW32">
            <v>3384.2579770114944</v>
          </cell>
          <cell r="AX32">
            <v>3384.2579770114944</v>
          </cell>
          <cell r="AY32">
            <v>3384.2579770114944</v>
          </cell>
          <cell r="AZ32">
            <v>3384.2579770114944</v>
          </cell>
          <cell r="BA32">
            <v>3384.2579770114944</v>
          </cell>
          <cell r="BB32">
            <v>3384.2579770114944</v>
          </cell>
          <cell r="BC32">
            <v>3384.2579770114944</v>
          </cell>
          <cell r="BD32">
            <v>2707.4063816091957</v>
          </cell>
          <cell r="BE32">
            <v>2707.4063816091957</v>
          </cell>
          <cell r="BF32">
            <v>2707.4063816091957</v>
          </cell>
          <cell r="BG32">
            <v>2707.4063816091957</v>
          </cell>
          <cell r="BH32">
            <v>2707.4063816091957</v>
          </cell>
          <cell r="BI32">
            <v>3384.2579770114944</v>
          </cell>
          <cell r="BJ32">
            <v>3384.2579770114944</v>
          </cell>
          <cell r="BK32">
            <v>3384.2579770114944</v>
          </cell>
          <cell r="BL32">
            <v>3384.2579770114944</v>
          </cell>
          <cell r="BM32">
            <v>3384.2579770114944</v>
          </cell>
          <cell r="BN32">
            <v>3384.2579770114944</v>
          </cell>
          <cell r="BO32">
            <v>3384.2579770114944</v>
          </cell>
          <cell r="BP32">
            <v>3384.2579770114944</v>
          </cell>
          <cell r="BQ32">
            <v>119899.4254712644</v>
          </cell>
          <cell r="BR32">
            <v>0</v>
          </cell>
          <cell r="BS32">
            <v>0</v>
          </cell>
          <cell r="BT32">
            <v>0</v>
          </cell>
        </row>
        <row r="33">
          <cell r="B33" t="str">
            <v>ROW Brand Tudor Rose</v>
          </cell>
          <cell r="C33">
            <v>33330.199999999997</v>
          </cell>
          <cell r="D33">
            <v>66660.399999999994</v>
          </cell>
          <cell r="E33">
            <v>83325.5</v>
          </cell>
          <cell r="F33">
            <v>33330.199999999997</v>
          </cell>
          <cell r="G33">
            <v>33330.199999999997</v>
          </cell>
          <cell r="H33">
            <v>33330.199999999997</v>
          </cell>
          <cell r="I33">
            <v>34996.71</v>
          </cell>
          <cell r="J33">
            <v>34996.71</v>
          </cell>
          <cell r="K33">
            <v>34996.71</v>
          </cell>
          <cell r="L33">
            <v>34996.71</v>
          </cell>
          <cell r="M33">
            <v>34996.71</v>
          </cell>
          <cell r="N33">
            <v>34996.71</v>
          </cell>
          <cell r="O33">
            <v>493286.96000000014</v>
          </cell>
          <cell r="P33">
            <v>0</v>
          </cell>
          <cell r="Q33">
            <v>6666.0399999999991</v>
          </cell>
          <cell r="R33">
            <v>6666.0399999999991</v>
          </cell>
          <cell r="S33">
            <v>6666.0399999999991</v>
          </cell>
          <cell r="T33">
            <v>6666.0399999999991</v>
          </cell>
          <cell r="U33">
            <v>6666.0399999999991</v>
          </cell>
          <cell r="V33">
            <v>16665.099999999999</v>
          </cell>
          <cell r="W33">
            <v>16665.099999999999</v>
          </cell>
          <cell r="X33">
            <v>16665.099999999999</v>
          </cell>
          <cell r="Y33">
            <v>16665.099999999999</v>
          </cell>
          <cell r="Z33">
            <v>20831.375</v>
          </cell>
          <cell r="AA33">
            <v>20831.375</v>
          </cell>
          <cell r="AB33">
            <v>20831.375</v>
          </cell>
          <cell r="AC33">
            <v>20831.375</v>
          </cell>
          <cell r="AD33">
            <v>6666.0399999999991</v>
          </cell>
          <cell r="AE33">
            <v>6666.0399999999991</v>
          </cell>
          <cell r="AF33">
            <v>6666.0399999999991</v>
          </cell>
          <cell r="AG33">
            <v>6666.0399999999991</v>
          </cell>
          <cell r="AH33">
            <v>6666.0399999999991</v>
          </cell>
          <cell r="AI33">
            <v>8332.5499999999993</v>
          </cell>
          <cell r="AJ33">
            <v>8332.5499999999993</v>
          </cell>
          <cell r="AK33">
            <v>8332.5499999999993</v>
          </cell>
          <cell r="AL33">
            <v>8332.5499999999993</v>
          </cell>
          <cell r="AM33">
            <v>8332.5499999999993</v>
          </cell>
          <cell r="AN33">
            <v>8332.5499999999993</v>
          </cell>
          <cell r="AO33">
            <v>8332.5499999999993</v>
          </cell>
          <cell r="AP33">
            <v>8332.5499999999993</v>
          </cell>
          <cell r="AQ33">
            <v>6999.3419999999996</v>
          </cell>
          <cell r="AR33">
            <v>6999.3419999999996</v>
          </cell>
          <cell r="AS33">
            <v>6999.3419999999996</v>
          </cell>
          <cell r="AT33">
            <v>6999.3419999999996</v>
          </cell>
          <cell r="AU33">
            <v>6999.3419999999996</v>
          </cell>
          <cell r="AV33">
            <v>8749.1774999999998</v>
          </cell>
          <cell r="AW33">
            <v>8749.1774999999998</v>
          </cell>
          <cell r="AX33">
            <v>8749.1774999999998</v>
          </cell>
          <cell r="AY33">
            <v>8749.1774999999998</v>
          </cell>
          <cell r="AZ33">
            <v>8749.1774999999998</v>
          </cell>
          <cell r="BA33">
            <v>8749.1774999999998</v>
          </cell>
          <cell r="BB33">
            <v>8749.1774999999998</v>
          </cell>
          <cell r="BC33">
            <v>8749.1774999999998</v>
          </cell>
          <cell r="BD33">
            <v>6999.3419999999996</v>
          </cell>
          <cell r="BE33">
            <v>6999.3419999999996</v>
          </cell>
          <cell r="BF33">
            <v>6999.3419999999996</v>
          </cell>
          <cell r="BG33">
            <v>6999.3419999999996</v>
          </cell>
          <cell r="BH33">
            <v>6999.3419999999996</v>
          </cell>
          <cell r="BI33">
            <v>8749.1774999999998</v>
          </cell>
          <cell r="BJ33">
            <v>8749.1774999999998</v>
          </cell>
          <cell r="BK33">
            <v>8749.1774999999998</v>
          </cell>
          <cell r="BL33">
            <v>8749.1774999999998</v>
          </cell>
          <cell r="BM33">
            <v>8749.1774999999998</v>
          </cell>
          <cell r="BN33">
            <v>8749.1774999999998</v>
          </cell>
          <cell r="BO33">
            <v>8749.1774999999998</v>
          </cell>
          <cell r="BP33">
            <v>8749.1774999999998</v>
          </cell>
          <cell r="BQ33">
            <v>493286.95999999985</v>
          </cell>
          <cell r="BR33">
            <v>0</v>
          </cell>
          <cell r="BS33">
            <v>26664.159999999996</v>
          </cell>
          <cell r="BT33">
            <v>26664.159999999996</v>
          </cell>
        </row>
        <row r="34">
          <cell r="B34">
            <v>0</v>
          </cell>
          <cell r="C34">
            <v>33330.199999999997</v>
          </cell>
          <cell r="D34">
            <v>66660.399999999994</v>
          </cell>
          <cell r="E34">
            <v>83325.5</v>
          </cell>
          <cell r="F34">
            <v>46222.611340996169</v>
          </cell>
          <cell r="G34">
            <v>46222.611340996169</v>
          </cell>
          <cell r="H34">
            <v>46222.611340996169</v>
          </cell>
          <cell r="I34">
            <v>48533.74190804598</v>
          </cell>
          <cell r="J34">
            <v>48533.74190804598</v>
          </cell>
          <cell r="K34">
            <v>48533.74190804598</v>
          </cell>
          <cell r="L34">
            <v>48533.74190804598</v>
          </cell>
          <cell r="M34">
            <v>48533.74190804598</v>
          </cell>
          <cell r="N34">
            <v>48533.74190804598</v>
          </cell>
          <cell r="O34">
            <v>613186.38547126448</v>
          </cell>
          <cell r="P34">
            <v>0</v>
          </cell>
          <cell r="Q34">
            <v>6666.0399999999991</v>
          </cell>
          <cell r="R34">
            <v>6666.0399999999991</v>
          </cell>
          <cell r="S34">
            <v>6666.0399999999991</v>
          </cell>
          <cell r="T34">
            <v>6666.0399999999991</v>
          </cell>
          <cell r="U34">
            <v>6666.0399999999991</v>
          </cell>
          <cell r="V34">
            <v>16665.099999999999</v>
          </cell>
          <cell r="W34">
            <v>16665.099999999999</v>
          </cell>
          <cell r="X34">
            <v>16665.099999999999</v>
          </cell>
          <cell r="Y34">
            <v>16665.099999999999</v>
          </cell>
          <cell r="Z34">
            <v>20831.375</v>
          </cell>
          <cell r="AA34">
            <v>20831.375</v>
          </cell>
          <cell r="AB34">
            <v>20831.375</v>
          </cell>
          <cell r="AC34">
            <v>20831.375</v>
          </cell>
          <cell r="AD34">
            <v>9244.5222681992345</v>
          </cell>
          <cell r="AE34">
            <v>9244.5222681992345</v>
          </cell>
          <cell r="AF34">
            <v>9244.5222681992345</v>
          </cell>
          <cell r="AG34">
            <v>9244.5222681992345</v>
          </cell>
          <cell r="AH34">
            <v>9244.5222681992345</v>
          </cell>
          <cell r="AI34">
            <v>11555.652835249042</v>
          </cell>
          <cell r="AJ34">
            <v>11555.652835249042</v>
          </cell>
          <cell r="AK34">
            <v>11555.652835249042</v>
          </cell>
          <cell r="AL34">
            <v>11555.652835249042</v>
          </cell>
          <cell r="AM34">
            <v>11555.652835249042</v>
          </cell>
          <cell r="AN34">
            <v>11555.652835249042</v>
          </cell>
          <cell r="AO34">
            <v>11555.652835249042</v>
          </cell>
          <cell r="AP34">
            <v>11555.652835249042</v>
          </cell>
          <cell r="AQ34">
            <v>9706.7483816091953</v>
          </cell>
          <cell r="AR34">
            <v>9706.7483816091953</v>
          </cell>
          <cell r="AS34">
            <v>9706.7483816091953</v>
          </cell>
          <cell r="AT34">
            <v>9706.7483816091953</v>
          </cell>
          <cell r="AU34">
            <v>9706.7483816091953</v>
          </cell>
          <cell r="AV34">
            <v>12133.435477011495</v>
          </cell>
          <cell r="AW34">
            <v>12133.435477011495</v>
          </cell>
          <cell r="AX34">
            <v>12133.435477011495</v>
          </cell>
          <cell r="AY34">
            <v>12133.435477011495</v>
          </cell>
          <cell r="AZ34">
            <v>12133.435477011495</v>
          </cell>
          <cell r="BA34">
            <v>12133.435477011495</v>
          </cell>
          <cell r="BB34">
            <v>12133.435477011495</v>
          </cell>
          <cell r="BC34">
            <v>12133.435477011495</v>
          </cell>
          <cell r="BD34">
            <v>9706.7483816091953</v>
          </cell>
          <cell r="BE34">
            <v>9706.7483816091953</v>
          </cell>
          <cell r="BF34">
            <v>9706.7483816091953</v>
          </cell>
          <cell r="BG34">
            <v>9706.7483816091953</v>
          </cell>
          <cell r="BH34">
            <v>9706.7483816091953</v>
          </cell>
          <cell r="BI34">
            <v>12133.435477011495</v>
          </cell>
          <cell r="BJ34">
            <v>12133.435477011495</v>
          </cell>
          <cell r="BK34">
            <v>12133.435477011495</v>
          </cell>
          <cell r="BL34">
            <v>12133.435477011495</v>
          </cell>
          <cell r="BM34">
            <v>12133.435477011495</v>
          </cell>
          <cell r="BN34">
            <v>12133.435477011495</v>
          </cell>
          <cell r="BO34">
            <v>12133.435477011495</v>
          </cell>
          <cell r="BP34">
            <v>12133.435477011495</v>
          </cell>
          <cell r="BQ34">
            <v>613186.38547126448</v>
          </cell>
          <cell r="BR34">
            <v>0</v>
          </cell>
          <cell r="BS34">
            <v>26664.159999999996</v>
          </cell>
          <cell r="BT34">
            <v>26664.159999999996</v>
          </cell>
        </row>
        <row r="35">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Q35">
            <v>0</v>
          </cell>
          <cell r="BR35">
            <v>0</v>
          </cell>
          <cell r="BS35">
            <v>0</v>
          </cell>
          <cell r="BT35">
            <v>0</v>
          </cell>
        </row>
        <row r="36">
          <cell r="B36" t="str">
            <v>ROW Private Label Auchan</v>
          </cell>
          <cell r="C36">
            <v>0</v>
          </cell>
          <cell r="D36">
            <v>0</v>
          </cell>
          <cell r="E36">
            <v>0</v>
          </cell>
          <cell r="F36">
            <v>0</v>
          </cell>
          <cell r="G36">
            <v>0</v>
          </cell>
          <cell r="H36">
            <v>0</v>
          </cell>
          <cell r="I36">
            <v>0</v>
          </cell>
          <cell r="J36">
            <v>235827.08333333331</v>
          </cell>
          <cell r="K36">
            <v>235827.08333333331</v>
          </cell>
          <cell r="L36">
            <v>235827.08333333331</v>
          </cell>
          <cell r="M36">
            <v>235827.08333333331</v>
          </cell>
          <cell r="N36">
            <v>235827.08333333331</v>
          </cell>
          <cell r="O36">
            <v>1179135.4166666665</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58956.770833333328</v>
          </cell>
          <cell r="AW36">
            <v>58956.770833333328</v>
          </cell>
          <cell r="AX36">
            <v>58956.770833333328</v>
          </cell>
          <cell r="AY36">
            <v>58956.770833333328</v>
          </cell>
          <cell r="AZ36">
            <v>58956.770833333328</v>
          </cell>
          <cell r="BA36">
            <v>58956.770833333328</v>
          </cell>
          <cell r="BB36">
            <v>58956.770833333328</v>
          </cell>
          <cell r="BC36">
            <v>58956.770833333328</v>
          </cell>
          <cell r="BD36">
            <v>47165.416666666664</v>
          </cell>
          <cell r="BE36">
            <v>47165.416666666664</v>
          </cell>
          <cell r="BF36">
            <v>47165.416666666664</v>
          </cell>
          <cell r="BG36">
            <v>47165.416666666664</v>
          </cell>
          <cell r="BH36">
            <v>47165.416666666664</v>
          </cell>
          <cell r="BI36">
            <v>58956.770833333328</v>
          </cell>
          <cell r="BJ36">
            <v>58956.770833333328</v>
          </cell>
          <cell r="BK36">
            <v>58956.770833333328</v>
          </cell>
          <cell r="BL36">
            <v>58956.770833333328</v>
          </cell>
          <cell r="BM36">
            <v>58956.770833333328</v>
          </cell>
          <cell r="BN36">
            <v>58956.770833333328</v>
          </cell>
          <cell r="BO36">
            <v>58956.770833333328</v>
          </cell>
          <cell r="BP36">
            <v>58956.770833333328</v>
          </cell>
          <cell r="BQ36">
            <v>1179135.4166666665</v>
          </cell>
          <cell r="BR36">
            <v>0</v>
          </cell>
          <cell r="BS36">
            <v>0</v>
          </cell>
          <cell r="BT36">
            <v>0</v>
          </cell>
        </row>
        <row r="37">
          <cell r="B37">
            <v>0</v>
          </cell>
          <cell r="C37">
            <v>0</v>
          </cell>
          <cell r="D37">
            <v>0</v>
          </cell>
          <cell r="E37">
            <v>0</v>
          </cell>
          <cell r="F37">
            <v>0</v>
          </cell>
          <cell r="G37">
            <v>0</v>
          </cell>
          <cell r="H37">
            <v>0</v>
          </cell>
          <cell r="I37">
            <v>0</v>
          </cell>
          <cell r="J37">
            <v>235827.08333333331</v>
          </cell>
          <cell r="K37">
            <v>235827.08333333331</v>
          </cell>
          <cell r="L37">
            <v>235827.08333333331</v>
          </cell>
          <cell r="M37">
            <v>235827.08333333331</v>
          </cell>
          <cell r="N37">
            <v>235827.08333333331</v>
          </cell>
          <cell r="O37">
            <v>1179135.4166666665</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58956.770833333328</v>
          </cell>
          <cell r="AW37">
            <v>58956.770833333328</v>
          </cell>
          <cell r="AX37">
            <v>58956.770833333328</v>
          </cell>
          <cell r="AY37">
            <v>58956.770833333328</v>
          </cell>
          <cell r="AZ37">
            <v>58956.770833333328</v>
          </cell>
          <cell r="BA37">
            <v>58956.770833333328</v>
          </cell>
          <cell r="BB37">
            <v>58956.770833333328</v>
          </cell>
          <cell r="BC37">
            <v>58956.770833333328</v>
          </cell>
          <cell r="BD37">
            <v>47165.416666666664</v>
          </cell>
          <cell r="BE37">
            <v>47165.416666666664</v>
          </cell>
          <cell r="BF37">
            <v>47165.416666666664</v>
          </cell>
          <cell r="BG37">
            <v>47165.416666666664</v>
          </cell>
          <cell r="BH37">
            <v>47165.416666666664</v>
          </cell>
          <cell r="BI37">
            <v>58956.770833333328</v>
          </cell>
          <cell r="BJ37">
            <v>58956.770833333328</v>
          </cell>
          <cell r="BK37">
            <v>58956.770833333328</v>
          </cell>
          <cell r="BL37">
            <v>58956.770833333328</v>
          </cell>
          <cell r="BM37">
            <v>58956.770833333328</v>
          </cell>
          <cell r="BN37">
            <v>58956.770833333328</v>
          </cell>
          <cell r="BO37">
            <v>58956.770833333328</v>
          </cell>
          <cell r="BP37">
            <v>58956.770833333328</v>
          </cell>
          <cell r="BQ37">
            <v>1179135.4166666665</v>
          </cell>
          <cell r="BR37">
            <v>0</v>
          </cell>
          <cell r="BS37">
            <v>0</v>
          </cell>
          <cell r="BT37">
            <v>0</v>
          </cell>
        </row>
        <row r="38">
          <cell r="B38">
            <v>0</v>
          </cell>
          <cell r="C38">
            <v>33330.199999999997</v>
          </cell>
          <cell r="D38">
            <v>66660.399999999994</v>
          </cell>
          <cell r="E38">
            <v>83325.5</v>
          </cell>
          <cell r="F38">
            <v>46222.611340996169</v>
          </cell>
          <cell r="G38">
            <v>46222.611340996169</v>
          </cell>
          <cell r="H38">
            <v>46222.611340996169</v>
          </cell>
          <cell r="I38">
            <v>48533.74190804598</v>
          </cell>
          <cell r="J38">
            <v>284360.82524137932</v>
          </cell>
          <cell r="K38">
            <v>284360.82524137932</v>
          </cell>
          <cell r="L38">
            <v>284360.82524137932</v>
          </cell>
          <cell r="M38">
            <v>284360.82524137932</v>
          </cell>
          <cell r="N38">
            <v>284360.82524137932</v>
          </cell>
          <cell r="O38">
            <v>1792321.8021379309</v>
          </cell>
          <cell r="P38">
            <v>0</v>
          </cell>
          <cell r="Q38">
            <v>6666.0399999999991</v>
          </cell>
          <cell r="R38">
            <v>6666.0399999999991</v>
          </cell>
          <cell r="S38">
            <v>6666.0399999999991</v>
          </cell>
          <cell r="T38">
            <v>6666.0399999999991</v>
          </cell>
          <cell r="U38">
            <v>6666.0399999999991</v>
          </cell>
          <cell r="V38">
            <v>16665.099999999999</v>
          </cell>
          <cell r="W38">
            <v>16665.099999999999</v>
          </cell>
          <cell r="X38">
            <v>16665.099999999999</v>
          </cell>
          <cell r="Y38">
            <v>16665.099999999999</v>
          </cell>
          <cell r="Z38">
            <v>20831.375</v>
          </cell>
          <cell r="AA38">
            <v>20831.375</v>
          </cell>
          <cell r="AB38">
            <v>20831.375</v>
          </cell>
          <cell r="AC38">
            <v>20831.375</v>
          </cell>
          <cell r="AD38">
            <v>9244.5222681992345</v>
          </cell>
          <cell r="AE38">
            <v>9244.5222681992345</v>
          </cell>
          <cell r="AF38">
            <v>9244.5222681992345</v>
          </cell>
          <cell r="AG38">
            <v>9244.5222681992345</v>
          </cell>
          <cell r="AH38">
            <v>9244.5222681992345</v>
          </cell>
          <cell r="AI38">
            <v>11555.652835249042</v>
          </cell>
          <cell r="AJ38">
            <v>11555.652835249042</v>
          </cell>
          <cell r="AK38">
            <v>11555.652835249042</v>
          </cell>
          <cell r="AL38">
            <v>11555.652835249042</v>
          </cell>
          <cell r="AM38">
            <v>11555.652835249042</v>
          </cell>
          <cell r="AN38">
            <v>11555.652835249042</v>
          </cell>
          <cell r="AO38">
            <v>11555.652835249042</v>
          </cell>
          <cell r="AP38">
            <v>11555.652835249042</v>
          </cell>
          <cell r="AQ38">
            <v>9706.7483816091953</v>
          </cell>
          <cell r="AR38">
            <v>9706.7483816091953</v>
          </cell>
          <cell r="AS38">
            <v>9706.7483816091953</v>
          </cell>
          <cell r="AT38">
            <v>9706.7483816091953</v>
          </cell>
          <cell r="AU38">
            <v>9706.7483816091953</v>
          </cell>
          <cell r="AV38">
            <v>71090.206310344831</v>
          </cell>
          <cell r="AW38">
            <v>71090.206310344831</v>
          </cell>
          <cell r="AX38">
            <v>71090.206310344831</v>
          </cell>
          <cell r="AY38">
            <v>71090.206310344831</v>
          </cell>
          <cell r="AZ38">
            <v>71090.206310344831</v>
          </cell>
          <cell r="BA38">
            <v>71090.206310344831</v>
          </cell>
          <cell r="BB38">
            <v>71090.206310344831</v>
          </cell>
          <cell r="BC38">
            <v>71090.206310344831</v>
          </cell>
          <cell r="BD38">
            <v>56872.165048275863</v>
          </cell>
          <cell r="BE38">
            <v>56872.165048275863</v>
          </cell>
          <cell r="BF38">
            <v>56872.165048275863</v>
          </cell>
          <cell r="BG38">
            <v>56872.165048275863</v>
          </cell>
          <cell r="BH38">
            <v>56872.165048275863</v>
          </cell>
          <cell r="BI38">
            <v>71090.206310344831</v>
          </cell>
          <cell r="BJ38">
            <v>71090.206310344831</v>
          </cell>
          <cell r="BK38">
            <v>71090.206310344831</v>
          </cell>
          <cell r="BL38">
            <v>71090.206310344831</v>
          </cell>
          <cell r="BM38">
            <v>71090.206310344831</v>
          </cell>
          <cell r="BN38">
            <v>71090.206310344831</v>
          </cell>
          <cell r="BO38">
            <v>71090.206310344831</v>
          </cell>
          <cell r="BP38">
            <v>71090.206310344831</v>
          </cell>
          <cell r="BQ38">
            <v>1792321.8021379316</v>
          </cell>
          <cell r="BR38">
            <v>0</v>
          </cell>
          <cell r="BS38">
            <v>26664.159999999996</v>
          </cell>
          <cell r="BT38">
            <v>26664.159999999996</v>
          </cell>
        </row>
        <row r="39">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0</v>
          </cell>
          <cell r="BS39">
            <v>0</v>
          </cell>
          <cell r="BT39">
            <v>0</v>
          </cell>
        </row>
        <row r="40">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cell r="BL40">
            <v>0</v>
          </cell>
          <cell r="BM40">
            <v>0</v>
          </cell>
          <cell r="BN40">
            <v>0</v>
          </cell>
          <cell r="BO40">
            <v>0</v>
          </cell>
          <cell r="BP40">
            <v>0</v>
          </cell>
          <cell r="BQ40">
            <v>0</v>
          </cell>
          <cell r="BR40">
            <v>0</v>
          </cell>
          <cell r="BS40">
            <v>0</v>
          </cell>
          <cell r="BT40">
            <v>0</v>
          </cell>
        </row>
        <row r="41">
          <cell r="B41" t="str">
            <v>UK Brand Fordham</v>
          </cell>
          <cell r="C41">
            <v>0</v>
          </cell>
          <cell r="D41">
            <v>0</v>
          </cell>
          <cell r="E41">
            <v>0</v>
          </cell>
          <cell r="F41">
            <v>20810</v>
          </cell>
          <cell r="G41">
            <v>20810</v>
          </cell>
          <cell r="H41">
            <v>20810</v>
          </cell>
          <cell r="I41">
            <v>21850.5</v>
          </cell>
          <cell r="J41">
            <v>21850.5</v>
          </cell>
          <cell r="K41">
            <v>21850.5</v>
          </cell>
          <cell r="L41">
            <v>21850.5</v>
          </cell>
          <cell r="M41">
            <v>21850.5</v>
          </cell>
          <cell r="N41">
            <v>21850.5</v>
          </cell>
          <cell r="O41">
            <v>193533</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4162</v>
          </cell>
          <cell r="AE41">
            <v>4162</v>
          </cell>
          <cell r="AF41">
            <v>4162</v>
          </cell>
          <cell r="AG41">
            <v>4162</v>
          </cell>
          <cell r="AH41">
            <v>4162</v>
          </cell>
          <cell r="AI41">
            <v>5202.5</v>
          </cell>
          <cell r="AJ41">
            <v>5202.5</v>
          </cell>
          <cell r="AK41">
            <v>5202.5</v>
          </cell>
          <cell r="AL41">
            <v>5202.5</v>
          </cell>
          <cell r="AM41">
            <v>5202.5</v>
          </cell>
          <cell r="AN41">
            <v>5202.5</v>
          </cell>
          <cell r="AO41">
            <v>5202.5</v>
          </cell>
          <cell r="AP41">
            <v>5202.5</v>
          </cell>
          <cell r="AQ41">
            <v>4370.1000000000004</v>
          </cell>
          <cell r="AR41">
            <v>4370.1000000000004</v>
          </cell>
          <cell r="AS41">
            <v>4370.1000000000004</v>
          </cell>
          <cell r="AT41">
            <v>4370.1000000000004</v>
          </cell>
          <cell r="AU41">
            <v>4370.1000000000004</v>
          </cell>
          <cell r="AV41">
            <v>5462.625</v>
          </cell>
          <cell r="AW41">
            <v>5462.625</v>
          </cell>
          <cell r="AX41">
            <v>5462.625</v>
          </cell>
          <cell r="AY41">
            <v>5462.625</v>
          </cell>
          <cell r="AZ41">
            <v>5462.625</v>
          </cell>
          <cell r="BA41">
            <v>5462.625</v>
          </cell>
          <cell r="BB41">
            <v>5462.625</v>
          </cell>
          <cell r="BC41">
            <v>5462.625</v>
          </cell>
          <cell r="BD41">
            <v>4370.1000000000004</v>
          </cell>
          <cell r="BE41">
            <v>4370.1000000000004</v>
          </cell>
          <cell r="BF41">
            <v>4370.1000000000004</v>
          </cell>
          <cell r="BG41">
            <v>4370.1000000000004</v>
          </cell>
          <cell r="BH41">
            <v>4370.1000000000004</v>
          </cell>
          <cell r="BI41">
            <v>5462.625</v>
          </cell>
          <cell r="BJ41">
            <v>5462.625</v>
          </cell>
          <cell r="BK41">
            <v>5462.625</v>
          </cell>
          <cell r="BL41">
            <v>5462.625</v>
          </cell>
          <cell r="BM41">
            <v>5462.625</v>
          </cell>
          <cell r="BN41">
            <v>5462.625</v>
          </cell>
          <cell r="BO41">
            <v>5462.625</v>
          </cell>
          <cell r="BP41">
            <v>5462.625</v>
          </cell>
          <cell r="BQ41">
            <v>193533.00000000006</v>
          </cell>
          <cell r="BR41">
            <v>0</v>
          </cell>
          <cell r="BS41">
            <v>0</v>
          </cell>
          <cell r="BT41">
            <v>0</v>
          </cell>
        </row>
        <row r="42">
          <cell r="B42" t="str">
            <v>UK Brand Other UK</v>
          </cell>
          <cell r="C42">
            <v>0</v>
          </cell>
          <cell r="D42">
            <v>0</v>
          </cell>
          <cell r="E42">
            <v>160000</v>
          </cell>
          <cell r="F42">
            <v>0</v>
          </cell>
          <cell r="G42">
            <v>0</v>
          </cell>
          <cell r="H42">
            <v>0</v>
          </cell>
          <cell r="I42">
            <v>0</v>
          </cell>
          <cell r="J42">
            <v>0</v>
          </cell>
          <cell r="K42">
            <v>0</v>
          </cell>
          <cell r="L42">
            <v>0</v>
          </cell>
          <cell r="M42">
            <v>0</v>
          </cell>
          <cell r="N42">
            <v>0</v>
          </cell>
          <cell r="O42">
            <v>160000</v>
          </cell>
          <cell r="P42">
            <v>0</v>
          </cell>
          <cell r="Q42">
            <v>0</v>
          </cell>
          <cell r="R42">
            <v>0</v>
          </cell>
          <cell r="S42">
            <v>0</v>
          </cell>
          <cell r="T42">
            <v>0</v>
          </cell>
          <cell r="U42">
            <v>0</v>
          </cell>
          <cell r="V42">
            <v>0</v>
          </cell>
          <cell r="W42">
            <v>0</v>
          </cell>
          <cell r="X42">
            <v>0</v>
          </cell>
          <cell r="Y42">
            <v>0</v>
          </cell>
          <cell r="Z42">
            <v>40000</v>
          </cell>
          <cell r="AA42">
            <v>40000</v>
          </cell>
          <cell r="AB42">
            <v>40000</v>
          </cell>
          <cell r="AC42">
            <v>40000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0</v>
          </cell>
          <cell r="BF42">
            <v>0</v>
          </cell>
          <cell r="BG42">
            <v>0</v>
          </cell>
          <cell r="BH42">
            <v>0</v>
          </cell>
          <cell r="BI42">
            <v>0</v>
          </cell>
          <cell r="BJ42">
            <v>0</v>
          </cell>
          <cell r="BK42">
            <v>0</v>
          </cell>
          <cell r="BL42">
            <v>0</v>
          </cell>
          <cell r="BM42">
            <v>0</v>
          </cell>
          <cell r="BN42">
            <v>0</v>
          </cell>
          <cell r="BO42">
            <v>0</v>
          </cell>
          <cell r="BP42">
            <v>0</v>
          </cell>
          <cell r="BQ42">
            <v>160000</v>
          </cell>
          <cell r="BR42">
            <v>0</v>
          </cell>
          <cell r="BS42">
            <v>0</v>
          </cell>
          <cell r="BT42">
            <v>0</v>
          </cell>
        </row>
        <row r="43">
          <cell r="B43">
            <v>0</v>
          </cell>
          <cell r="C43">
            <v>0</v>
          </cell>
          <cell r="D43">
            <v>0</v>
          </cell>
          <cell r="E43">
            <v>160000</v>
          </cell>
          <cell r="F43">
            <v>20810</v>
          </cell>
          <cell r="G43">
            <v>20810</v>
          </cell>
          <cell r="H43">
            <v>20810</v>
          </cell>
          <cell r="I43">
            <v>21850.5</v>
          </cell>
          <cell r="J43">
            <v>21850.5</v>
          </cell>
          <cell r="K43">
            <v>21850.5</v>
          </cell>
          <cell r="L43">
            <v>21850.5</v>
          </cell>
          <cell r="M43">
            <v>21850.5</v>
          </cell>
          <cell r="N43">
            <v>21850.5</v>
          </cell>
          <cell r="O43">
            <v>353533</v>
          </cell>
          <cell r="P43">
            <v>0</v>
          </cell>
          <cell r="Q43">
            <v>0</v>
          </cell>
          <cell r="R43">
            <v>0</v>
          </cell>
          <cell r="S43">
            <v>0</v>
          </cell>
          <cell r="T43">
            <v>0</v>
          </cell>
          <cell r="U43">
            <v>0</v>
          </cell>
          <cell r="V43">
            <v>0</v>
          </cell>
          <cell r="W43">
            <v>0</v>
          </cell>
          <cell r="X43">
            <v>0</v>
          </cell>
          <cell r="Y43">
            <v>0</v>
          </cell>
          <cell r="Z43">
            <v>40000</v>
          </cell>
          <cell r="AA43">
            <v>40000</v>
          </cell>
          <cell r="AB43">
            <v>40000</v>
          </cell>
          <cell r="AC43">
            <v>40000</v>
          </cell>
          <cell r="AD43">
            <v>4162</v>
          </cell>
          <cell r="AE43">
            <v>4162</v>
          </cell>
          <cell r="AF43">
            <v>4162</v>
          </cell>
          <cell r="AG43">
            <v>4162</v>
          </cell>
          <cell r="AH43">
            <v>4162</v>
          </cell>
          <cell r="AI43">
            <v>5202.5</v>
          </cell>
          <cell r="AJ43">
            <v>5202.5</v>
          </cell>
          <cell r="AK43">
            <v>5202.5</v>
          </cell>
          <cell r="AL43">
            <v>5202.5</v>
          </cell>
          <cell r="AM43">
            <v>5202.5</v>
          </cell>
          <cell r="AN43">
            <v>5202.5</v>
          </cell>
          <cell r="AO43">
            <v>5202.5</v>
          </cell>
          <cell r="AP43">
            <v>5202.5</v>
          </cell>
          <cell r="AQ43">
            <v>4370.1000000000004</v>
          </cell>
          <cell r="AR43">
            <v>4370.1000000000004</v>
          </cell>
          <cell r="AS43">
            <v>4370.1000000000004</v>
          </cell>
          <cell r="AT43">
            <v>4370.1000000000004</v>
          </cell>
          <cell r="AU43">
            <v>4370.1000000000004</v>
          </cell>
          <cell r="AV43">
            <v>5462.625</v>
          </cell>
          <cell r="AW43">
            <v>5462.625</v>
          </cell>
          <cell r="AX43">
            <v>5462.625</v>
          </cell>
          <cell r="AY43">
            <v>5462.625</v>
          </cell>
          <cell r="AZ43">
            <v>5462.625</v>
          </cell>
          <cell r="BA43">
            <v>5462.625</v>
          </cell>
          <cell r="BB43">
            <v>5462.625</v>
          </cell>
          <cell r="BC43">
            <v>5462.625</v>
          </cell>
          <cell r="BD43">
            <v>4370.1000000000004</v>
          </cell>
          <cell r="BE43">
            <v>4370.1000000000004</v>
          </cell>
          <cell r="BF43">
            <v>4370.1000000000004</v>
          </cell>
          <cell r="BG43">
            <v>4370.1000000000004</v>
          </cell>
          <cell r="BH43">
            <v>4370.1000000000004</v>
          </cell>
          <cell r="BI43">
            <v>5462.625</v>
          </cell>
          <cell r="BJ43">
            <v>5462.625</v>
          </cell>
          <cell r="BK43">
            <v>5462.625</v>
          </cell>
          <cell r="BL43">
            <v>5462.625</v>
          </cell>
          <cell r="BM43">
            <v>5462.625</v>
          </cell>
          <cell r="BN43">
            <v>5462.625</v>
          </cell>
          <cell r="BO43">
            <v>5462.625</v>
          </cell>
          <cell r="BP43">
            <v>5462.625</v>
          </cell>
          <cell r="BQ43">
            <v>353532.99999999988</v>
          </cell>
          <cell r="BR43">
            <v>0</v>
          </cell>
          <cell r="BS43">
            <v>0</v>
          </cell>
          <cell r="BT43">
            <v>0</v>
          </cell>
        </row>
        <row r="44">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0</v>
          </cell>
          <cell r="BI44">
            <v>0</v>
          </cell>
          <cell r="BJ44">
            <v>0</v>
          </cell>
          <cell r="BK44">
            <v>0</v>
          </cell>
          <cell r="BL44">
            <v>0</v>
          </cell>
          <cell r="BM44">
            <v>0</v>
          </cell>
          <cell r="BN44">
            <v>0</v>
          </cell>
          <cell r="BO44">
            <v>0</v>
          </cell>
          <cell r="BP44">
            <v>0</v>
          </cell>
          <cell r="BQ44">
            <v>0</v>
          </cell>
          <cell r="BR44">
            <v>0</v>
          </cell>
          <cell r="BS44">
            <v>0</v>
          </cell>
          <cell r="BT44">
            <v>0</v>
          </cell>
        </row>
        <row r="45">
          <cell r="B45" t="str">
            <v>UK Contract Manufacturing Project Bill</v>
          </cell>
          <cell r="C45">
            <v>17230.909090909092</v>
          </cell>
          <cell r="D45">
            <v>34461.818181818184</v>
          </cell>
          <cell r="E45">
            <v>34461.818181818184</v>
          </cell>
          <cell r="F45">
            <v>21538.636363636364</v>
          </cell>
          <cell r="G45">
            <v>21538.636363636364</v>
          </cell>
          <cell r="H45">
            <v>21538.636363636364</v>
          </cell>
          <cell r="I45">
            <v>21538.636363636364</v>
          </cell>
          <cell r="J45">
            <v>21538.636363636364</v>
          </cell>
          <cell r="K45">
            <v>21538.636363636364</v>
          </cell>
          <cell r="L45">
            <v>21538.636363636364</v>
          </cell>
          <cell r="M45">
            <v>21538.636363636364</v>
          </cell>
          <cell r="N45">
            <v>21538.636363636364</v>
          </cell>
          <cell r="O45">
            <v>280002.27272727271</v>
          </cell>
          <cell r="P45">
            <v>0</v>
          </cell>
          <cell r="Q45">
            <v>3446.1818181818185</v>
          </cell>
          <cell r="R45">
            <v>3446.1818181818185</v>
          </cell>
          <cell r="S45">
            <v>3446.1818181818185</v>
          </cell>
          <cell r="T45">
            <v>3446.1818181818185</v>
          </cell>
          <cell r="U45">
            <v>3446.1818181818185</v>
          </cell>
          <cell r="V45">
            <v>8615.454545454546</v>
          </cell>
          <cell r="W45">
            <v>8615.454545454546</v>
          </cell>
          <cell r="X45">
            <v>8615.454545454546</v>
          </cell>
          <cell r="Y45">
            <v>8615.454545454546</v>
          </cell>
          <cell r="Z45">
            <v>8615.454545454546</v>
          </cell>
          <cell r="AA45">
            <v>8615.454545454546</v>
          </cell>
          <cell r="AB45">
            <v>8615.454545454546</v>
          </cell>
          <cell r="AC45">
            <v>8615.454545454546</v>
          </cell>
          <cell r="AD45">
            <v>4307.727272727273</v>
          </cell>
          <cell r="AE45">
            <v>4307.727272727273</v>
          </cell>
          <cell r="AF45">
            <v>4307.727272727273</v>
          </cell>
          <cell r="AG45">
            <v>4307.727272727273</v>
          </cell>
          <cell r="AH45">
            <v>4307.727272727273</v>
          </cell>
          <cell r="AI45">
            <v>5384.659090909091</v>
          </cell>
          <cell r="AJ45">
            <v>5384.659090909091</v>
          </cell>
          <cell r="AK45">
            <v>5384.659090909091</v>
          </cell>
          <cell r="AL45">
            <v>5384.659090909091</v>
          </cell>
          <cell r="AM45">
            <v>5384.659090909091</v>
          </cell>
          <cell r="AN45">
            <v>5384.659090909091</v>
          </cell>
          <cell r="AO45">
            <v>5384.659090909091</v>
          </cell>
          <cell r="AP45">
            <v>5384.659090909091</v>
          </cell>
          <cell r="AQ45">
            <v>4307.727272727273</v>
          </cell>
          <cell r="AR45">
            <v>4307.727272727273</v>
          </cell>
          <cell r="AS45">
            <v>4307.727272727273</v>
          </cell>
          <cell r="AT45">
            <v>4307.727272727273</v>
          </cell>
          <cell r="AU45">
            <v>4307.727272727273</v>
          </cell>
          <cell r="AV45">
            <v>5384.659090909091</v>
          </cell>
          <cell r="AW45">
            <v>5384.659090909091</v>
          </cell>
          <cell r="AX45">
            <v>5384.659090909091</v>
          </cell>
          <cell r="AY45">
            <v>5384.659090909091</v>
          </cell>
          <cell r="AZ45">
            <v>5384.659090909091</v>
          </cell>
          <cell r="BA45">
            <v>5384.659090909091</v>
          </cell>
          <cell r="BB45">
            <v>5384.659090909091</v>
          </cell>
          <cell r="BC45">
            <v>5384.659090909091</v>
          </cell>
          <cell r="BD45">
            <v>4307.727272727273</v>
          </cell>
          <cell r="BE45">
            <v>4307.727272727273</v>
          </cell>
          <cell r="BF45">
            <v>4307.727272727273</v>
          </cell>
          <cell r="BG45">
            <v>4307.727272727273</v>
          </cell>
          <cell r="BH45">
            <v>4307.727272727273</v>
          </cell>
          <cell r="BI45">
            <v>5384.659090909091</v>
          </cell>
          <cell r="BJ45">
            <v>5384.659090909091</v>
          </cell>
          <cell r="BK45">
            <v>5384.659090909091</v>
          </cell>
          <cell r="BL45">
            <v>5384.659090909091</v>
          </cell>
          <cell r="BM45">
            <v>5384.659090909091</v>
          </cell>
          <cell r="BN45">
            <v>5384.659090909091</v>
          </cell>
          <cell r="BO45">
            <v>5384.659090909091</v>
          </cell>
          <cell r="BP45">
            <v>5384.659090909091</v>
          </cell>
          <cell r="BQ45">
            <v>280002.27272727271</v>
          </cell>
          <cell r="BR45">
            <v>0</v>
          </cell>
          <cell r="BS45">
            <v>13784.727272727274</v>
          </cell>
          <cell r="BT45">
            <v>13784.727272727274</v>
          </cell>
        </row>
        <row r="46">
          <cell r="B46" t="str">
            <v>UK Contract Manufacturing Project Go Light</v>
          </cell>
          <cell r="C46">
            <v>0</v>
          </cell>
          <cell r="D46">
            <v>0</v>
          </cell>
          <cell r="E46">
            <v>0</v>
          </cell>
          <cell r="F46">
            <v>0</v>
          </cell>
          <cell r="G46">
            <v>64272</v>
          </cell>
          <cell r="H46">
            <v>64272</v>
          </cell>
          <cell r="I46">
            <v>64272</v>
          </cell>
          <cell r="J46">
            <v>64272</v>
          </cell>
          <cell r="K46">
            <v>64272</v>
          </cell>
          <cell r="L46">
            <v>64272</v>
          </cell>
          <cell r="M46">
            <v>64272</v>
          </cell>
          <cell r="N46">
            <v>64272</v>
          </cell>
          <cell r="O46">
            <v>514176</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16068</v>
          </cell>
          <cell r="AJ46">
            <v>16068</v>
          </cell>
          <cell r="AK46">
            <v>16068</v>
          </cell>
          <cell r="AL46">
            <v>16068</v>
          </cell>
          <cell r="AM46">
            <v>16068</v>
          </cell>
          <cell r="AN46">
            <v>16068</v>
          </cell>
          <cell r="AO46">
            <v>16068</v>
          </cell>
          <cell r="AP46">
            <v>16068</v>
          </cell>
          <cell r="AQ46">
            <v>12854.4</v>
          </cell>
          <cell r="AR46">
            <v>12854.4</v>
          </cell>
          <cell r="AS46">
            <v>12854.4</v>
          </cell>
          <cell r="AT46">
            <v>12854.4</v>
          </cell>
          <cell r="AU46">
            <v>12854.4</v>
          </cell>
          <cell r="AV46">
            <v>16068</v>
          </cell>
          <cell r="AW46">
            <v>16068</v>
          </cell>
          <cell r="AX46">
            <v>16068</v>
          </cell>
          <cell r="AY46">
            <v>16068</v>
          </cell>
          <cell r="AZ46">
            <v>16068</v>
          </cell>
          <cell r="BA46">
            <v>16068</v>
          </cell>
          <cell r="BB46">
            <v>16068</v>
          </cell>
          <cell r="BC46">
            <v>16068</v>
          </cell>
          <cell r="BD46">
            <v>12854.4</v>
          </cell>
          <cell r="BE46">
            <v>12854.4</v>
          </cell>
          <cell r="BF46">
            <v>12854.4</v>
          </cell>
          <cell r="BG46">
            <v>12854.4</v>
          </cell>
          <cell r="BH46">
            <v>12854.4</v>
          </cell>
          <cell r="BI46">
            <v>16068</v>
          </cell>
          <cell r="BJ46">
            <v>16068</v>
          </cell>
          <cell r="BK46">
            <v>16068</v>
          </cell>
          <cell r="BL46">
            <v>16068</v>
          </cell>
          <cell r="BM46">
            <v>16068</v>
          </cell>
          <cell r="BN46">
            <v>16068</v>
          </cell>
          <cell r="BO46">
            <v>16068</v>
          </cell>
          <cell r="BP46">
            <v>16068</v>
          </cell>
          <cell r="BQ46">
            <v>514176.00000000012</v>
          </cell>
          <cell r="BR46">
            <v>0</v>
          </cell>
          <cell r="BS46">
            <v>0</v>
          </cell>
          <cell r="BT46">
            <v>0</v>
          </cell>
        </row>
        <row r="47">
          <cell r="B47" t="str">
            <v>UK Contract Manufacturing Project Robin</v>
          </cell>
          <cell r="C47">
            <v>0</v>
          </cell>
          <cell r="D47">
            <v>0</v>
          </cell>
          <cell r="E47">
            <v>0</v>
          </cell>
          <cell r="F47">
            <v>32136</v>
          </cell>
          <cell r="G47">
            <v>32136</v>
          </cell>
          <cell r="H47">
            <v>32136</v>
          </cell>
          <cell r="I47">
            <v>48204</v>
          </cell>
          <cell r="J47">
            <v>48204</v>
          </cell>
          <cell r="K47">
            <v>64272</v>
          </cell>
          <cell r="L47">
            <v>64272</v>
          </cell>
          <cell r="M47">
            <v>64272</v>
          </cell>
          <cell r="N47">
            <v>64272</v>
          </cell>
          <cell r="O47">
            <v>449904</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6427.2</v>
          </cell>
          <cell r="AE47">
            <v>6427.2</v>
          </cell>
          <cell r="AF47">
            <v>6427.2</v>
          </cell>
          <cell r="AG47">
            <v>6427.2</v>
          </cell>
          <cell r="AH47">
            <v>6427.2</v>
          </cell>
          <cell r="AI47">
            <v>8034</v>
          </cell>
          <cell r="AJ47">
            <v>8034</v>
          </cell>
          <cell r="AK47">
            <v>8034</v>
          </cell>
          <cell r="AL47">
            <v>8034</v>
          </cell>
          <cell r="AM47">
            <v>8034</v>
          </cell>
          <cell r="AN47">
            <v>8034</v>
          </cell>
          <cell r="AO47">
            <v>8034</v>
          </cell>
          <cell r="AP47">
            <v>8034</v>
          </cell>
          <cell r="AQ47">
            <v>9640.7999999999993</v>
          </cell>
          <cell r="AR47">
            <v>9640.7999999999993</v>
          </cell>
          <cell r="AS47">
            <v>9640.7999999999993</v>
          </cell>
          <cell r="AT47">
            <v>9640.7999999999993</v>
          </cell>
          <cell r="AU47">
            <v>9640.7999999999993</v>
          </cell>
          <cell r="AV47">
            <v>12051</v>
          </cell>
          <cell r="AW47">
            <v>12051</v>
          </cell>
          <cell r="AX47">
            <v>12051</v>
          </cell>
          <cell r="AY47">
            <v>12051</v>
          </cell>
          <cell r="AZ47">
            <v>16068</v>
          </cell>
          <cell r="BA47">
            <v>16068</v>
          </cell>
          <cell r="BB47">
            <v>16068</v>
          </cell>
          <cell r="BC47">
            <v>16068</v>
          </cell>
          <cell r="BD47">
            <v>12854.4</v>
          </cell>
          <cell r="BE47">
            <v>12854.4</v>
          </cell>
          <cell r="BF47">
            <v>12854.4</v>
          </cell>
          <cell r="BG47">
            <v>12854.4</v>
          </cell>
          <cell r="BH47">
            <v>12854.4</v>
          </cell>
          <cell r="BI47">
            <v>16068</v>
          </cell>
          <cell r="BJ47">
            <v>16068</v>
          </cell>
          <cell r="BK47">
            <v>16068</v>
          </cell>
          <cell r="BL47">
            <v>16068</v>
          </cell>
          <cell r="BM47">
            <v>16068</v>
          </cell>
          <cell r="BN47">
            <v>16068</v>
          </cell>
          <cell r="BO47">
            <v>16068</v>
          </cell>
          <cell r="BP47">
            <v>16068</v>
          </cell>
          <cell r="BQ47">
            <v>449904.00000000012</v>
          </cell>
          <cell r="BR47">
            <v>0</v>
          </cell>
          <cell r="BS47">
            <v>0</v>
          </cell>
          <cell r="BT47">
            <v>0</v>
          </cell>
        </row>
        <row r="48">
          <cell r="B48" t="str">
            <v>UK Contract Manufacturing Regal Foods</v>
          </cell>
          <cell r="C48">
            <v>0</v>
          </cell>
          <cell r="D48">
            <v>0</v>
          </cell>
          <cell r="E48">
            <v>21600</v>
          </cell>
          <cell r="F48">
            <v>0</v>
          </cell>
          <cell r="G48">
            <v>0</v>
          </cell>
          <cell r="H48">
            <v>0</v>
          </cell>
          <cell r="I48">
            <v>0</v>
          </cell>
          <cell r="J48">
            <v>0</v>
          </cell>
          <cell r="K48">
            <v>0</v>
          </cell>
          <cell r="L48">
            <v>0</v>
          </cell>
          <cell r="M48">
            <v>0</v>
          </cell>
          <cell r="N48">
            <v>0</v>
          </cell>
          <cell r="O48">
            <v>21600</v>
          </cell>
          <cell r="P48">
            <v>0</v>
          </cell>
          <cell r="Q48">
            <v>0</v>
          </cell>
          <cell r="R48">
            <v>0</v>
          </cell>
          <cell r="S48">
            <v>0</v>
          </cell>
          <cell r="T48">
            <v>0</v>
          </cell>
          <cell r="U48">
            <v>0</v>
          </cell>
          <cell r="V48">
            <v>0</v>
          </cell>
          <cell r="W48">
            <v>0</v>
          </cell>
          <cell r="X48">
            <v>0</v>
          </cell>
          <cell r="Y48">
            <v>0</v>
          </cell>
          <cell r="Z48">
            <v>5400</v>
          </cell>
          <cell r="AA48">
            <v>5400</v>
          </cell>
          <cell r="AB48">
            <v>5400</v>
          </cell>
          <cell r="AC48">
            <v>5400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0</v>
          </cell>
          <cell r="BG48">
            <v>0</v>
          </cell>
          <cell r="BH48">
            <v>0</v>
          </cell>
          <cell r="BI48">
            <v>0</v>
          </cell>
          <cell r="BJ48">
            <v>0</v>
          </cell>
          <cell r="BK48">
            <v>0</v>
          </cell>
          <cell r="BL48">
            <v>0</v>
          </cell>
          <cell r="BM48">
            <v>0</v>
          </cell>
          <cell r="BN48">
            <v>0</v>
          </cell>
          <cell r="BO48">
            <v>0</v>
          </cell>
          <cell r="BP48">
            <v>0</v>
          </cell>
          <cell r="BQ48">
            <v>21600</v>
          </cell>
          <cell r="BR48">
            <v>0</v>
          </cell>
          <cell r="BS48">
            <v>0</v>
          </cell>
          <cell r="BT48">
            <v>0</v>
          </cell>
        </row>
        <row r="49">
          <cell r="B49">
            <v>0</v>
          </cell>
          <cell r="C49">
            <v>17230.909090909092</v>
          </cell>
          <cell r="D49">
            <v>34461.818181818184</v>
          </cell>
          <cell r="E49">
            <v>56061.818181818184</v>
          </cell>
          <cell r="F49">
            <v>53674.636363636368</v>
          </cell>
          <cell r="G49">
            <v>117946.63636363637</v>
          </cell>
          <cell r="H49">
            <v>117946.63636363637</v>
          </cell>
          <cell r="I49">
            <v>134014.63636363635</v>
          </cell>
          <cell r="J49">
            <v>134014.63636363635</v>
          </cell>
          <cell r="K49">
            <v>150082.63636363635</v>
          </cell>
          <cell r="L49">
            <v>150082.63636363635</v>
          </cell>
          <cell r="M49">
            <v>150082.63636363635</v>
          </cell>
          <cell r="N49">
            <v>150082.63636363635</v>
          </cell>
          <cell r="O49">
            <v>1265682.2727272727</v>
          </cell>
          <cell r="P49">
            <v>0</v>
          </cell>
          <cell r="Q49">
            <v>3446.1818181818185</v>
          </cell>
          <cell r="R49">
            <v>3446.1818181818185</v>
          </cell>
          <cell r="S49">
            <v>3446.1818181818185</v>
          </cell>
          <cell r="T49">
            <v>3446.1818181818185</v>
          </cell>
          <cell r="U49">
            <v>3446.1818181818185</v>
          </cell>
          <cell r="V49">
            <v>8615.454545454546</v>
          </cell>
          <cell r="W49">
            <v>8615.454545454546</v>
          </cell>
          <cell r="X49">
            <v>8615.454545454546</v>
          </cell>
          <cell r="Y49">
            <v>8615.454545454546</v>
          </cell>
          <cell r="Z49">
            <v>14015.454545454546</v>
          </cell>
          <cell r="AA49">
            <v>14015.454545454546</v>
          </cell>
          <cell r="AB49">
            <v>14015.454545454546</v>
          </cell>
          <cell r="AC49">
            <v>14015.454545454546</v>
          </cell>
          <cell r="AD49">
            <v>10734.927272727273</v>
          </cell>
          <cell r="AE49">
            <v>10734.927272727273</v>
          </cell>
          <cell r="AF49">
            <v>10734.927272727273</v>
          </cell>
          <cell r="AG49">
            <v>10734.927272727273</v>
          </cell>
          <cell r="AH49">
            <v>10734.927272727273</v>
          </cell>
          <cell r="AI49">
            <v>29486.659090909092</v>
          </cell>
          <cell r="AJ49">
            <v>29486.659090909092</v>
          </cell>
          <cell r="AK49">
            <v>29486.659090909092</v>
          </cell>
          <cell r="AL49">
            <v>29486.659090909092</v>
          </cell>
          <cell r="AM49">
            <v>29486.659090909092</v>
          </cell>
          <cell r="AN49">
            <v>29486.659090909092</v>
          </cell>
          <cell r="AO49">
            <v>29486.659090909092</v>
          </cell>
          <cell r="AP49">
            <v>29486.659090909092</v>
          </cell>
          <cell r="AQ49">
            <v>26802.927272727269</v>
          </cell>
          <cell r="AR49">
            <v>26802.927272727269</v>
          </cell>
          <cell r="AS49">
            <v>26802.927272727269</v>
          </cell>
          <cell r="AT49">
            <v>26802.927272727269</v>
          </cell>
          <cell r="AU49">
            <v>26802.927272727269</v>
          </cell>
          <cell r="AV49">
            <v>33503.659090909088</v>
          </cell>
          <cell r="AW49">
            <v>33503.659090909088</v>
          </cell>
          <cell r="AX49">
            <v>33503.659090909088</v>
          </cell>
          <cell r="AY49">
            <v>33503.659090909088</v>
          </cell>
          <cell r="AZ49">
            <v>37520.659090909088</v>
          </cell>
          <cell r="BA49">
            <v>37520.659090909088</v>
          </cell>
          <cell r="BB49">
            <v>37520.659090909088</v>
          </cell>
          <cell r="BC49">
            <v>37520.659090909088</v>
          </cell>
          <cell r="BD49">
            <v>30016.527272727271</v>
          </cell>
          <cell r="BE49">
            <v>30016.527272727271</v>
          </cell>
          <cell r="BF49">
            <v>30016.527272727271</v>
          </cell>
          <cell r="BG49">
            <v>30016.527272727271</v>
          </cell>
          <cell r="BH49">
            <v>30016.527272727271</v>
          </cell>
          <cell r="BI49">
            <v>37520.659090909088</v>
          </cell>
          <cell r="BJ49">
            <v>37520.659090909088</v>
          </cell>
          <cell r="BK49">
            <v>37520.659090909088</v>
          </cell>
          <cell r="BL49">
            <v>37520.659090909088</v>
          </cell>
          <cell r="BM49">
            <v>37520.659090909088</v>
          </cell>
          <cell r="BN49">
            <v>37520.659090909088</v>
          </cell>
          <cell r="BO49">
            <v>37520.659090909088</v>
          </cell>
          <cell r="BP49">
            <v>37520.659090909088</v>
          </cell>
          <cell r="BQ49">
            <v>1265682.2727272727</v>
          </cell>
          <cell r="BR49">
            <v>0</v>
          </cell>
          <cell r="BS49">
            <v>13784.727272727274</v>
          </cell>
          <cell r="BT49">
            <v>13784.727272727274</v>
          </cell>
        </row>
        <row r="50">
          <cell r="C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G50">
            <v>0</v>
          </cell>
          <cell r="BH50">
            <v>0</v>
          </cell>
          <cell r="BI50">
            <v>0</v>
          </cell>
          <cell r="BJ50">
            <v>0</v>
          </cell>
          <cell r="BK50">
            <v>0</v>
          </cell>
          <cell r="BL50">
            <v>0</v>
          </cell>
          <cell r="BM50">
            <v>0</v>
          </cell>
          <cell r="BN50">
            <v>0</v>
          </cell>
          <cell r="BO50">
            <v>0</v>
          </cell>
          <cell r="BP50">
            <v>0</v>
          </cell>
          <cell r="BQ50">
            <v>0</v>
          </cell>
          <cell r="BR50">
            <v>0</v>
          </cell>
          <cell r="BS50">
            <v>0</v>
          </cell>
          <cell r="BT50">
            <v>0</v>
          </cell>
        </row>
        <row r="51">
          <cell r="B51" t="str">
            <v>UK Private Label Aldi UK</v>
          </cell>
          <cell r="C51">
            <v>0</v>
          </cell>
          <cell r="D51">
            <v>0</v>
          </cell>
          <cell r="E51">
            <v>0</v>
          </cell>
          <cell r="F51">
            <v>65312.500000000007</v>
          </cell>
          <cell r="G51">
            <v>119387.5</v>
          </cell>
          <cell r="H51">
            <v>119387.5</v>
          </cell>
          <cell r="I51">
            <v>119387.5</v>
          </cell>
          <cell r="J51">
            <v>119387.5</v>
          </cell>
          <cell r="K51">
            <v>119387.5</v>
          </cell>
          <cell r="L51">
            <v>119387.5</v>
          </cell>
          <cell r="M51">
            <v>119387.5</v>
          </cell>
          <cell r="N51">
            <v>119387.5</v>
          </cell>
          <cell r="O51">
            <v>1020412.5</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13062.500000000002</v>
          </cell>
          <cell r="AE51">
            <v>13062.500000000002</v>
          </cell>
          <cell r="AF51">
            <v>13062.500000000002</v>
          </cell>
          <cell r="AG51">
            <v>13062.500000000002</v>
          </cell>
          <cell r="AH51">
            <v>13062.500000000002</v>
          </cell>
          <cell r="AI51">
            <v>29846.875</v>
          </cell>
          <cell r="AJ51">
            <v>29846.875</v>
          </cell>
          <cell r="AK51">
            <v>29846.875</v>
          </cell>
          <cell r="AL51">
            <v>29846.875</v>
          </cell>
          <cell r="AM51">
            <v>29846.875</v>
          </cell>
          <cell r="AN51">
            <v>29846.875</v>
          </cell>
          <cell r="AO51">
            <v>29846.875</v>
          </cell>
          <cell r="AP51">
            <v>29846.875</v>
          </cell>
          <cell r="AQ51">
            <v>23877.5</v>
          </cell>
          <cell r="AR51">
            <v>23877.5</v>
          </cell>
          <cell r="AS51">
            <v>23877.5</v>
          </cell>
          <cell r="AT51">
            <v>23877.5</v>
          </cell>
          <cell r="AU51">
            <v>23877.5</v>
          </cell>
          <cell r="AV51">
            <v>29846.875</v>
          </cell>
          <cell r="AW51">
            <v>29846.875</v>
          </cell>
          <cell r="AX51">
            <v>29846.875</v>
          </cell>
          <cell r="AY51">
            <v>29846.875</v>
          </cell>
          <cell r="AZ51">
            <v>29846.875</v>
          </cell>
          <cell r="BA51">
            <v>29846.875</v>
          </cell>
          <cell r="BB51">
            <v>29846.875</v>
          </cell>
          <cell r="BC51">
            <v>29846.875</v>
          </cell>
          <cell r="BD51">
            <v>23877.5</v>
          </cell>
          <cell r="BE51">
            <v>23877.5</v>
          </cell>
          <cell r="BF51">
            <v>23877.5</v>
          </cell>
          <cell r="BG51">
            <v>23877.5</v>
          </cell>
          <cell r="BH51">
            <v>23877.5</v>
          </cell>
          <cell r="BI51">
            <v>29846.875</v>
          </cell>
          <cell r="BJ51">
            <v>29846.875</v>
          </cell>
          <cell r="BK51">
            <v>29846.875</v>
          </cell>
          <cell r="BL51">
            <v>29846.875</v>
          </cell>
          <cell r="BM51">
            <v>29846.875</v>
          </cell>
          <cell r="BN51">
            <v>29846.875</v>
          </cell>
          <cell r="BO51">
            <v>29846.875</v>
          </cell>
          <cell r="BP51">
            <v>29846.875</v>
          </cell>
          <cell r="BQ51">
            <v>1020412.5</v>
          </cell>
          <cell r="BR51">
            <v>0</v>
          </cell>
          <cell r="BS51">
            <v>0</v>
          </cell>
          <cell r="BT51">
            <v>0</v>
          </cell>
        </row>
        <row r="52">
          <cell r="B52" t="str">
            <v>UK Private Label Co-Op</v>
          </cell>
          <cell r="C52">
            <v>0</v>
          </cell>
          <cell r="D52">
            <v>0</v>
          </cell>
          <cell r="E52">
            <v>0</v>
          </cell>
          <cell r="F52">
            <v>0</v>
          </cell>
          <cell r="G52">
            <v>0</v>
          </cell>
          <cell r="H52">
            <v>22289.64333333333</v>
          </cell>
          <cell r="I52">
            <v>22289.64333333333</v>
          </cell>
          <cell r="J52">
            <v>22289.64333333333</v>
          </cell>
          <cell r="K52">
            <v>22289.64333333333</v>
          </cell>
          <cell r="L52">
            <v>22289.64333333333</v>
          </cell>
          <cell r="M52">
            <v>22289.64333333333</v>
          </cell>
          <cell r="N52">
            <v>22289.64333333333</v>
          </cell>
          <cell r="O52">
            <v>156027.50333333333</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5572.4108333333324</v>
          </cell>
          <cell r="AN52">
            <v>5572.4108333333324</v>
          </cell>
          <cell r="AO52">
            <v>5572.4108333333324</v>
          </cell>
          <cell r="AP52">
            <v>5572.4108333333324</v>
          </cell>
          <cell r="AQ52">
            <v>4457.9286666666658</v>
          </cell>
          <cell r="AR52">
            <v>4457.9286666666658</v>
          </cell>
          <cell r="AS52">
            <v>4457.9286666666658</v>
          </cell>
          <cell r="AT52">
            <v>4457.9286666666658</v>
          </cell>
          <cell r="AU52">
            <v>4457.9286666666658</v>
          </cell>
          <cell r="AV52">
            <v>5572.4108333333324</v>
          </cell>
          <cell r="AW52">
            <v>5572.4108333333324</v>
          </cell>
          <cell r="AX52">
            <v>5572.4108333333324</v>
          </cell>
          <cell r="AY52">
            <v>5572.4108333333324</v>
          </cell>
          <cell r="AZ52">
            <v>5572.4108333333324</v>
          </cell>
          <cell r="BA52">
            <v>5572.4108333333324</v>
          </cell>
          <cell r="BB52">
            <v>5572.4108333333324</v>
          </cell>
          <cell r="BC52">
            <v>5572.4108333333324</v>
          </cell>
          <cell r="BD52">
            <v>4457.9286666666658</v>
          </cell>
          <cell r="BE52">
            <v>4457.9286666666658</v>
          </cell>
          <cell r="BF52">
            <v>4457.9286666666658</v>
          </cell>
          <cell r="BG52">
            <v>4457.9286666666658</v>
          </cell>
          <cell r="BH52">
            <v>4457.9286666666658</v>
          </cell>
          <cell r="BI52">
            <v>5572.4108333333324</v>
          </cell>
          <cell r="BJ52">
            <v>5572.4108333333324</v>
          </cell>
          <cell r="BK52">
            <v>5572.4108333333324</v>
          </cell>
          <cell r="BL52">
            <v>5572.4108333333324</v>
          </cell>
          <cell r="BM52">
            <v>5572.4108333333324</v>
          </cell>
          <cell r="BN52">
            <v>5572.4108333333324</v>
          </cell>
          <cell r="BO52">
            <v>5572.4108333333324</v>
          </cell>
          <cell r="BP52">
            <v>5572.4108333333324</v>
          </cell>
          <cell r="BQ52">
            <v>156027.50333333324</v>
          </cell>
          <cell r="BR52">
            <v>0</v>
          </cell>
          <cell r="BS52">
            <v>0</v>
          </cell>
          <cell r="BT52">
            <v>0</v>
          </cell>
        </row>
        <row r="53">
          <cell r="B53">
            <v>0</v>
          </cell>
          <cell r="C53">
            <v>0</v>
          </cell>
          <cell r="D53">
            <v>0</v>
          </cell>
          <cell r="E53">
            <v>0</v>
          </cell>
          <cell r="F53">
            <v>65312.500000000007</v>
          </cell>
          <cell r="G53">
            <v>119387.5</v>
          </cell>
          <cell r="H53">
            <v>141677.14333333334</v>
          </cell>
          <cell r="I53">
            <v>141677.14333333334</v>
          </cell>
          <cell r="J53">
            <v>141677.14333333334</v>
          </cell>
          <cell r="K53">
            <v>141677.14333333334</v>
          </cell>
          <cell r="L53">
            <v>141677.14333333334</v>
          </cell>
          <cell r="M53">
            <v>141677.14333333334</v>
          </cell>
          <cell r="N53">
            <v>141677.14333333334</v>
          </cell>
          <cell r="O53">
            <v>1176440.0033333334</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13062.500000000002</v>
          </cell>
          <cell r="AE53">
            <v>13062.500000000002</v>
          </cell>
          <cell r="AF53">
            <v>13062.500000000002</v>
          </cell>
          <cell r="AG53">
            <v>13062.500000000002</v>
          </cell>
          <cell r="AH53">
            <v>13062.500000000002</v>
          </cell>
          <cell r="AI53">
            <v>29846.875</v>
          </cell>
          <cell r="AJ53">
            <v>29846.875</v>
          </cell>
          <cell r="AK53">
            <v>29846.875</v>
          </cell>
          <cell r="AL53">
            <v>29846.875</v>
          </cell>
          <cell r="AM53">
            <v>35419.285833333335</v>
          </cell>
          <cell r="AN53">
            <v>35419.285833333335</v>
          </cell>
          <cell r="AO53">
            <v>35419.285833333335</v>
          </cell>
          <cell r="AP53">
            <v>35419.285833333335</v>
          </cell>
          <cell r="AQ53">
            <v>28335.428666666667</v>
          </cell>
          <cell r="AR53">
            <v>28335.428666666667</v>
          </cell>
          <cell r="AS53">
            <v>28335.428666666667</v>
          </cell>
          <cell r="AT53">
            <v>28335.428666666667</v>
          </cell>
          <cell r="AU53">
            <v>28335.428666666667</v>
          </cell>
          <cell r="AV53">
            <v>35419.285833333335</v>
          </cell>
          <cell r="AW53">
            <v>35419.285833333335</v>
          </cell>
          <cell r="AX53">
            <v>35419.285833333335</v>
          </cell>
          <cell r="AY53">
            <v>35419.285833333335</v>
          </cell>
          <cell r="AZ53">
            <v>35419.285833333335</v>
          </cell>
          <cell r="BA53">
            <v>35419.285833333335</v>
          </cell>
          <cell r="BB53">
            <v>35419.285833333335</v>
          </cell>
          <cell r="BC53">
            <v>35419.285833333335</v>
          </cell>
          <cell r="BD53">
            <v>28335.428666666667</v>
          </cell>
          <cell r="BE53">
            <v>28335.428666666667</v>
          </cell>
          <cell r="BF53">
            <v>28335.428666666667</v>
          </cell>
          <cell r="BG53">
            <v>28335.428666666667</v>
          </cell>
          <cell r="BH53">
            <v>28335.428666666667</v>
          </cell>
          <cell r="BI53">
            <v>35419.285833333335</v>
          </cell>
          <cell r="BJ53">
            <v>35419.285833333335</v>
          </cell>
          <cell r="BK53">
            <v>35419.285833333335</v>
          </cell>
          <cell r="BL53">
            <v>35419.285833333335</v>
          </cell>
          <cell r="BM53">
            <v>35419.285833333335</v>
          </cell>
          <cell r="BN53">
            <v>35419.285833333335</v>
          </cell>
          <cell r="BO53">
            <v>35419.285833333335</v>
          </cell>
          <cell r="BP53">
            <v>35419.285833333335</v>
          </cell>
          <cell r="BQ53">
            <v>1176440.0033333339</v>
          </cell>
          <cell r="BR53">
            <v>0</v>
          </cell>
          <cell r="BS53">
            <v>0</v>
          </cell>
          <cell r="BT53">
            <v>0</v>
          </cell>
        </row>
        <row r="54">
          <cell r="B54">
            <v>0</v>
          </cell>
          <cell r="C54">
            <v>17230.909090909092</v>
          </cell>
          <cell r="D54">
            <v>34461.818181818184</v>
          </cell>
          <cell r="E54">
            <v>216061.81818181818</v>
          </cell>
          <cell r="F54">
            <v>139797.13636363638</v>
          </cell>
          <cell r="G54">
            <v>258144.13636363635</v>
          </cell>
          <cell r="H54">
            <v>280433.77969696966</v>
          </cell>
          <cell r="I54">
            <v>297542.27969696966</v>
          </cell>
          <cell r="J54">
            <v>297542.27969696966</v>
          </cell>
          <cell r="K54">
            <v>313610.27969696966</v>
          </cell>
          <cell r="L54">
            <v>313610.27969696966</v>
          </cell>
          <cell r="M54">
            <v>313610.27969696966</v>
          </cell>
          <cell r="N54">
            <v>313610.27969696966</v>
          </cell>
          <cell r="O54">
            <v>2795655.2760606059</v>
          </cell>
          <cell r="P54">
            <v>0</v>
          </cell>
          <cell r="Q54">
            <v>3446.1818181818185</v>
          </cell>
          <cell r="R54">
            <v>3446.1818181818185</v>
          </cell>
          <cell r="S54">
            <v>3446.1818181818185</v>
          </cell>
          <cell r="T54">
            <v>3446.1818181818185</v>
          </cell>
          <cell r="U54">
            <v>3446.1818181818185</v>
          </cell>
          <cell r="V54">
            <v>8615.454545454546</v>
          </cell>
          <cell r="W54">
            <v>8615.454545454546</v>
          </cell>
          <cell r="X54">
            <v>8615.454545454546</v>
          </cell>
          <cell r="Y54">
            <v>8615.454545454546</v>
          </cell>
          <cell r="Z54">
            <v>54015.454545454544</v>
          </cell>
          <cell r="AA54">
            <v>54015.454545454544</v>
          </cell>
          <cell r="AB54">
            <v>54015.454545454544</v>
          </cell>
          <cell r="AC54">
            <v>54015.454545454544</v>
          </cell>
          <cell r="AD54">
            <v>27959.427272727276</v>
          </cell>
          <cell r="AE54">
            <v>27959.427272727276</v>
          </cell>
          <cell r="AF54">
            <v>27959.427272727276</v>
          </cell>
          <cell r="AG54">
            <v>27959.427272727276</v>
          </cell>
          <cell r="AH54">
            <v>27959.427272727276</v>
          </cell>
          <cell r="AI54">
            <v>64536.034090909088</v>
          </cell>
          <cell r="AJ54">
            <v>64536.034090909088</v>
          </cell>
          <cell r="AK54">
            <v>64536.034090909088</v>
          </cell>
          <cell r="AL54">
            <v>64536.034090909088</v>
          </cell>
          <cell r="AM54">
            <v>70108.444924242416</v>
          </cell>
          <cell r="AN54">
            <v>70108.444924242416</v>
          </cell>
          <cell r="AO54">
            <v>70108.444924242416</v>
          </cell>
          <cell r="AP54">
            <v>70108.444924242416</v>
          </cell>
          <cell r="AQ54">
            <v>59508.455939393934</v>
          </cell>
          <cell r="AR54">
            <v>59508.455939393934</v>
          </cell>
          <cell r="AS54">
            <v>59508.455939393934</v>
          </cell>
          <cell r="AT54">
            <v>59508.455939393934</v>
          </cell>
          <cell r="AU54">
            <v>59508.455939393934</v>
          </cell>
          <cell r="AV54">
            <v>74385.569924242416</v>
          </cell>
          <cell r="AW54">
            <v>74385.569924242416</v>
          </cell>
          <cell r="AX54">
            <v>74385.569924242416</v>
          </cell>
          <cell r="AY54">
            <v>74385.569924242416</v>
          </cell>
          <cell r="AZ54">
            <v>78402.569924242416</v>
          </cell>
          <cell r="BA54">
            <v>78402.569924242416</v>
          </cell>
          <cell r="BB54">
            <v>78402.569924242416</v>
          </cell>
          <cell r="BC54">
            <v>78402.569924242416</v>
          </cell>
          <cell r="BD54">
            <v>62722.055939393933</v>
          </cell>
          <cell r="BE54">
            <v>62722.055939393933</v>
          </cell>
          <cell r="BF54">
            <v>62722.055939393933</v>
          </cell>
          <cell r="BG54">
            <v>62722.055939393933</v>
          </cell>
          <cell r="BH54">
            <v>62722.055939393933</v>
          </cell>
          <cell r="BI54">
            <v>78402.569924242416</v>
          </cell>
          <cell r="BJ54">
            <v>78402.569924242416</v>
          </cell>
          <cell r="BK54">
            <v>78402.569924242416</v>
          </cell>
          <cell r="BL54">
            <v>78402.569924242416</v>
          </cell>
          <cell r="BM54">
            <v>78402.569924242416</v>
          </cell>
          <cell r="BN54">
            <v>78402.569924242416</v>
          </cell>
          <cell r="BO54">
            <v>78402.569924242416</v>
          </cell>
          <cell r="BP54">
            <v>78402.569924242416</v>
          </cell>
          <cell r="BQ54">
            <v>2795655.276060605</v>
          </cell>
          <cell r="BR54">
            <v>0</v>
          </cell>
          <cell r="BS54">
            <v>13784.727272727274</v>
          </cell>
          <cell r="BT54">
            <v>13784.727272727274</v>
          </cell>
        </row>
        <row r="55">
          <cell r="B55">
            <v>0</v>
          </cell>
          <cell r="C55">
            <v>363426.88903706294</v>
          </cell>
          <cell r="D55">
            <v>220359.62005104893</v>
          </cell>
          <cell r="E55">
            <v>482094.60685104894</v>
          </cell>
          <cell r="F55">
            <v>456854.16918860684</v>
          </cell>
          <cell r="G55">
            <v>678401.64223700424</v>
          </cell>
          <cell r="H55">
            <v>610517.92057033768</v>
          </cell>
          <cell r="I55">
            <v>936331.46976676234</v>
          </cell>
          <cell r="J55">
            <v>1053176.247674413</v>
          </cell>
          <cell r="K55">
            <v>971142.72437441314</v>
          </cell>
          <cell r="L55">
            <v>972400.84937441314</v>
          </cell>
          <cell r="M55">
            <v>972492.6460588621</v>
          </cell>
          <cell r="N55">
            <v>1093590.9801024518</v>
          </cell>
          <cell r="O55">
            <v>8810789.7652864233</v>
          </cell>
          <cell r="P55">
            <v>0</v>
          </cell>
          <cell r="Q55">
            <v>72685.377807412588</v>
          </cell>
          <cell r="R55">
            <v>72685.377807412588</v>
          </cell>
          <cell r="S55">
            <v>72685.377807412588</v>
          </cell>
          <cell r="T55">
            <v>72685.377807412588</v>
          </cell>
          <cell r="U55">
            <v>72685.377807412588</v>
          </cell>
          <cell r="V55">
            <v>55089.905012762232</v>
          </cell>
          <cell r="W55">
            <v>55089.905012762232</v>
          </cell>
          <cell r="X55">
            <v>55089.905012762232</v>
          </cell>
          <cell r="Y55">
            <v>55089.905012762232</v>
          </cell>
          <cell r="Z55">
            <v>120523.65171276224</v>
          </cell>
          <cell r="AA55">
            <v>120523.65171276224</v>
          </cell>
          <cell r="AB55">
            <v>120523.65171276224</v>
          </cell>
          <cell r="AC55">
            <v>120523.65171276224</v>
          </cell>
          <cell r="AD55">
            <v>91370.833837721366</v>
          </cell>
          <cell r="AE55">
            <v>91370.833837721366</v>
          </cell>
          <cell r="AF55">
            <v>91370.833837721366</v>
          </cell>
          <cell r="AG55">
            <v>91370.833837721366</v>
          </cell>
          <cell r="AH55">
            <v>91370.833837721366</v>
          </cell>
          <cell r="AI55">
            <v>169600.41055925106</v>
          </cell>
          <cell r="AJ55">
            <v>169600.41055925106</v>
          </cell>
          <cell r="AK55">
            <v>169600.41055925106</v>
          </cell>
          <cell r="AL55">
            <v>169600.41055925106</v>
          </cell>
          <cell r="AM55">
            <v>152629.48014258442</v>
          </cell>
          <cell r="AN55">
            <v>152629.48014258442</v>
          </cell>
          <cell r="AO55">
            <v>152629.48014258442</v>
          </cell>
          <cell r="AP55">
            <v>152629.48014258442</v>
          </cell>
          <cell r="AQ55">
            <v>187266.29395335246</v>
          </cell>
          <cell r="AR55">
            <v>187266.29395335246</v>
          </cell>
          <cell r="AS55">
            <v>187266.29395335246</v>
          </cell>
          <cell r="AT55">
            <v>187266.29395335246</v>
          </cell>
          <cell r="AU55">
            <v>187266.29395335246</v>
          </cell>
          <cell r="AV55">
            <v>263294.06191860326</v>
          </cell>
          <cell r="AW55">
            <v>263294.06191860326</v>
          </cell>
          <cell r="AX55">
            <v>263294.06191860326</v>
          </cell>
          <cell r="AY55">
            <v>263294.06191860326</v>
          </cell>
          <cell r="AZ55">
            <v>242785.68109360329</v>
          </cell>
          <cell r="BA55">
            <v>242785.68109360329</v>
          </cell>
          <cell r="BB55">
            <v>242785.68109360329</v>
          </cell>
          <cell r="BC55">
            <v>242785.68109360329</v>
          </cell>
          <cell r="BD55">
            <v>194480.16987488262</v>
          </cell>
          <cell r="BE55">
            <v>194480.16987488262</v>
          </cell>
          <cell r="BF55">
            <v>194480.16987488262</v>
          </cell>
          <cell r="BG55">
            <v>194480.16987488262</v>
          </cell>
          <cell r="BH55">
            <v>194480.16987488262</v>
          </cell>
          <cell r="BI55">
            <v>243123.16151471552</v>
          </cell>
          <cell r="BJ55">
            <v>243123.16151471552</v>
          </cell>
          <cell r="BK55">
            <v>243123.16151471552</v>
          </cell>
          <cell r="BL55">
            <v>243123.16151471552</v>
          </cell>
          <cell r="BM55">
            <v>273397.74502561294</v>
          </cell>
          <cell r="BN55">
            <v>273397.74502561294</v>
          </cell>
          <cell r="BO55">
            <v>273397.74502561294</v>
          </cell>
          <cell r="BP55">
            <v>273397.74502561294</v>
          </cell>
          <cell r="BQ55">
            <v>8810789.7652864233</v>
          </cell>
          <cell r="BR55">
            <v>0</v>
          </cell>
          <cell r="BS55">
            <v>290741.51122965035</v>
          </cell>
          <cell r="BT55">
            <v>290741.51122965035</v>
          </cell>
        </row>
      </sheetData>
      <sheetData sheetId="6"/>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Analysis"/>
      <sheetName val="Analysis HC"/>
      <sheetName val="SKU stock by week"/>
      <sheetName val="Sales by SKU"/>
      <sheetName val="Sales by customer"/>
      <sheetName val="Masterdata"/>
      <sheetName val="SAP Finished Price List report "/>
      <sheetName val="Stock in Warehouse 0312"/>
      <sheetName val="Stock at 041218 by age"/>
      <sheetName val="Wk34 Op stock "/>
      <sheetName val="Fin Calendar"/>
      <sheetName val="Summary Analysis"/>
    </sheetNames>
    <sheetDataSet>
      <sheetData sheetId="0"/>
      <sheetData sheetId="1"/>
      <sheetData sheetId="2"/>
      <sheetData sheetId="3"/>
      <sheetData sheetId="4">
        <row r="4">
          <cell r="A4" t="str">
            <v>FAL0001</v>
          </cell>
          <cell r="B4" t="str">
            <v>Belmont Chocolate Chip Cookie</v>
          </cell>
          <cell r="C4" t="str">
            <v>PL</v>
          </cell>
          <cell r="D4">
            <v>6</v>
          </cell>
          <cell r="E4">
            <v>0</v>
          </cell>
          <cell r="F4">
            <v>0</v>
          </cell>
          <cell r="G4">
            <v>0</v>
          </cell>
          <cell r="H4">
            <v>0</v>
          </cell>
          <cell r="I4">
            <v>0</v>
          </cell>
          <cell r="J4">
            <v>0</v>
          </cell>
          <cell r="K4">
            <v>0</v>
          </cell>
          <cell r="L4">
            <v>0</v>
          </cell>
          <cell r="M4">
            <v>0</v>
          </cell>
          <cell r="N4">
            <v>0</v>
          </cell>
          <cell r="O4">
            <v>0</v>
          </cell>
          <cell r="P4">
            <v>0</v>
          </cell>
          <cell r="R4">
            <v>0</v>
          </cell>
          <cell r="S4">
            <v>0</v>
          </cell>
          <cell r="T4">
            <v>0</v>
          </cell>
          <cell r="U4">
            <v>0</v>
          </cell>
          <cell r="V4">
            <v>0</v>
          </cell>
          <cell r="W4">
            <v>0</v>
          </cell>
          <cell r="X4">
            <v>0</v>
          </cell>
          <cell r="Y4">
            <v>0</v>
          </cell>
          <cell r="Z4">
            <v>0</v>
          </cell>
          <cell r="AA4">
            <v>0</v>
          </cell>
          <cell r="AB4">
            <v>0</v>
          </cell>
          <cell r="AC4">
            <v>0</v>
          </cell>
          <cell r="AE4">
            <v>0</v>
          </cell>
          <cell r="AF4">
            <v>0</v>
          </cell>
          <cell r="AG4">
            <v>0</v>
          </cell>
        </row>
        <row r="5">
          <cell r="A5" t="str">
            <v>FAL0002</v>
          </cell>
          <cell r="B5" t="str">
            <v>Everyday Essentials Chocolate Chip (RSPO SG) (UTZ MB)</v>
          </cell>
          <cell r="C5" t="str">
            <v>PL</v>
          </cell>
          <cell r="D5">
            <v>6</v>
          </cell>
          <cell r="E5">
            <v>5700</v>
          </cell>
          <cell r="F5">
            <v>4560</v>
          </cell>
          <cell r="G5">
            <v>4560</v>
          </cell>
          <cell r="H5">
            <v>5700</v>
          </cell>
          <cell r="I5">
            <v>4560</v>
          </cell>
          <cell r="J5">
            <v>4560</v>
          </cell>
          <cell r="K5">
            <v>5700</v>
          </cell>
          <cell r="L5">
            <v>4560</v>
          </cell>
          <cell r="M5">
            <v>4560</v>
          </cell>
          <cell r="N5">
            <v>5700</v>
          </cell>
          <cell r="O5">
            <v>4560</v>
          </cell>
          <cell r="P5">
            <v>4560</v>
          </cell>
          <cell r="R5">
            <v>54720</v>
          </cell>
          <cell r="S5">
            <v>43776</v>
          </cell>
          <cell r="T5">
            <v>43776</v>
          </cell>
          <cell r="U5">
            <v>54720</v>
          </cell>
          <cell r="V5">
            <v>43776</v>
          </cell>
          <cell r="W5">
            <v>43776</v>
          </cell>
          <cell r="X5">
            <v>54720</v>
          </cell>
          <cell r="Y5">
            <v>43776</v>
          </cell>
          <cell r="Z5">
            <v>43776</v>
          </cell>
          <cell r="AA5">
            <v>54720</v>
          </cell>
          <cell r="AB5">
            <v>43776</v>
          </cell>
          <cell r="AC5">
            <v>43776</v>
          </cell>
          <cell r="AE5">
            <v>59280</v>
          </cell>
          <cell r="AF5">
            <v>569088</v>
          </cell>
          <cell r="AG5">
            <v>9.6</v>
          </cell>
        </row>
        <row r="6">
          <cell r="A6" t="str">
            <v>FBL0001</v>
          </cell>
          <cell r="B6" t="str">
            <v>Bolands Chocolate Chip Cookie 14%</v>
          </cell>
          <cell r="C6" t="str">
            <v>CM</v>
          </cell>
          <cell r="D6">
            <v>2.9</v>
          </cell>
          <cell r="E6">
            <v>1500</v>
          </cell>
          <cell r="F6">
            <v>1200</v>
          </cell>
          <cell r="G6">
            <v>1200</v>
          </cell>
          <cell r="H6">
            <v>1500</v>
          </cell>
          <cell r="I6">
            <v>1200</v>
          </cell>
          <cell r="J6">
            <v>1200</v>
          </cell>
          <cell r="K6">
            <v>1500</v>
          </cell>
          <cell r="L6">
            <v>1200</v>
          </cell>
          <cell r="M6">
            <v>1200</v>
          </cell>
          <cell r="N6">
            <v>1500</v>
          </cell>
          <cell r="O6">
            <v>1200</v>
          </cell>
          <cell r="P6">
            <v>1200</v>
          </cell>
          <cell r="R6">
            <v>8700</v>
          </cell>
          <cell r="S6">
            <v>6960</v>
          </cell>
          <cell r="T6">
            <v>6960</v>
          </cell>
          <cell r="U6">
            <v>8700</v>
          </cell>
          <cell r="V6">
            <v>6960</v>
          </cell>
          <cell r="W6">
            <v>6960</v>
          </cell>
          <cell r="X6">
            <v>8700</v>
          </cell>
          <cell r="Y6">
            <v>6960</v>
          </cell>
          <cell r="Z6">
            <v>6960</v>
          </cell>
          <cell r="AA6">
            <v>8700</v>
          </cell>
          <cell r="AB6">
            <v>6960</v>
          </cell>
          <cell r="AC6">
            <v>6960</v>
          </cell>
          <cell r="AE6">
            <v>15600</v>
          </cell>
          <cell r="AF6">
            <v>90480</v>
          </cell>
          <cell r="AG6">
            <v>5.8</v>
          </cell>
        </row>
        <row r="7">
          <cell r="A7" t="str">
            <v>FCM0001</v>
          </cell>
          <cell r="B7" t="str">
            <v>Coconut Crunch (Squares)</v>
          </cell>
          <cell r="C7" t="str">
            <v>CM</v>
          </cell>
          <cell r="D7">
            <v>1</v>
          </cell>
          <cell r="E7">
            <v>0</v>
          </cell>
          <cell r="F7">
            <v>0</v>
          </cell>
          <cell r="G7">
            <v>0</v>
          </cell>
          <cell r="H7">
            <v>0</v>
          </cell>
          <cell r="I7">
            <v>0</v>
          </cell>
          <cell r="J7">
            <v>0</v>
          </cell>
          <cell r="K7">
            <v>0</v>
          </cell>
          <cell r="L7">
            <v>0</v>
          </cell>
          <cell r="M7">
            <v>0</v>
          </cell>
          <cell r="N7">
            <v>0</v>
          </cell>
          <cell r="O7">
            <v>0</v>
          </cell>
          <cell r="P7">
            <v>0</v>
          </cell>
          <cell r="R7">
            <v>0</v>
          </cell>
          <cell r="S7">
            <v>0</v>
          </cell>
          <cell r="T7">
            <v>0</v>
          </cell>
          <cell r="U7">
            <v>0</v>
          </cell>
          <cell r="V7">
            <v>0</v>
          </cell>
          <cell r="W7">
            <v>0</v>
          </cell>
          <cell r="X7">
            <v>0</v>
          </cell>
          <cell r="Y7">
            <v>0</v>
          </cell>
          <cell r="Z7">
            <v>0</v>
          </cell>
          <cell r="AA7">
            <v>0</v>
          </cell>
          <cell r="AB7">
            <v>0</v>
          </cell>
          <cell r="AC7">
            <v>0</v>
          </cell>
          <cell r="AE7">
            <v>0</v>
          </cell>
          <cell r="AF7">
            <v>0</v>
          </cell>
          <cell r="AG7">
            <v>0</v>
          </cell>
        </row>
        <row r="8">
          <cell r="A8" t="str">
            <v>FCM0002</v>
          </cell>
          <cell r="B8" t="str">
            <v>Coolmore Wholemeal Biscuits (Squares)</v>
          </cell>
          <cell r="C8" t="str">
            <v>CM</v>
          </cell>
          <cell r="D8">
            <v>1</v>
          </cell>
          <cell r="E8">
            <v>0</v>
          </cell>
          <cell r="F8">
            <v>0</v>
          </cell>
          <cell r="G8">
            <v>0</v>
          </cell>
          <cell r="H8">
            <v>0</v>
          </cell>
          <cell r="I8">
            <v>0</v>
          </cell>
          <cell r="J8">
            <v>0</v>
          </cell>
          <cell r="K8">
            <v>0</v>
          </cell>
          <cell r="L8">
            <v>0</v>
          </cell>
          <cell r="M8">
            <v>0</v>
          </cell>
          <cell r="N8">
            <v>0</v>
          </cell>
          <cell r="O8">
            <v>0</v>
          </cell>
          <cell r="P8">
            <v>0</v>
          </cell>
          <cell r="R8">
            <v>0</v>
          </cell>
          <cell r="S8">
            <v>0</v>
          </cell>
          <cell r="T8">
            <v>0</v>
          </cell>
          <cell r="U8">
            <v>0</v>
          </cell>
          <cell r="V8">
            <v>0</v>
          </cell>
          <cell r="W8">
            <v>0</v>
          </cell>
          <cell r="X8">
            <v>0</v>
          </cell>
          <cell r="Y8">
            <v>0</v>
          </cell>
          <cell r="Z8">
            <v>0</v>
          </cell>
          <cell r="AA8">
            <v>0</v>
          </cell>
          <cell r="AB8">
            <v>0</v>
          </cell>
          <cell r="AC8">
            <v>0</v>
          </cell>
          <cell r="AE8">
            <v>0</v>
          </cell>
          <cell r="AF8">
            <v>0</v>
          </cell>
          <cell r="AG8">
            <v>0</v>
          </cell>
        </row>
        <row r="9">
          <cell r="A9" t="str">
            <v>FEB0001</v>
          </cell>
          <cell r="B9" t="str">
            <v>ECB Milk Chocolate Chunk 12 x160g</v>
          </cell>
          <cell r="C9" t="str">
            <v>Brand</v>
          </cell>
          <cell r="D9">
            <v>1.92</v>
          </cell>
          <cell r="E9">
            <v>2795.0179999999996</v>
          </cell>
          <cell r="F9">
            <v>2254.498</v>
          </cell>
          <cell r="G9">
            <v>1727.9080000000001</v>
          </cell>
          <cell r="H9">
            <v>1640.848</v>
          </cell>
          <cell r="I9">
            <v>1870.04</v>
          </cell>
          <cell r="J9">
            <v>3682.2080000000001</v>
          </cell>
          <cell r="K9">
            <v>2731.0230000000001</v>
          </cell>
          <cell r="L9">
            <v>1513.8679999999999</v>
          </cell>
          <cell r="M9">
            <v>1268.8400000000001</v>
          </cell>
          <cell r="N9">
            <v>916.548</v>
          </cell>
          <cell r="O9">
            <v>2388.4130000000005</v>
          </cell>
          <cell r="P9">
            <v>1367.9479999999999</v>
          </cell>
          <cell r="R9">
            <v>32265.45666</v>
          </cell>
          <cell r="S9">
            <v>28434.930460000003</v>
          </cell>
          <cell r="T9">
            <v>17528.848959999999</v>
          </cell>
          <cell r="U9">
            <v>18553.075359999999</v>
          </cell>
          <cell r="V9">
            <v>18485.425800000001</v>
          </cell>
          <cell r="W9">
            <v>48382.216959999998</v>
          </cell>
          <cell r="X9">
            <v>31278.970509999999</v>
          </cell>
          <cell r="Y9">
            <v>17838.635759999997</v>
          </cell>
          <cell r="Z9">
            <v>11283.675999999999</v>
          </cell>
          <cell r="AA9">
            <v>7621.7303599999996</v>
          </cell>
          <cell r="AB9">
            <v>24178.061810000003</v>
          </cell>
          <cell r="AC9">
            <v>17367.398759999996</v>
          </cell>
          <cell r="AE9">
            <v>24157.16</v>
          </cell>
          <cell r="AF9">
            <v>273218.42739999999</v>
          </cell>
          <cell r="AG9">
            <v>11.310039234744481</v>
          </cell>
        </row>
        <row r="10">
          <cell r="A10" t="str">
            <v>FEB0002</v>
          </cell>
          <cell r="B10" t="str">
            <v>ECB Caramel and Pecan (SG) 12 x 160g</v>
          </cell>
          <cell r="C10" t="str">
            <v>Brand</v>
          </cell>
          <cell r="D10">
            <v>1.92</v>
          </cell>
          <cell r="E10">
            <v>2100.6919999999996</v>
          </cell>
          <cell r="F10">
            <v>1513.8319999999999</v>
          </cell>
          <cell r="G10">
            <v>1150.7919999999999</v>
          </cell>
          <cell r="H10">
            <v>1667.0720000000001</v>
          </cell>
          <cell r="I10">
            <v>1831.0599999999997</v>
          </cell>
          <cell r="J10">
            <v>1201.472</v>
          </cell>
          <cell r="K10">
            <v>1910.6769999999999</v>
          </cell>
          <cell r="L10">
            <v>1527.587</v>
          </cell>
          <cell r="M10">
            <v>1109.54</v>
          </cell>
          <cell r="N10">
            <v>885.93200000000002</v>
          </cell>
          <cell r="O10">
            <v>1990.357</v>
          </cell>
          <cell r="P10">
            <v>987.10699999999997</v>
          </cell>
          <cell r="R10">
            <v>24203.481039999999</v>
          </cell>
          <cell r="S10">
            <v>18669.328839999998</v>
          </cell>
          <cell r="T10">
            <v>13011.013039999998</v>
          </cell>
          <cell r="U10">
            <v>19638.259839999999</v>
          </cell>
          <cell r="V10">
            <v>21067.377799999998</v>
          </cell>
          <cell r="W10">
            <v>15523.22344</v>
          </cell>
          <cell r="X10">
            <v>21399.661489999999</v>
          </cell>
          <cell r="Y10">
            <v>18961.521789999999</v>
          </cell>
          <cell r="Z10">
            <v>12134.623599999999</v>
          </cell>
          <cell r="AA10">
            <v>9554.4342399999987</v>
          </cell>
          <cell r="AB10">
            <v>21974.602490000001</v>
          </cell>
          <cell r="AC10">
            <v>12929.44039</v>
          </cell>
          <cell r="AE10">
            <v>17876.12</v>
          </cell>
          <cell r="AF10">
            <v>209066.96799999996</v>
          </cell>
          <cell r="AG10">
            <v>11.695321356088456</v>
          </cell>
        </row>
        <row r="11">
          <cell r="A11" t="str">
            <v>FEB0003</v>
          </cell>
          <cell r="B11" t="str">
            <v>Milk Chocolate Chunk Cookie 20g single pack</v>
          </cell>
          <cell r="C11" t="str">
            <v>Brand</v>
          </cell>
          <cell r="D11">
            <v>2</v>
          </cell>
          <cell r="E11">
            <v>0</v>
          </cell>
          <cell r="F11">
            <v>0</v>
          </cell>
          <cell r="G11">
            <v>0</v>
          </cell>
          <cell r="H11">
            <v>0</v>
          </cell>
          <cell r="I11">
            <v>0</v>
          </cell>
          <cell r="J11">
            <v>0</v>
          </cell>
          <cell r="K11">
            <v>0</v>
          </cell>
          <cell r="L11">
            <v>0</v>
          </cell>
          <cell r="M11">
            <v>0</v>
          </cell>
          <cell r="N11">
            <v>0</v>
          </cell>
          <cell r="O11">
            <v>0</v>
          </cell>
          <cell r="P11">
            <v>0</v>
          </cell>
          <cell r="R11">
            <v>0</v>
          </cell>
          <cell r="S11">
            <v>0</v>
          </cell>
          <cell r="T11">
            <v>0</v>
          </cell>
          <cell r="U11">
            <v>0</v>
          </cell>
          <cell r="V11">
            <v>0</v>
          </cell>
          <cell r="W11">
            <v>0</v>
          </cell>
          <cell r="X11">
            <v>0</v>
          </cell>
          <cell r="Y11">
            <v>0</v>
          </cell>
          <cell r="Z11">
            <v>0</v>
          </cell>
          <cell r="AA11">
            <v>0</v>
          </cell>
          <cell r="AB11">
            <v>0</v>
          </cell>
          <cell r="AC11">
            <v>0</v>
          </cell>
          <cell r="AE11">
            <v>0</v>
          </cell>
          <cell r="AF11">
            <v>0</v>
          </cell>
          <cell r="AG11">
            <v>0</v>
          </cell>
        </row>
        <row r="12">
          <cell r="A12" t="str">
            <v>FEB0004</v>
          </cell>
          <cell r="B12" t="str">
            <v>ECB Chocolate Enrobed Milk Chocolate Chunk 12 x 160g</v>
          </cell>
          <cell r="C12" t="str">
            <v>Brand</v>
          </cell>
          <cell r="D12">
            <v>1.92</v>
          </cell>
          <cell r="E12">
            <v>2322.2849999999999</v>
          </cell>
          <cell r="F12">
            <v>2272.0050000000001</v>
          </cell>
          <cell r="G12">
            <v>790.03500000000008</v>
          </cell>
          <cell r="H12">
            <v>1531.345</v>
          </cell>
          <cell r="I12">
            <v>1371.6799999999998</v>
          </cell>
          <cell r="J12">
            <v>2213.2550000000001</v>
          </cell>
          <cell r="K12">
            <v>1971.4450000000002</v>
          </cell>
          <cell r="L12">
            <v>1836.6549999999997</v>
          </cell>
          <cell r="M12">
            <v>202.58999999999997</v>
          </cell>
          <cell r="N12">
            <v>701.88499999999999</v>
          </cell>
          <cell r="O12">
            <v>1632.655</v>
          </cell>
          <cell r="P12">
            <v>1074.135</v>
          </cell>
          <cell r="R12">
            <v>29041.134399999999</v>
          </cell>
          <cell r="S12">
            <v>26510.936399999999</v>
          </cell>
          <cell r="T12">
            <v>9950.2623999999996</v>
          </cell>
          <cell r="U12">
            <v>17591.5684</v>
          </cell>
          <cell r="V12">
            <v>15036.6384</v>
          </cell>
          <cell r="W12">
            <v>27591.198799999998</v>
          </cell>
          <cell r="X12">
            <v>24325.844799999999</v>
          </cell>
          <cell r="Y12">
            <v>20785.046399999999</v>
          </cell>
          <cell r="Z12">
            <v>2505.7719999999999</v>
          </cell>
          <cell r="AA12">
            <v>6094.2943999999998</v>
          </cell>
          <cell r="AB12">
            <v>18153.072800000002</v>
          </cell>
          <cell r="AC12">
            <v>14543.625599999999</v>
          </cell>
          <cell r="AE12">
            <v>17919.969999999998</v>
          </cell>
          <cell r="AF12">
            <v>212129.39479999998</v>
          </cell>
          <cell r="AG12">
            <v>11.837597652228213</v>
          </cell>
        </row>
        <row r="13">
          <cell r="A13" t="str">
            <v>FEB0005</v>
          </cell>
          <cell r="B13" t="str">
            <v>ECB Stem Ginger &amp; Chocolate Chunk Crunchy 12 x 160g</v>
          </cell>
          <cell r="C13" t="str">
            <v>Brand</v>
          </cell>
          <cell r="D13">
            <v>1.92</v>
          </cell>
          <cell r="E13">
            <v>2376.0220000000004</v>
          </cell>
          <cell r="F13">
            <v>1457.442</v>
          </cell>
          <cell r="G13">
            <v>1028.6419999999998</v>
          </cell>
          <cell r="H13">
            <v>1479.5819999999999</v>
          </cell>
          <cell r="I13">
            <v>1395.76</v>
          </cell>
          <cell r="J13">
            <v>1801.5519999999997</v>
          </cell>
          <cell r="K13">
            <v>2197.8919999999998</v>
          </cell>
          <cell r="L13">
            <v>1063.037</v>
          </cell>
          <cell r="M13">
            <v>1271.51</v>
          </cell>
          <cell r="N13">
            <v>811.74199999999996</v>
          </cell>
          <cell r="O13">
            <v>1423.6019999999999</v>
          </cell>
          <cell r="P13">
            <v>1026.7269999999999</v>
          </cell>
          <cell r="R13">
            <v>27269.51354</v>
          </cell>
          <cell r="S13">
            <v>19955.479139999999</v>
          </cell>
          <cell r="T13">
            <v>10775.129739999998</v>
          </cell>
          <cell r="U13">
            <v>16746.532139999999</v>
          </cell>
          <cell r="V13">
            <v>15416.735000000001</v>
          </cell>
          <cell r="W13">
            <v>22591.793239999999</v>
          </cell>
          <cell r="X13">
            <v>24674.159439999996</v>
          </cell>
          <cell r="Y13">
            <v>14573.98849</v>
          </cell>
          <cell r="Z13">
            <v>12182.962899999999</v>
          </cell>
          <cell r="AA13">
            <v>7851.6471399999991</v>
          </cell>
          <cell r="AB13">
            <v>13856.39034</v>
          </cell>
          <cell r="AC13">
            <v>13068.356390000001</v>
          </cell>
          <cell r="AE13">
            <v>17333.509999999998</v>
          </cell>
          <cell r="AF13">
            <v>198962.68749999997</v>
          </cell>
          <cell r="AG13">
            <v>11.478499594138752</v>
          </cell>
        </row>
        <row r="14">
          <cell r="A14" t="str">
            <v>FEB0006</v>
          </cell>
          <cell r="B14" t="str">
            <v>ECB Crunch'ems Ginger Crunch</v>
          </cell>
          <cell r="C14" t="str">
            <v>Brand</v>
          </cell>
          <cell r="D14">
            <v>2.58</v>
          </cell>
          <cell r="E14">
            <v>1981.9249999999997</v>
          </cell>
          <cell r="F14">
            <v>1425.2449999999999</v>
          </cell>
          <cell r="G14">
            <v>1306.4449999999997</v>
          </cell>
          <cell r="H14">
            <v>1165.165</v>
          </cell>
          <cell r="I14">
            <v>1638.6</v>
          </cell>
          <cell r="J14">
            <v>944.92500000000018</v>
          </cell>
          <cell r="K14">
            <v>1737.5649999999998</v>
          </cell>
          <cell r="L14">
            <v>1195.0050000000001</v>
          </cell>
          <cell r="M14">
            <v>1243.1199999999999</v>
          </cell>
          <cell r="N14">
            <v>1120.9649999999999</v>
          </cell>
          <cell r="O14">
            <v>1979.2449999999999</v>
          </cell>
          <cell r="P14">
            <v>821.92500000000018</v>
          </cell>
          <cell r="R14">
            <v>15397.7948</v>
          </cell>
          <cell r="S14">
            <v>13128.269600000001</v>
          </cell>
          <cell r="T14">
            <v>10082.554399999999</v>
          </cell>
          <cell r="U14">
            <v>8962.6857999999993</v>
          </cell>
          <cell r="V14">
            <v>12342.281999999999</v>
          </cell>
          <cell r="W14">
            <v>8638.9092000000001</v>
          </cell>
          <cell r="X14">
            <v>13566.316599999998</v>
          </cell>
          <cell r="Y14">
            <v>10603.176600000001</v>
          </cell>
          <cell r="Z14">
            <v>9317.1843999999983</v>
          </cell>
          <cell r="AA14">
            <v>8538.3996000000006</v>
          </cell>
          <cell r="AB14">
            <v>15226.815399999999</v>
          </cell>
          <cell r="AC14">
            <v>7717.0241999999998</v>
          </cell>
          <cell r="AE14">
            <v>16560.129999999997</v>
          </cell>
          <cell r="AF14">
            <v>133521.41259999998</v>
          </cell>
          <cell r="AG14">
            <v>8.062823939184053</v>
          </cell>
        </row>
        <row r="15">
          <cell r="A15" t="str">
            <v>FEB0007</v>
          </cell>
          <cell r="B15" t="str">
            <v>ECB Crunch'ems Coconut Crunch</v>
          </cell>
          <cell r="C15" t="str">
            <v>Brand</v>
          </cell>
          <cell r="D15">
            <v>2.58</v>
          </cell>
          <cell r="E15">
            <v>923.31999999999994</v>
          </cell>
          <cell r="F15">
            <v>1536.3600000000001</v>
          </cell>
          <cell r="G15">
            <v>301.76</v>
          </cell>
          <cell r="H15">
            <v>1105.3599999999999</v>
          </cell>
          <cell r="I15">
            <v>875.76</v>
          </cell>
          <cell r="J15">
            <v>1231.8400000000001</v>
          </cell>
          <cell r="K15">
            <v>923.31999999999994</v>
          </cell>
          <cell r="L15">
            <v>1635.28</v>
          </cell>
          <cell r="M15">
            <v>344.4</v>
          </cell>
          <cell r="N15">
            <v>1021.72</v>
          </cell>
          <cell r="O15">
            <v>1215.2399999999998</v>
          </cell>
          <cell r="P15">
            <v>1067.8400000000001</v>
          </cell>
          <cell r="R15">
            <v>7054.1647999999996</v>
          </cell>
          <cell r="S15">
            <v>13654.2672</v>
          </cell>
          <cell r="T15">
            <v>2305.4463999999998</v>
          </cell>
          <cell r="U15">
            <v>8444.9503999999997</v>
          </cell>
          <cell r="V15">
            <v>6690.8064000000004</v>
          </cell>
          <cell r="W15">
            <v>11832.070400000001</v>
          </cell>
          <cell r="X15">
            <v>7054.1647999999996</v>
          </cell>
          <cell r="Y15">
            <v>14914.352000000001</v>
          </cell>
          <cell r="Z15">
            <v>2631.2159999999999</v>
          </cell>
          <cell r="AA15">
            <v>7805.9408000000003</v>
          </cell>
          <cell r="AB15">
            <v>9284.4335999999985</v>
          </cell>
          <cell r="AC15">
            <v>10579.1104</v>
          </cell>
          <cell r="AE15">
            <v>12182.199999999999</v>
          </cell>
          <cell r="AF15">
            <v>102250.9232</v>
          </cell>
          <cell r="AG15">
            <v>8.3934694226001891</v>
          </cell>
        </row>
        <row r="16">
          <cell r="A16" t="str">
            <v>FEB0008</v>
          </cell>
          <cell r="B16" t="str">
            <v>ECB Milk Chocolate Enrobed Butter Crunch</v>
          </cell>
          <cell r="C16" t="str">
            <v>Brand</v>
          </cell>
          <cell r="D16">
            <v>2.7</v>
          </cell>
          <cell r="E16">
            <v>522.32500000000005</v>
          </cell>
          <cell r="F16">
            <v>231.64499999999998</v>
          </cell>
          <cell r="G16">
            <v>454.88499999999993</v>
          </cell>
          <cell r="H16">
            <v>106.96499999999999</v>
          </cell>
          <cell r="I16">
            <v>403.67999999999995</v>
          </cell>
          <cell r="J16">
            <v>154.76499999999999</v>
          </cell>
          <cell r="K16">
            <v>522.32500000000005</v>
          </cell>
          <cell r="L16">
            <v>192.04500000000002</v>
          </cell>
          <cell r="M16">
            <v>431.32</v>
          </cell>
          <cell r="N16">
            <v>132.04499999999999</v>
          </cell>
          <cell r="O16">
            <v>535.64499999999998</v>
          </cell>
          <cell r="P16">
            <v>66.204999999999998</v>
          </cell>
          <cell r="R16">
            <v>5393.4395999999997</v>
          </cell>
          <cell r="S16">
            <v>2630.4083999999998</v>
          </cell>
          <cell r="T16">
            <v>4454.6747999999998</v>
          </cell>
          <cell r="U16">
            <v>1219.6320000000001</v>
          </cell>
          <cell r="V16">
            <v>3741.9011999999993</v>
          </cell>
          <cell r="W16">
            <v>1726.5839999999998</v>
          </cell>
          <cell r="X16">
            <v>5393.4395999999997</v>
          </cell>
          <cell r="Y16">
            <v>2197.9944</v>
          </cell>
          <cell r="Z16">
            <v>3920.6987999999997</v>
          </cell>
          <cell r="AA16">
            <v>1362.7943999999998</v>
          </cell>
          <cell r="AB16">
            <v>5309.5331999999999</v>
          </cell>
          <cell r="AC16">
            <v>921.57359999999994</v>
          </cell>
          <cell r="AE16">
            <v>3753.8500000000004</v>
          </cell>
          <cell r="AF16">
            <v>38272.673999999999</v>
          </cell>
          <cell r="AG16">
            <v>10.195578938956004</v>
          </cell>
        </row>
        <row r="17">
          <cell r="A17" t="str">
            <v>FEB0009</v>
          </cell>
          <cell r="B17" t="str">
            <v>ECB Milk Chocolate Enrobed Oat Biscuits</v>
          </cell>
          <cell r="C17" t="str">
            <v>Brand</v>
          </cell>
          <cell r="D17">
            <v>2.7600000000000002</v>
          </cell>
          <cell r="E17">
            <v>0</v>
          </cell>
          <cell r="F17">
            <v>0</v>
          </cell>
          <cell r="G17">
            <v>0</v>
          </cell>
          <cell r="H17">
            <v>0</v>
          </cell>
          <cell r="I17">
            <v>0</v>
          </cell>
          <cell r="J17">
            <v>0</v>
          </cell>
          <cell r="K17">
            <v>0</v>
          </cell>
          <cell r="L17">
            <v>0</v>
          </cell>
          <cell r="M17">
            <v>0</v>
          </cell>
          <cell r="N17">
            <v>0</v>
          </cell>
          <cell r="O17">
            <v>0</v>
          </cell>
          <cell r="P17">
            <v>0</v>
          </cell>
          <cell r="R17">
            <v>0</v>
          </cell>
          <cell r="S17">
            <v>0</v>
          </cell>
          <cell r="T17">
            <v>0</v>
          </cell>
          <cell r="U17">
            <v>0</v>
          </cell>
          <cell r="V17">
            <v>0</v>
          </cell>
          <cell r="W17">
            <v>0</v>
          </cell>
          <cell r="X17">
            <v>0</v>
          </cell>
          <cell r="Y17">
            <v>0</v>
          </cell>
          <cell r="Z17">
            <v>0</v>
          </cell>
          <cell r="AA17">
            <v>0</v>
          </cell>
          <cell r="AB17">
            <v>0</v>
          </cell>
          <cell r="AC17">
            <v>0</v>
          </cell>
          <cell r="AE17">
            <v>0</v>
          </cell>
          <cell r="AF17">
            <v>0</v>
          </cell>
          <cell r="AG17">
            <v>0</v>
          </cell>
        </row>
        <row r="18">
          <cell r="A18" t="str">
            <v>FEB0010</v>
          </cell>
          <cell r="B18" t="str">
            <v>Milk Chocolate Chunk Cookie Half Coated 45g ( 2 X 24 ) SRP</v>
          </cell>
          <cell r="C18" t="str">
            <v>Brand</v>
          </cell>
          <cell r="D18">
            <v>1.08</v>
          </cell>
          <cell r="E18">
            <v>316.55</v>
          </cell>
          <cell r="F18">
            <v>544.77800000000002</v>
          </cell>
          <cell r="G18">
            <v>316.55</v>
          </cell>
          <cell r="H18">
            <v>316.55</v>
          </cell>
          <cell r="I18">
            <v>316.55</v>
          </cell>
          <cell r="J18">
            <v>316.55</v>
          </cell>
          <cell r="K18">
            <v>316.55</v>
          </cell>
          <cell r="L18">
            <v>544.77800000000002</v>
          </cell>
          <cell r="M18">
            <v>316.55</v>
          </cell>
          <cell r="N18">
            <v>316.55</v>
          </cell>
          <cell r="O18">
            <v>544.77800000000002</v>
          </cell>
          <cell r="P18">
            <v>316.55</v>
          </cell>
          <cell r="R18">
            <v>3523.2015000000006</v>
          </cell>
          <cell r="S18">
            <v>6063.3791400000009</v>
          </cell>
          <cell r="T18">
            <v>3523.2015000000006</v>
          </cell>
          <cell r="U18">
            <v>3523.2015000000006</v>
          </cell>
          <cell r="V18">
            <v>3523.2015000000006</v>
          </cell>
          <cell r="W18">
            <v>3523.2015000000006</v>
          </cell>
          <cell r="X18">
            <v>3523.2015000000006</v>
          </cell>
          <cell r="Y18">
            <v>6063.3791400000009</v>
          </cell>
          <cell r="Z18">
            <v>3523.2015000000006</v>
          </cell>
          <cell r="AA18">
            <v>3523.2015000000006</v>
          </cell>
          <cell r="AB18">
            <v>6063.3791400000009</v>
          </cell>
          <cell r="AC18">
            <v>3523.2015000000006</v>
          </cell>
          <cell r="AE18">
            <v>4483.2840000000006</v>
          </cell>
          <cell r="AF18">
            <v>49898.95092000001</v>
          </cell>
          <cell r="AG18">
            <v>11.13</v>
          </cell>
        </row>
        <row r="19">
          <cell r="A19" t="str">
            <v>FEB0011</v>
          </cell>
          <cell r="B19" t="str">
            <v>Milk Chocolate Chunk Cookie 40g Twin Pack SRP</v>
          </cell>
          <cell r="C19" t="str">
            <v>Brand</v>
          </cell>
          <cell r="D19">
            <v>0.96</v>
          </cell>
          <cell r="E19">
            <v>303.25</v>
          </cell>
          <cell r="F19">
            <v>531.47800000000007</v>
          </cell>
          <cell r="G19">
            <v>559.08999999999992</v>
          </cell>
          <cell r="H19">
            <v>303.25</v>
          </cell>
          <cell r="I19">
            <v>303.25</v>
          </cell>
          <cell r="J19">
            <v>559.08999999999992</v>
          </cell>
          <cell r="K19">
            <v>303.25</v>
          </cell>
          <cell r="L19">
            <v>531.47800000000007</v>
          </cell>
          <cell r="M19">
            <v>303.25</v>
          </cell>
          <cell r="N19">
            <v>559.08999999999992</v>
          </cell>
          <cell r="O19">
            <v>531.47800000000007</v>
          </cell>
          <cell r="P19">
            <v>303.25</v>
          </cell>
          <cell r="R19">
            <v>3250.84</v>
          </cell>
          <cell r="S19">
            <v>5697.4441600000009</v>
          </cell>
          <cell r="T19">
            <v>5553.4</v>
          </cell>
          <cell r="U19">
            <v>3250.84</v>
          </cell>
          <cell r="V19">
            <v>3250.84</v>
          </cell>
          <cell r="W19">
            <v>5553.4</v>
          </cell>
          <cell r="X19">
            <v>3250.84</v>
          </cell>
          <cell r="Y19">
            <v>5697.4441600000009</v>
          </cell>
          <cell r="Z19">
            <v>3250.84</v>
          </cell>
          <cell r="AA19">
            <v>5553.4</v>
          </cell>
          <cell r="AB19">
            <v>5697.4441600000009</v>
          </cell>
          <cell r="AC19">
            <v>3250.84</v>
          </cell>
          <cell r="AE19">
            <v>5091.2039999999997</v>
          </cell>
          <cell r="AF19">
            <v>53257.572480000003</v>
          </cell>
          <cell r="AG19">
            <v>10.460702906424494</v>
          </cell>
        </row>
        <row r="20">
          <cell r="A20" t="str">
            <v>FEB0012</v>
          </cell>
          <cell r="B20" t="str">
            <v>ECB Granola Crunchy with Nuts &amp; Seeds 160g</v>
          </cell>
          <cell r="C20" t="str">
            <v>Brand</v>
          </cell>
          <cell r="D20">
            <v>1.92</v>
          </cell>
          <cell r="E20">
            <v>2007.1649999999997</v>
          </cell>
          <cell r="F20">
            <v>1785.175</v>
          </cell>
          <cell r="G20">
            <v>1111.4649999999999</v>
          </cell>
          <cell r="H20">
            <v>2349.355</v>
          </cell>
          <cell r="I20">
            <v>1588.7</v>
          </cell>
          <cell r="J20">
            <v>1747.3049999999998</v>
          </cell>
          <cell r="K20">
            <v>2040.365</v>
          </cell>
          <cell r="L20">
            <v>1817.8749999999998</v>
          </cell>
          <cell r="M20">
            <v>982.06</v>
          </cell>
          <cell r="N20">
            <v>1700.2649999999999</v>
          </cell>
          <cell r="O20">
            <v>1626.825</v>
          </cell>
          <cell r="P20">
            <v>1271.0150000000001</v>
          </cell>
          <cell r="R20">
            <v>22660.326049999996</v>
          </cell>
          <cell r="S20">
            <v>21455.95175</v>
          </cell>
          <cell r="T20">
            <v>12665.87105</v>
          </cell>
          <cell r="U20">
            <v>26715.887149999999</v>
          </cell>
          <cell r="V20">
            <v>18806.8554</v>
          </cell>
          <cell r="W20">
            <v>20646.459849999999</v>
          </cell>
          <cell r="X20">
            <v>23107.232049999999</v>
          </cell>
          <cell r="Y20">
            <v>21961.845150000001</v>
          </cell>
          <cell r="Z20">
            <v>10552.168599999999</v>
          </cell>
          <cell r="AA20">
            <v>17673.341049999999</v>
          </cell>
          <cell r="AB20">
            <v>17972.949850000001</v>
          </cell>
          <cell r="AC20">
            <v>16055.90295</v>
          </cell>
          <cell r="AE20">
            <v>20027.57</v>
          </cell>
          <cell r="AF20">
            <v>230274.79089999999</v>
          </cell>
          <cell r="AG20">
            <v>11.497889704042976</v>
          </cell>
        </row>
        <row r="21">
          <cell r="A21" t="str">
            <v>FEB0013</v>
          </cell>
          <cell r="B21" t="str">
            <v>ECB Granola Crunchy with Choc Chips</v>
          </cell>
          <cell r="C21" t="str">
            <v>Brand</v>
          </cell>
          <cell r="D21">
            <v>1.92</v>
          </cell>
          <cell r="E21">
            <v>1977.5039999999999</v>
          </cell>
          <cell r="F21">
            <v>1997.2639999999999</v>
          </cell>
          <cell r="G21">
            <v>1065.2339999999999</v>
          </cell>
          <cell r="H21">
            <v>2021.7939999999999</v>
          </cell>
          <cell r="I21">
            <v>1809.96</v>
          </cell>
          <cell r="J21">
            <v>1768.5739999999998</v>
          </cell>
          <cell r="K21">
            <v>2047.5040000000001</v>
          </cell>
          <cell r="L21">
            <v>1978.2439999999999</v>
          </cell>
          <cell r="M21">
            <v>1006.01</v>
          </cell>
          <cell r="N21">
            <v>1721.0240000000001</v>
          </cell>
          <cell r="O21">
            <v>1570.7539999999999</v>
          </cell>
          <cell r="P21">
            <v>1461.694</v>
          </cell>
          <cell r="R21">
            <v>21242.771280000001</v>
          </cell>
          <cell r="S21">
            <v>22612.954880000001</v>
          </cell>
          <cell r="T21">
            <v>11824.185379999999</v>
          </cell>
          <cell r="U21">
            <v>22256.874980000001</v>
          </cell>
          <cell r="V21">
            <v>20189.713600000003</v>
          </cell>
          <cell r="W21">
            <v>20133.41358</v>
          </cell>
          <cell r="X21">
            <v>22262.671280000002</v>
          </cell>
          <cell r="Y21">
            <v>22465.557479999999</v>
          </cell>
          <cell r="Z21">
            <v>10711.109700000001</v>
          </cell>
          <cell r="AA21">
            <v>16949.897680000002</v>
          </cell>
          <cell r="AB21">
            <v>16474.673779999997</v>
          </cell>
          <cell r="AC21">
            <v>17524.63798</v>
          </cell>
          <cell r="AE21">
            <v>20425.560000000005</v>
          </cell>
          <cell r="AF21">
            <v>224648.46159999998</v>
          </cell>
          <cell r="AG21">
            <v>10.998399143034508</v>
          </cell>
        </row>
        <row r="22">
          <cell r="A22" t="str">
            <v>FEB0018</v>
          </cell>
          <cell r="B22" t="str">
            <v>ECB (USA) Ginger Crunch</v>
          </cell>
          <cell r="C22" t="str">
            <v>Brand</v>
          </cell>
          <cell r="D22">
            <v>2.58</v>
          </cell>
          <cell r="E22">
            <v>0</v>
          </cell>
          <cell r="F22">
            <v>0</v>
          </cell>
          <cell r="G22">
            <v>0</v>
          </cell>
          <cell r="H22">
            <v>0</v>
          </cell>
          <cell r="I22">
            <v>0</v>
          </cell>
          <cell r="J22">
            <v>0</v>
          </cell>
          <cell r="K22">
            <v>0</v>
          </cell>
          <cell r="L22">
            <v>0</v>
          </cell>
          <cell r="M22">
            <v>0</v>
          </cell>
          <cell r="N22">
            <v>0</v>
          </cell>
          <cell r="O22">
            <v>0</v>
          </cell>
          <cell r="P22">
            <v>0</v>
          </cell>
          <cell r="R22">
            <v>0</v>
          </cell>
          <cell r="S22">
            <v>0</v>
          </cell>
          <cell r="T22">
            <v>0</v>
          </cell>
          <cell r="U22">
            <v>0</v>
          </cell>
          <cell r="V22">
            <v>0</v>
          </cell>
          <cell r="W22">
            <v>0</v>
          </cell>
          <cell r="X22">
            <v>0</v>
          </cell>
          <cell r="Y22">
            <v>0</v>
          </cell>
          <cell r="Z22">
            <v>0</v>
          </cell>
          <cell r="AA22">
            <v>0</v>
          </cell>
          <cell r="AB22">
            <v>0</v>
          </cell>
          <cell r="AC22">
            <v>0</v>
          </cell>
          <cell r="AE22">
            <v>0</v>
          </cell>
          <cell r="AF22">
            <v>0</v>
          </cell>
          <cell r="AG22">
            <v>0</v>
          </cell>
        </row>
        <row r="23">
          <cell r="A23" t="str">
            <v>FEB0019</v>
          </cell>
          <cell r="B23" t="str">
            <v>ECB (UK) Milk Choc Chunk 160g</v>
          </cell>
          <cell r="C23" t="str">
            <v>Brand</v>
          </cell>
          <cell r="D23">
            <v>1.92</v>
          </cell>
          <cell r="E23">
            <v>3125</v>
          </cell>
          <cell r="F23">
            <v>2500</v>
          </cell>
          <cell r="G23">
            <v>2500</v>
          </cell>
          <cell r="H23">
            <v>4687.5</v>
          </cell>
          <cell r="I23">
            <v>5000</v>
          </cell>
          <cell r="J23">
            <v>5000</v>
          </cell>
          <cell r="K23">
            <v>6250</v>
          </cell>
          <cell r="L23">
            <v>5625</v>
          </cell>
          <cell r="M23">
            <v>5625</v>
          </cell>
          <cell r="N23">
            <v>7031.25</v>
          </cell>
          <cell r="O23">
            <v>5625</v>
          </cell>
          <cell r="P23">
            <v>5625</v>
          </cell>
          <cell r="R23">
            <v>20000</v>
          </cell>
          <cell r="S23">
            <v>15999.999999999998</v>
          </cell>
          <cell r="T23">
            <v>15999.999999999998</v>
          </cell>
          <cell r="U23">
            <v>29999.999999999996</v>
          </cell>
          <cell r="V23">
            <v>31999.999999999996</v>
          </cell>
          <cell r="W23">
            <v>31999.999999999996</v>
          </cell>
          <cell r="X23">
            <v>40000</v>
          </cell>
          <cell r="Y23">
            <v>36000</v>
          </cell>
          <cell r="Z23">
            <v>36000</v>
          </cell>
          <cell r="AA23">
            <v>44999.999999999993</v>
          </cell>
          <cell r="AB23">
            <v>36000</v>
          </cell>
          <cell r="AC23">
            <v>36000</v>
          </cell>
          <cell r="AE23">
            <v>58593.75</v>
          </cell>
          <cell r="AF23">
            <v>375000</v>
          </cell>
          <cell r="AG23">
            <v>6.4</v>
          </cell>
        </row>
        <row r="24">
          <cell r="A24" t="str">
            <v>FEB0020</v>
          </cell>
          <cell r="B24" t="str">
            <v>ECB (UK) Chocolate Enrobed Milk Chocolate Chunk Cookie 160g</v>
          </cell>
          <cell r="C24" t="str">
            <v>Brand</v>
          </cell>
          <cell r="D24">
            <v>1.92</v>
          </cell>
          <cell r="E24">
            <v>3375</v>
          </cell>
          <cell r="F24">
            <v>2700</v>
          </cell>
          <cell r="G24">
            <v>2700</v>
          </cell>
          <cell r="H24">
            <v>5062.5</v>
          </cell>
          <cell r="I24">
            <v>5400</v>
          </cell>
          <cell r="J24">
            <v>5400</v>
          </cell>
          <cell r="K24">
            <v>6750</v>
          </cell>
          <cell r="L24">
            <v>6075</v>
          </cell>
          <cell r="M24">
            <v>6075</v>
          </cell>
          <cell r="N24">
            <v>7593.75</v>
          </cell>
          <cell r="O24">
            <v>6075</v>
          </cell>
          <cell r="P24">
            <v>6075</v>
          </cell>
          <cell r="R24">
            <v>21600</v>
          </cell>
          <cell r="S24">
            <v>17280</v>
          </cell>
          <cell r="T24">
            <v>17280</v>
          </cell>
          <cell r="U24">
            <v>32399.999999999996</v>
          </cell>
          <cell r="V24">
            <v>34560</v>
          </cell>
          <cell r="W24">
            <v>34560</v>
          </cell>
          <cell r="X24">
            <v>43200</v>
          </cell>
          <cell r="Y24">
            <v>38880</v>
          </cell>
          <cell r="Z24">
            <v>38880</v>
          </cell>
          <cell r="AA24">
            <v>48599.999999999993</v>
          </cell>
          <cell r="AB24">
            <v>38880</v>
          </cell>
          <cell r="AC24">
            <v>38880</v>
          </cell>
          <cell r="AE24">
            <v>63281.25</v>
          </cell>
          <cell r="AF24">
            <v>405000</v>
          </cell>
          <cell r="AG24">
            <v>6.4</v>
          </cell>
        </row>
        <row r="25">
          <cell r="A25" t="str">
            <v>FEB0021</v>
          </cell>
          <cell r="B25" t="str">
            <v>ECB (UK) Stem Ginger &amp; Chocolate Chunk Cookie 160g</v>
          </cell>
          <cell r="C25" t="str">
            <v>Brand</v>
          </cell>
          <cell r="D25">
            <v>1.92</v>
          </cell>
          <cell r="E25">
            <v>2500</v>
          </cell>
          <cell r="F25">
            <v>2000</v>
          </cell>
          <cell r="G25">
            <v>2000</v>
          </cell>
          <cell r="H25">
            <v>3750</v>
          </cell>
          <cell r="I25">
            <v>4000</v>
          </cell>
          <cell r="J25">
            <v>4000</v>
          </cell>
          <cell r="K25">
            <v>5000</v>
          </cell>
          <cell r="L25">
            <v>4500</v>
          </cell>
          <cell r="M25">
            <v>4500</v>
          </cell>
          <cell r="N25">
            <v>5625</v>
          </cell>
          <cell r="O25">
            <v>4500</v>
          </cell>
          <cell r="P25">
            <v>4500</v>
          </cell>
          <cell r="R25">
            <v>15999.999999999998</v>
          </cell>
          <cell r="S25">
            <v>12799.999999999998</v>
          </cell>
          <cell r="T25">
            <v>12799.999999999998</v>
          </cell>
          <cell r="U25">
            <v>23999.999999999996</v>
          </cell>
          <cell r="V25">
            <v>25599.999999999996</v>
          </cell>
          <cell r="W25">
            <v>25599.999999999996</v>
          </cell>
          <cell r="X25">
            <v>31999.999999999996</v>
          </cell>
          <cell r="Y25">
            <v>28799.999999999996</v>
          </cell>
          <cell r="Z25">
            <v>28799.999999999996</v>
          </cell>
          <cell r="AA25">
            <v>36000</v>
          </cell>
          <cell r="AB25">
            <v>28799.999999999996</v>
          </cell>
          <cell r="AC25">
            <v>28799.999999999996</v>
          </cell>
          <cell r="AE25">
            <v>46875</v>
          </cell>
          <cell r="AF25">
            <v>299999.99999999994</v>
          </cell>
          <cell r="AG25">
            <v>6.3999999999999986</v>
          </cell>
        </row>
        <row r="26">
          <cell r="A26" t="str">
            <v>FEB0022</v>
          </cell>
          <cell r="B26" t="str">
            <v>ECB (UK) Granola Crunchy with Nuts &amp; Seeds 160g</v>
          </cell>
          <cell r="C26" t="str">
            <v>Brand</v>
          </cell>
          <cell r="D26">
            <v>1.92</v>
          </cell>
          <cell r="E26">
            <v>2250</v>
          </cell>
          <cell r="F26">
            <v>1800</v>
          </cell>
          <cell r="G26">
            <v>1800</v>
          </cell>
          <cell r="H26">
            <v>3375</v>
          </cell>
          <cell r="I26">
            <v>3600</v>
          </cell>
          <cell r="J26">
            <v>3600</v>
          </cell>
          <cell r="K26">
            <v>4500</v>
          </cell>
          <cell r="L26">
            <v>4050</v>
          </cell>
          <cell r="M26">
            <v>4050</v>
          </cell>
          <cell r="N26">
            <v>5062.5</v>
          </cell>
          <cell r="O26">
            <v>4050</v>
          </cell>
          <cell r="P26">
            <v>4050</v>
          </cell>
          <cell r="R26">
            <v>14399.999999999998</v>
          </cell>
          <cell r="S26">
            <v>11519.999999999998</v>
          </cell>
          <cell r="T26">
            <v>11519.999999999998</v>
          </cell>
          <cell r="U26">
            <v>21600</v>
          </cell>
          <cell r="V26">
            <v>23039.999999999996</v>
          </cell>
          <cell r="W26">
            <v>23039.999999999996</v>
          </cell>
          <cell r="X26">
            <v>28799.999999999996</v>
          </cell>
          <cell r="Y26">
            <v>25919.999999999996</v>
          </cell>
          <cell r="Z26">
            <v>25919.999999999996</v>
          </cell>
          <cell r="AA26">
            <v>32399.999999999996</v>
          </cell>
          <cell r="AB26">
            <v>25919.999999999996</v>
          </cell>
          <cell r="AC26">
            <v>25919.999999999996</v>
          </cell>
          <cell r="AE26">
            <v>42187.5</v>
          </cell>
          <cell r="AF26">
            <v>269999.99999999994</v>
          </cell>
          <cell r="AG26">
            <v>6.3999999999999986</v>
          </cell>
        </row>
        <row r="27">
          <cell r="A27" t="str">
            <v>FEB0023</v>
          </cell>
          <cell r="B27" t="str">
            <v>ECB (UK) Triple Chocolate Chunk 160g</v>
          </cell>
          <cell r="C27" t="str">
            <v>Brand</v>
          </cell>
          <cell r="D27">
            <v>1.92</v>
          </cell>
          <cell r="E27">
            <v>2300</v>
          </cell>
          <cell r="F27">
            <v>1840</v>
          </cell>
          <cell r="G27">
            <v>1840</v>
          </cell>
          <cell r="H27">
            <v>3450</v>
          </cell>
          <cell r="I27">
            <v>3680</v>
          </cell>
          <cell r="J27">
            <v>3680</v>
          </cell>
          <cell r="K27">
            <v>4600</v>
          </cell>
          <cell r="L27">
            <v>4140</v>
          </cell>
          <cell r="M27">
            <v>4140</v>
          </cell>
          <cell r="N27">
            <v>5175</v>
          </cell>
          <cell r="O27">
            <v>4140</v>
          </cell>
          <cell r="P27">
            <v>4140</v>
          </cell>
          <cell r="R27">
            <v>14719.999999999998</v>
          </cell>
          <cell r="S27">
            <v>11775.999999999998</v>
          </cell>
          <cell r="T27">
            <v>11775.999999999998</v>
          </cell>
          <cell r="U27">
            <v>22079.999999999996</v>
          </cell>
          <cell r="V27">
            <v>23551.999999999996</v>
          </cell>
          <cell r="W27">
            <v>23551.999999999996</v>
          </cell>
          <cell r="X27">
            <v>29439.999999999996</v>
          </cell>
          <cell r="Y27">
            <v>26495.999999999996</v>
          </cell>
          <cell r="Z27">
            <v>26495.999999999996</v>
          </cell>
          <cell r="AA27">
            <v>33120</v>
          </cell>
          <cell r="AB27">
            <v>26495.999999999996</v>
          </cell>
          <cell r="AC27">
            <v>26495.999999999996</v>
          </cell>
          <cell r="AE27">
            <v>43125</v>
          </cell>
          <cell r="AF27">
            <v>275999.99999999994</v>
          </cell>
          <cell r="AG27">
            <v>6.3999999999999986</v>
          </cell>
        </row>
        <row r="28">
          <cell r="A28" t="str">
            <v>FEB0024</v>
          </cell>
          <cell r="B28" t="str">
            <v>ECB Milk Chocolate Chunk 160g (USA)</v>
          </cell>
          <cell r="C28" t="str">
            <v>Brand</v>
          </cell>
          <cell r="D28">
            <v>1.92</v>
          </cell>
          <cell r="E28">
            <v>0</v>
          </cell>
          <cell r="F28">
            <v>688</v>
          </cell>
          <cell r="G28">
            <v>0</v>
          </cell>
          <cell r="H28">
            <v>688</v>
          </cell>
          <cell r="I28">
            <v>0</v>
          </cell>
          <cell r="J28">
            <v>688</v>
          </cell>
          <cell r="K28">
            <v>0</v>
          </cell>
          <cell r="L28">
            <v>688</v>
          </cell>
          <cell r="M28">
            <v>0</v>
          </cell>
          <cell r="N28">
            <v>688</v>
          </cell>
          <cell r="O28">
            <v>0</v>
          </cell>
          <cell r="P28">
            <v>688</v>
          </cell>
          <cell r="R28">
            <v>0</v>
          </cell>
          <cell r="S28">
            <v>5947.8807049758088</v>
          </cell>
          <cell r="T28">
            <v>0</v>
          </cell>
          <cell r="U28">
            <v>5947.8807049758088</v>
          </cell>
          <cell r="V28">
            <v>0</v>
          </cell>
          <cell r="W28">
            <v>5947.8807049758088</v>
          </cell>
          <cell r="X28">
            <v>0</v>
          </cell>
          <cell r="Y28">
            <v>5947.8807049758088</v>
          </cell>
          <cell r="Z28">
            <v>0</v>
          </cell>
          <cell r="AA28">
            <v>5947.8807049758088</v>
          </cell>
          <cell r="AB28">
            <v>0</v>
          </cell>
          <cell r="AC28">
            <v>5947.8807049758088</v>
          </cell>
          <cell r="AE28">
            <v>4128</v>
          </cell>
          <cell r="AF28">
            <v>35687.284229854857</v>
          </cell>
          <cell r="AG28">
            <v>8.6451754432787933</v>
          </cell>
        </row>
        <row r="29">
          <cell r="A29" t="str">
            <v>FEB0025</v>
          </cell>
          <cell r="B29" t="str">
            <v>Chocolate Enrobed Milk Chocolate Chunk 160g (USA)</v>
          </cell>
          <cell r="C29" t="str">
            <v>Brand</v>
          </cell>
          <cell r="D29">
            <v>1.92</v>
          </cell>
          <cell r="E29">
            <v>0</v>
          </cell>
          <cell r="F29">
            <v>679</v>
          </cell>
          <cell r="G29">
            <v>0</v>
          </cell>
          <cell r="H29">
            <v>679</v>
          </cell>
          <cell r="I29">
            <v>0</v>
          </cell>
          <cell r="J29">
            <v>679</v>
          </cell>
          <cell r="K29">
            <v>0</v>
          </cell>
          <cell r="L29">
            <v>679</v>
          </cell>
          <cell r="M29">
            <v>0</v>
          </cell>
          <cell r="N29">
            <v>679</v>
          </cell>
          <cell r="O29">
            <v>0</v>
          </cell>
          <cell r="P29">
            <v>679</v>
          </cell>
          <cell r="R29">
            <v>0</v>
          </cell>
          <cell r="S29">
            <v>6412.9716309315372</v>
          </cell>
          <cell r="T29">
            <v>0</v>
          </cell>
          <cell r="U29">
            <v>6412.9716309315372</v>
          </cell>
          <cell r="V29">
            <v>0</v>
          </cell>
          <cell r="W29">
            <v>6412.9716309315372</v>
          </cell>
          <cell r="X29">
            <v>0</v>
          </cell>
          <cell r="Y29">
            <v>6412.9716309315372</v>
          </cell>
          <cell r="Z29">
            <v>0</v>
          </cell>
          <cell r="AA29">
            <v>6412.9716309315372</v>
          </cell>
          <cell r="AB29">
            <v>0</v>
          </cell>
          <cell r="AC29">
            <v>6412.9716309315372</v>
          </cell>
          <cell r="AE29">
            <v>4074</v>
          </cell>
          <cell r="AF29">
            <v>38477.829785589223</v>
          </cell>
          <cell r="AG29">
            <v>9.4447299424617626</v>
          </cell>
        </row>
        <row r="30">
          <cell r="A30" t="str">
            <v>FEB0026</v>
          </cell>
          <cell r="B30" t="str">
            <v>Milk Chocolate Chunk Cookie - 2 Cookie Minipack (USA)</v>
          </cell>
          <cell r="C30" t="str">
            <v>Brand</v>
          </cell>
          <cell r="D30">
            <v>0.96</v>
          </cell>
          <cell r="E30">
            <v>0</v>
          </cell>
          <cell r="F30">
            <v>635</v>
          </cell>
          <cell r="G30">
            <v>0</v>
          </cell>
          <cell r="H30">
            <v>635</v>
          </cell>
          <cell r="I30">
            <v>0</v>
          </cell>
          <cell r="J30">
            <v>635</v>
          </cell>
          <cell r="K30">
            <v>0</v>
          </cell>
          <cell r="L30">
            <v>635</v>
          </cell>
          <cell r="M30">
            <v>0</v>
          </cell>
          <cell r="N30">
            <v>635</v>
          </cell>
          <cell r="O30">
            <v>0</v>
          </cell>
          <cell r="P30">
            <v>635</v>
          </cell>
          <cell r="R30">
            <v>0</v>
          </cell>
          <cell r="S30">
            <v>4447.2923047585782</v>
          </cell>
          <cell r="T30">
            <v>0</v>
          </cell>
          <cell r="U30">
            <v>4447.2923047585782</v>
          </cell>
          <cell r="V30">
            <v>0</v>
          </cell>
          <cell r="W30">
            <v>4447.2923047585782</v>
          </cell>
          <cell r="X30">
            <v>0</v>
          </cell>
          <cell r="Y30">
            <v>4447.2923047585782</v>
          </cell>
          <cell r="Z30">
            <v>0</v>
          </cell>
          <cell r="AA30">
            <v>4447.2923047585782</v>
          </cell>
          <cell r="AB30">
            <v>0</v>
          </cell>
          <cell r="AC30">
            <v>4447.2923047585782</v>
          </cell>
          <cell r="AE30">
            <v>3810</v>
          </cell>
          <cell r="AF30">
            <v>26683.753828551471</v>
          </cell>
          <cell r="AG30">
            <v>7.0036099287536668</v>
          </cell>
        </row>
        <row r="31">
          <cell r="A31" t="str">
            <v>FEB0027</v>
          </cell>
          <cell r="B31" t="str">
            <v>Chocolate Enrobed Milk Choc Chunk - 2 Cookie Minipack (USA)</v>
          </cell>
          <cell r="C31" t="str">
            <v>Brand</v>
          </cell>
          <cell r="D31">
            <v>1.08</v>
          </cell>
          <cell r="E31">
            <v>0</v>
          </cell>
          <cell r="F31">
            <v>579</v>
          </cell>
          <cell r="G31">
            <v>0</v>
          </cell>
          <cell r="H31">
            <v>579</v>
          </cell>
          <cell r="I31">
            <v>0</v>
          </cell>
          <cell r="J31">
            <v>579</v>
          </cell>
          <cell r="K31">
            <v>0</v>
          </cell>
          <cell r="L31">
            <v>579</v>
          </cell>
          <cell r="M31">
            <v>0</v>
          </cell>
          <cell r="N31">
            <v>579</v>
          </cell>
          <cell r="O31">
            <v>0</v>
          </cell>
          <cell r="P31">
            <v>579</v>
          </cell>
          <cell r="R31">
            <v>0</v>
          </cell>
          <cell r="S31">
            <v>4389.7905651633528</v>
          </cell>
          <cell r="T31">
            <v>0</v>
          </cell>
          <cell r="U31">
            <v>4389.7905651633528</v>
          </cell>
          <cell r="V31">
            <v>0</v>
          </cell>
          <cell r="W31">
            <v>4389.7905651633528</v>
          </cell>
          <cell r="X31">
            <v>0</v>
          </cell>
          <cell r="Y31">
            <v>4389.7905651633528</v>
          </cell>
          <cell r="Z31">
            <v>0</v>
          </cell>
          <cell r="AA31">
            <v>4389.7905651633528</v>
          </cell>
          <cell r="AB31">
            <v>0</v>
          </cell>
          <cell r="AC31">
            <v>4389.7905651633528</v>
          </cell>
          <cell r="AE31">
            <v>3474</v>
          </cell>
          <cell r="AF31">
            <v>26338.743390980115</v>
          </cell>
          <cell r="AG31">
            <v>7.5816762783477589</v>
          </cell>
        </row>
        <row r="32">
          <cell r="A32" t="str">
            <v>FEB0028</v>
          </cell>
          <cell r="B32" t="str">
            <v>ECB Milk Chocolate Chunk 50% Extra Free 240g</v>
          </cell>
          <cell r="C32" t="str">
            <v>Brand</v>
          </cell>
          <cell r="D32">
            <v>2.88</v>
          </cell>
          <cell r="E32">
            <v>0</v>
          </cell>
          <cell r="F32">
            <v>0</v>
          </cell>
          <cell r="G32">
            <v>0</v>
          </cell>
          <cell r="H32">
            <v>370.51499999999999</v>
          </cell>
          <cell r="I32">
            <v>271.637</v>
          </cell>
          <cell r="J32">
            <v>0</v>
          </cell>
          <cell r="K32">
            <v>0</v>
          </cell>
          <cell r="L32">
            <v>150</v>
          </cell>
          <cell r="M32">
            <v>949.30700000000002</v>
          </cell>
          <cell r="N32">
            <v>1228.473</v>
          </cell>
          <cell r="O32">
            <v>140</v>
          </cell>
          <cell r="P32">
            <v>0</v>
          </cell>
          <cell r="R32">
            <v>0</v>
          </cell>
          <cell r="S32">
            <v>0</v>
          </cell>
          <cell r="T32">
            <v>0</v>
          </cell>
          <cell r="U32">
            <v>5398.40355</v>
          </cell>
          <cell r="V32">
            <v>3957.7510900000002</v>
          </cell>
          <cell r="W32">
            <v>0</v>
          </cell>
          <cell r="X32">
            <v>0</v>
          </cell>
          <cell r="Y32">
            <v>2185.5</v>
          </cell>
          <cell r="Z32">
            <v>13831.402990000001</v>
          </cell>
          <cell r="AA32">
            <v>17898.851610000002</v>
          </cell>
          <cell r="AB32">
            <v>2039.8</v>
          </cell>
          <cell r="AC32">
            <v>0</v>
          </cell>
          <cell r="AE32">
            <v>3109.9319999999998</v>
          </cell>
          <cell r="AF32">
            <v>45311.709240000011</v>
          </cell>
          <cell r="AG32">
            <v>14.570000000000004</v>
          </cell>
        </row>
        <row r="33">
          <cell r="A33" t="str">
            <v>FEB0029</v>
          </cell>
          <cell r="B33" t="str">
            <v>ECB Chocolate Enrobed Milk Chocolate Chunk 50% Extra Free 250g</v>
          </cell>
          <cell r="C33" t="str">
            <v>Brand</v>
          </cell>
          <cell r="D33">
            <v>3</v>
          </cell>
          <cell r="E33">
            <v>0</v>
          </cell>
          <cell r="F33">
            <v>0</v>
          </cell>
          <cell r="G33">
            <v>0</v>
          </cell>
          <cell r="H33">
            <v>407.62099999999998</v>
          </cell>
          <cell r="I33">
            <v>348.74299999999999</v>
          </cell>
          <cell r="J33">
            <v>0</v>
          </cell>
          <cell r="K33">
            <v>0</v>
          </cell>
          <cell r="L33">
            <v>150</v>
          </cell>
          <cell r="M33">
            <v>1096.5540000000001</v>
          </cell>
          <cell r="N33">
            <v>1510.8150000000001</v>
          </cell>
          <cell r="O33">
            <v>140</v>
          </cell>
          <cell r="P33">
            <v>0</v>
          </cell>
          <cell r="R33">
            <v>0</v>
          </cell>
          <cell r="S33">
            <v>0</v>
          </cell>
          <cell r="T33">
            <v>0</v>
          </cell>
          <cell r="U33">
            <v>5478.4262399999998</v>
          </cell>
          <cell r="V33">
            <v>4687.10592</v>
          </cell>
          <cell r="W33">
            <v>0</v>
          </cell>
          <cell r="X33">
            <v>0</v>
          </cell>
          <cell r="Y33">
            <v>2016</v>
          </cell>
          <cell r="Z33">
            <v>14737.68576</v>
          </cell>
          <cell r="AA33">
            <v>20305.353599999999</v>
          </cell>
          <cell r="AB33">
            <v>1881.6</v>
          </cell>
          <cell r="AC33">
            <v>0</v>
          </cell>
          <cell r="AE33">
            <v>3653.7330000000002</v>
          </cell>
          <cell r="AF33">
            <v>49106.171519999996</v>
          </cell>
          <cell r="AG33">
            <v>13.439999999999998</v>
          </cell>
        </row>
        <row r="34">
          <cell r="A34" t="str">
            <v>FEB0030</v>
          </cell>
          <cell r="B34" t="str">
            <v>ECB Crunch'ems Coconut Crunch 50% Extra Free 335g</v>
          </cell>
          <cell r="C34" t="str">
            <v>Brand</v>
          </cell>
          <cell r="D34">
            <v>4.0200000000000005</v>
          </cell>
          <cell r="E34">
            <v>0</v>
          </cell>
          <cell r="F34">
            <v>0</v>
          </cell>
          <cell r="G34">
            <v>0</v>
          </cell>
          <cell r="H34">
            <v>125.935</v>
          </cell>
          <cell r="I34">
            <v>129.16</v>
          </cell>
          <cell r="J34">
            <v>0</v>
          </cell>
          <cell r="K34">
            <v>0</v>
          </cell>
          <cell r="L34">
            <v>100</v>
          </cell>
          <cell r="M34">
            <v>129.16</v>
          </cell>
          <cell r="N34">
            <v>191.91900000000001</v>
          </cell>
          <cell r="O34">
            <v>166</v>
          </cell>
          <cell r="P34">
            <v>0</v>
          </cell>
          <cell r="R34">
            <v>0</v>
          </cell>
          <cell r="S34">
            <v>0</v>
          </cell>
          <cell r="T34">
            <v>0</v>
          </cell>
          <cell r="U34">
            <v>1455.8086000000001</v>
          </cell>
          <cell r="V34">
            <v>1493.0896</v>
          </cell>
          <cell r="W34">
            <v>0</v>
          </cell>
          <cell r="X34">
            <v>0</v>
          </cell>
          <cell r="Y34">
            <v>1156</v>
          </cell>
          <cell r="Z34">
            <v>1493.0896</v>
          </cell>
          <cell r="AA34">
            <v>2218.5836400000003</v>
          </cell>
          <cell r="AB34">
            <v>1918.96</v>
          </cell>
          <cell r="AC34">
            <v>0</v>
          </cell>
          <cell r="AE34">
            <v>842.17399999999998</v>
          </cell>
          <cell r="AF34">
            <v>9735.5314399999988</v>
          </cell>
          <cell r="AG34">
            <v>11.559999999999999</v>
          </cell>
        </row>
        <row r="35">
          <cell r="A35" t="str">
            <v>FEB0031</v>
          </cell>
          <cell r="B35" t="str">
            <v>ECB Crunch'ems Ginger Crunch 50% Extra Free 335g</v>
          </cell>
          <cell r="C35" t="str">
            <v>Brand</v>
          </cell>
          <cell r="D35">
            <v>4.0200000000000005</v>
          </cell>
          <cell r="E35">
            <v>0</v>
          </cell>
          <cell r="F35">
            <v>0</v>
          </cell>
          <cell r="G35">
            <v>0</v>
          </cell>
          <cell r="H35">
            <v>125.935</v>
          </cell>
          <cell r="I35">
            <v>129.16</v>
          </cell>
          <cell r="J35">
            <v>0</v>
          </cell>
          <cell r="K35">
            <v>0</v>
          </cell>
          <cell r="L35">
            <v>100</v>
          </cell>
          <cell r="M35">
            <v>129.16</v>
          </cell>
          <cell r="N35">
            <v>191.91900000000001</v>
          </cell>
          <cell r="O35">
            <v>166</v>
          </cell>
          <cell r="P35">
            <v>0</v>
          </cell>
          <cell r="R35">
            <v>0</v>
          </cell>
          <cell r="S35">
            <v>0</v>
          </cell>
          <cell r="T35">
            <v>0</v>
          </cell>
          <cell r="U35">
            <v>1455.8086000000001</v>
          </cell>
          <cell r="V35">
            <v>1493.0896</v>
          </cell>
          <cell r="W35">
            <v>0</v>
          </cell>
          <cell r="X35">
            <v>0</v>
          </cell>
          <cell r="Y35">
            <v>1156</v>
          </cell>
          <cell r="Z35">
            <v>1493.0896</v>
          </cell>
          <cell r="AA35">
            <v>2218.5836400000003</v>
          </cell>
          <cell r="AB35">
            <v>1918.96</v>
          </cell>
          <cell r="AC35">
            <v>0</v>
          </cell>
          <cell r="AE35">
            <v>842.17399999999998</v>
          </cell>
          <cell r="AF35">
            <v>9735.5314399999988</v>
          </cell>
          <cell r="AG35">
            <v>11.559999999999999</v>
          </cell>
        </row>
        <row r="36">
          <cell r="A36" t="str">
            <v>FEB0032</v>
          </cell>
          <cell r="B36" t="str">
            <v>ECB Granola Crunchy with Nuts &amp; Seeds 50% Extra Free 240g</v>
          </cell>
          <cell r="C36" t="str">
            <v>Brand</v>
          </cell>
          <cell r="D36">
            <v>2.88</v>
          </cell>
          <cell r="E36">
            <v>0</v>
          </cell>
          <cell r="F36">
            <v>0</v>
          </cell>
          <cell r="G36">
            <v>0</v>
          </cell>
          <cell r="H36">
            <v>321.87</v>
          </cell>
          <cell r="I36">
            <v>242.99200000000002</v>
          </cell>
          <cell r="J36">
            <v>0</v>
          </cell>
          <cell r="K36">
            <v>0</v>
          </cell>
          <cell r="L36">
            <v>150</v>
          </cell>
          <cell r="M36">
            <v>609.49099999999999</v>
          </cell>
          <cell r="N36">
            <v>792.29899999999998</v>
          </cell>
          <cell r="O36">
            <v>166</v>
          </cell>
          <cell r="P36">
            <v>0</v>
          </cell>
          <cell r="R36">
            <v>0</v>
          </cell>
          <cell r="S36">
            <v>0</v>
          </cell>
          <cell r="T36">
            <v>0</v>
          </cell>
          <cell r="U36">
            <v>4689.6459000000004</v>
          </cell>
          <cell r="V36">
            <v>3540.3934400000003</v>
          </cell>
          <cell r="W36">
            <v>0</v>
          </cell>
          <cell r="X36">
            <v>0</v>
          </cell>
          <cell r="Y36">
            <v>2185.5</v>
          </cell>
          <cell r="Z36">
            <v>8880.2838699999993</v>
          </cell>
          <cell r="AA36">
            <v>11543.79643</v>
          </cell>
          <cell r="AB36">
            <v>2418.62</v>
          </cell>
          <cell r="AC36">
            <v>0</v>
          </cell>
          <cell r="AE36">
            <v>2282.652</v>
          </cell>
          <cell r="AF36">
            <v>33258.239640000007</v>
          </cell>
          <cell r="AG36">
            <v>14.570000000000002</v>
          </cell>
        </row>
        <row r="37">
          <cell r="A37" t="str">
            <v>FGR0001</v>
          </cell>
          <cell r="B37" t="str">
            <v>Grenade Carb Killa -  Double Chocolate Biscuit</v>
          </cell>
          <cell r="C37" t="str">
            <v>CM</v>
          </cell>
          <cell r="D37">
            <v>2.4000000000000004</v>
          </cell>
          <cell r="E37">
            <v>1860.5769230769233</v>
          </cell>
          <cell r="F37">
            <v>1488.4615384615386</v>
          </cell>
          <cell r="G37">
            <v>1488.4615384615386</v>
          </cell>
          <cell r="H37">
            <v>1860.5769230769233</v>
          </cell>
          <cell r="I37">
            <v>1488.4615384615386</v>
          </cell>
          <cell r="J37">
            <v>1488.4615384615386</v>
          </cell>
          <cell r="K37">
            <v>3721.1538461538466</v>
          </cell>
          <cell r="L37">
            <v>2976.9230769230771</v>
          </cell>
          <cell r="M37">
            <v>2976.9230769230771</v>
          </cell>
          <cell r="N37">
            <v>3721.1538461538466</v>
          </cell>
          <cell r="O37">
            <v>2976.9230769230771</v>
          </cell>
          <cell r="P37">
            <v>2976.9230769230771</v>
          </cell>
          <cell r="R37">
            <v>49615.384615384617</v>
          </cell>
          <cell r="S37">
            <v>39692.307692307695</v>
          </cell>
          <cell r="T37">
            <v>39692.307692307695</v>
          </cell>
          <cell r="U37">
            <v>49615.384615384617</v>
          </cell>
          <cell r="V37">
            <v>39692.307692307695</v>
          </cell>
          <cell r="W37">
            <v>39692.307692307695</v>
          </cell>
          <cell r="X37">
            <v>99230.769230769234</v>
          </cell>
          <cell r="Y37">
            <v>79384.61538461539</v>
          </cell>
          <cell r="Z37">
            <v>79384.61538461539</v>
          </cell>
          <cell r="AA37">
            <v>99230.769230769234</v>
          </cell>
          <cell r="AB37">
            <v>79384.61538461539</v>
          </cell>
          <cell r="AC37">
            <v>79384.61538461539</v>
          </cell>
          <cell r="AE37">
            <v>29025.000000000007</v>
          </cell>
          <cell r="AF37">
            <v>774000</v>
          </cell>
          <cell r="AG37">
            <v>26.666666666666661</v>
          </cell>
        </row>
        <row r="38">
          <cell r="A38" t="str">
            <v>FGR0002</v>
          </cell>
          <cell r="B38" t="str">
            <v>Grenade Carb Killa - Salted Caramel Biscuit</v>
          </cell>
          <cell r="C38" t="str">
            <v>CM</v>
          </cell>
          <cell r="D38">
            <v>2.4000000000000004</v>
          </cell>
          <cell r="E38">
            <v>1860.5769230769233</v>
          </cell>
          <cell r="F38">
            <v>1488.4615384615386</v>
          </cell>
          <cell r="G38">
            <v>1488.4615384615386</v>
          </cell>
          <cell r="H38">
            <v>1860.5769230769233</v>
          </cell>
          <cell r="I38">
            <v>1488.4615384615386</v>
          </cell>
          <cell r="J38">
            <v>1488.4615384615386</v>
          </cell>
          <cell r="K38">
            <v>3721.1538461538466</v>
          </cell>
          <cell r="L38">
            <v>2976.9230769230771</v>
          </cell>
          <cell r="M38">
            <v>2976.9230769230771</v>
          </cell>
          <cell r="N38">
            <v>3721.1538461538466</v>
          </cell>
          <cell r="O38">
            <v>2976.9230769230771</v>
          </cell>
          <cell r="P38">
            <v>2976.9230769230771</v>
          </cell>
          <cell r="R38">
            <v>49615.384615384617</v>
          </cell>
          <cell r="S38">
            <v>39692.307692307695</v>
          </cell>
          <cell r="T38">
            <v>39692.307692307695</v>
          </cell>
          <cell r="U38">
            <v>49615.384615384617</v>
          </cell>
          <cell r="V38">
            <v>39692.307692307695</v>
          </cell>
          <cell r="W38">
            <v>39692.307692307695</v>
          </cell>
          <cell r="X38">
            <v>99230.769230769234</v>
          </cell>
          <cell r="Y38">
            <v>79384.61538461539</v>
          </cell>
          <cell r="Z38">
            <v>79384.61538461539</v>
          </cell>
          <cell r="AA38">
            <v>99230.769230769234</v>
          </cell>
          <cell r="AB38">
            <v>79384.61538461539</v>
          </cell>
          <cell r="AC38">
            <v>79384.61538461539</v>
          </cell>
          <cell r="AE38">
            <v>29025.000000000007</v>
          </cell>
          <cell r="AF38">
            <v>774000</v>
          </cell>
          <cell r="AG38">
            <v>26.666666666666661</v>
          </cell>
        </row>
        <row r="39">
          <cell r="A39" t="str">
            <v>NFGR9901</v>
          </cell>
          <cell r="B39" t="str">
            <v>Grenade Carb Killa -  Double Chocolate Biscuit SINGLE</v>
          </cell>
          <cell r="C39" t="str">
            <v>CM</v>
          </cell>
          <cell r="D39">
            <v>2.4000000000000004</v>
          </cell>
          <cell r="E39">
            <v>448.21240648551787</v>
          </cell>
          <cell r="F39">
            <v>358.56992518841429</v>
          </cell>
          <cell r="G39">
            <v>358.56992518841429</v>
          </cell>
          <cell r="H39">
            <v>448.21240648551787</v>
          </cell>
          <cell r="I39">
            <v>358.56992518841429</v>
          </cell>
          <cell r="J39">
            <v>358.56992518841429</v>
          </cell>
          <cell r="K39">
            <v>448.21240648551787</v>
          </cell>
          <cell r="L39">
            <v>358.56992518841429</v>
          </cell>
          <cell r="M39">
            <v>358.56992518841429</v>
          </cell>
          <cell r="N39">
            <v>448.21240648551787</v>
          </cell>
          <cell r="O39">
            <v>358.56992518841429</v>
          </cell>
          <cell r="P39">
            <v>358.56992518841429</v>
          </cell>
          <cell r="R39">
            <v>12403.846153846154</v>
          </cell>
          <cell r="S39">
            <v>9923.0769230769238</v>
          </cell>
          <cell r="T39">
            <v>9923.0769230769238</v>
          </cell>
          <cell r="U39">
            <v>12403.846153846154</v>
          </cell>
          <cell r="V39">
            <v>9923.0769230769238</v>
          </cell>
          <cell r="W39">
            <v>9923.0769230769238</v>
          </cell>
          <cell r="X39">
            <v>12403.846153846154</v>
          </cell>
          <cell r="Y39">
            <v>9923.0769230769238</v>
          </cell>
          <cell r="Z39">
            <v>9923.0769230769238</v>
          </cell>
          <cell r="AA39">
            <v>12403.846153846154</v>
          </cell>
          <cell r="AB39">
            <v>9923.0769230769238</v>
          </cell>
          <cell r="AC39">
            <v>9923.0769230769238</v>
          </cell>
          <cell r="AE39">
            <v>4661.4090274493856</v>
          </cell>
          <cell r="AF39">
            <v>129000</v>
          </cell>
          <cell r="AG39">
            <v>27.674035734767045</v>
          </cell>
        </row>
        <row r="40">
          <cell r="A40" t="str">
            <v>NFGR9902</v>
          </cell>
          <cell r="B40" t="str">
            <v>Grenade Carb Killa - Salted Caramel Biscuit SINGLE</v>
          </cell>
          <cell r="C40" t="str">
            <v>CM</v>
          </cell>
          <cell r="D40">
            <v>2.4000000000000004</v>
          </cell>
          <cell r="E40">
            <v>411.64877446597387</v>
          </cell>
          <cell r="F40">
            <v>329.3190195727791</v>
          </cell>
          <cell r="G40">
            <v>329.3190195727791</v>
          </cell>
          <cell r="H40">
            <v>411.64877446597387</v>
          </cell>
          <cell r="I40">
            <v>329.3190195727791</v>
          </cell>
          <cell r="J40">
            <v>329.3190195727791</v>
          </cell>
          <cell r="K40">
            <v>411.64877446597387</v>
          </cell>
          <cell r="L40">
            <v>329.3190195727791</v>
          </cell>
          <cell r="M40">
            <v>329.3190195727791</v>
          </cell>
          <cell r="N40">
            <v>411.64877446597387</v>
          </cell>
          <cell r="O40">
            <v>329.3190195727791</v>
          </cell>
          <cell r="P40">
            <v>329.3190195727791</v>
          </cell>
          <cell r="R40">
            <v>12403.846153846154</v>
          </cell>
          <cell r="S40">
            <v>9923.0769230769238</v>
          </cell>
          <cell r="T40">
            <v>9923.0769230769238</v>
          </cell>
          <cell r="U40">
            <v>12403.846153846154</v>
          </cell>
          <cell r="V40">
            <v>9923.0769230769238</v>
          </cell>
          <cell r="W40">
            <v>9923.0769230769238</v>
          </cell>
          <cell r="X40">
            <v>12403.846153846154</v>
          </cell>
          <cell r="Y40">
            <v>9923.0769230769238</v>
          </cell>
          <cell r="Z40">
            <v>9923.0769230769238</v>
          </cell>
          <cell r="AA40">
            <v>12403.846153846154</v>
          </cell>
          <cell r="AB40">
            <v>9923.0769230769238</v>
          </cell>
          <cell r="AC40">
            <v>9923.0769230769238</v>
          </cell>
          <cell r="AE40">
            <v>4281.1472544461285</v>
          </cell>
          <cell r="AF40">
            <v>129000</v>
          </cell>
          <cell r="AG40">
            <v>30.132110000661335</v>
          </cell>
        </row>
        <row r="41">
          <cell r="A41" t="str">
            <v>NFHU9901</v>
          </cell>
          <cell r="B41" t="str">
            <v>My Protein - Milk Choc Chunk</v>
          </cell>
          <cell r="C41" t="str">
            <v>CM</v>
          </cell>
          <cell r="D41">
            <v>1.92</v>
          </cell>
          <cell r="E41">
            <v>0</v>
          </cell>
          <cell r="F41">
            <v>0</v>
          </cell>
          <cell r="G41">
            <v>0</v>
          </cell>
          <cell r="H41">
            <v>0</v>
          </cell>
          <cell r="I41">
            <v>1292.9411764705883</v>
          </cell>
          <cell r="J41">
            <v>1292.9411764705883</v>
          </cell>
          <cell r="K41">
            <v>1741.1764705882351</v>
          </cell>
          <cell r="L41">
            <v>1792.9411764705883</v>
          </cell>
          <cell r="M41">
            <v>1792.9411764705883</v>
          </cell>
          <cell r="N41">
            <v>2741.1764705882351</v>
          </cell>
          <cell r="O41">
            <v>2292.9411764705883</v>
          </cell>
          <cell r="P41">
            <v>2292.9411764705883</v>
          </cell>
          <cell r="R41">
            <v>0</v>
          </cell>
          <cell r="S41">
            <v>0</v>
          </cell>
          <cell r="T41">
            <v>0</v>
          </cell>
          <cell r="U41">
            <v>0</v>
          </cell>
          <cell r="V41">
            <v>12972.970760320863</v>
          </cell>
          <cell r="W41">
            <v>12972.970760320863</v>
          </cell>
          <cell r="X41">
            <v>17470.424681778775</v>
          </cell>
          <cell r="Y41">
            <v>17989.815685831662</v>
          </cell>
          <cell r="Z41">
            <v>17989.815685831662</v>
          </cell>
          <cell r="AA41">
            <v>27504.114532800373</v>
          </cell>
          <cell r="AB41">
            <v>23006.660611342457</v>
          </cell>
          <cell r="AC41">
            <v>23006.660611342457</v>
          </cell>
          <cell r="AE41">
            <v>15240</v>
          </cell>
          <cell r="AF41">
            <v>152913.43332956912</v>
          </cell>
          <cell r="AG41">
            <v>10.033689851021595</v>
          </cell>
        </row>
        <row r="42">
          <cell r="A42" t="str">
            <v>NFHU9902</v>
          </cell>
          <cell r="B42" t="str">
            <v>My Protein - HC Milk Choc Chunk</v>
          </cell>
          <cell r="C42" t="str">
            <v>CM</v>
          </cell>
          <cell r="D42">
            <v>1.92</v>
          </cell>
          <cell r="E42">
            <v>0</v>
          </cell>
          <cell r="F42">
            <v>0</v>
          </cell>
          <cell r="G42">
            <v>0</v>
          </cell>
          <cell r="H42">
            <v>0</v>
          </cell>
          <cell r="I42">
            <v>1178.1176470588234</v>
          </cell>
          <cell r="J42">
            <v>1178.1176470588234</v>
          </cell>
          <cell r="K42">
            <v>1597.6470588235293</v>
          </cell>
          <cell r="L42">
            <v>1678.1176470588234</v>
          </cell>
          <cell r="M42">
            <v>1678.1176470588234</v>
          </cell>
          <cell r="N42">
            <v>2597.6470588235293</v>
          </cell>
          <cell r="O42">
            <v>2178.1176470588234</v>
          </cell>
          <cell r="P42">
            <v>2178.1176470588234</v>
          </cell>
          <cell r="R42">
            <v>0</v>
          </cell>
          <cell r="S42">
            <v>0</v>
          </cell>
          <cell r="T42">
            <v>0</v>
          </cell>
          <cell r="U42">
            <v>0</v>
          </cell>
          <cell r="V42">
            <v>13460.560881322108</v>
          </cell>
          <cell r="W42">
            <v>13460.560881322108</v>
          </cell>
          <cell r="X42">
            <v>18253.886236104874</v>
          </cell>
          <cell r="Y42">
            <v>19173.301419131072</v>
          </cell>
          <cell r="Z42">
            <v>19173.301419131072</v>
          </cell>
          <cell r="AA42">
            <v>29679.367311722803</v>
          </cell>
          <cell r="AB42">
            <v>24886.041956940036</v>
          </cell>
          <cell r="AC42">
            <v>24886.041956940036</v>
          </cell>
          <cell r="AE42">
            <v>14264</v>
          </cell>
          <cell r="AF42">
            <v>162973.0620626141</v>
          </cell>
          <cell r="AG42">
            <v>11.425481075617926</v>
          </cell>
        </row>
        <row r="43">
          <cell r="A43" t="str">
            <v>NFHU9903</v>
          </cell>
          <cell r="B43" t="str">
            <v>My Protein - Oatie</v>
          </cell>
          <cell r="C43" t="str">
            <v>CM</v>
          </cell>
          <cell r="D43">
            <v>1.92</v>
          </cell>
          <cell r="E43">
            <v>0</v>
          </cell>
          <cell r="F43">
            <v>0</v>
          </cell>
          <cell r="G43">
            <v>0</v>
          </cell>
          <cell r="H43">
            <v>0</v>
          </cell>
          <cell r="I43">
            <v>1777.5294117647059</v>
          </cell>
          <cell r="J43">
            <v>1777.5294117647059</v>
          </cell>
          <cell r="K43">
            <v>2346.9117647058824</v>
          </cell>
          <cell r="L43">
            <v>2277.5294117647059</v>
          </cell>
          <cell r="M43">
            <v>2277.5294117647059</v>
          </cell>
          <cell r="N43">
            <v>3346.9117647058824</v>
          </cell>
          <cell r="O43">
            <v>2777.5294117647059</v>
          </cell>
          <cell r="P43">
            <v>2777.5294117647059</v>
          </cell>
          <cell r="R43">
            <v>0</v>
          </cell>
          <cell r="S43">
            <v>0</v>
          </cell>
          <cell r="T43">
            <v>0</v>
          </cell>
          <cell r="U43">
            <v>0</v>
          </cell>
          <cell r="V43">
            <v>12108.577455437378</v>
          </cell>
          <cell r="W43">
            <v>12108.577455437378</v>
          </cell>
          <cell r="X43">
            <v>15987.225131653742</v>
          </cell>
          <cell r="Y43">
            <v>15514.590704865457</v>
          </cell>
          <cell r="Z43">
            <v>15514.590704865457</v>
          </cell>
          <cell r="AA43">
            <v>22799.251630509902</v>
          </cell>
          <cell r="AB43">
            <v>18920.603954293536</v>
          </cell>
          <cell r="AC43">
            <v>18920.603954293536</v>
          </cell>
          <cell r="AE43">
            <v>19359</v>
          </cell>
          <cell r="AF43">
            <v>131874.02099135637</v>
          </cell>
          <cell r="AG43">
            <v>6.8120264988561585</v>
          </cell>
        </row>
        <row r="44">
          <cell r="A44" t="str">
            <v>NFHU9904</v>
          </cell>
          <cell r="B44" t="str">
            <v>My Protein - HC Oatie</v>
          </cell>
          <cell r="C44" t="str">
            <v>CM</v>
          </cell>
          <cell r="D44">
            <v>1.92</v>
          </cell>
          <cell r="E44">
            <v>0</v>
          </cell>
          <cell r="F44">
            <v>0</v>
          </cell>
          <cell r="G44">
            <v>0</v>
          </cell>
          <cell r="H44">
            <v>0</v>
          </cell>
          <cell r="I44">
            <v>1843.5294117647059</v>
          </cell>
          <cell r="J44">
            <v>1843.5294117647059</v>
          </cell>
          <cell r="K44">
            <v>2429.4117647058824</v>
          </cell>
          <cell r="L44">
            <v>2343.5294117647059</v>
          </cell>
          <cell r="M44">
            <v>2343.5294117647059</v>
          </cell>
          <cell r="N44">
            <v>3429.4117647058824</v>
          </cell>
          <cell r="O44">
            <v>2843.5294117647059</v>
          </cell>
          <cell r="P44">
            <v>2843.5294117647059</v>
          </cell>
          <cell r="R44">
            <v>0</v>
          </cell>
          <cell r="S44">
            <v>0</v>
          </cell>
          <cell r="T44">
            <v>0</v>
          </cell>
          <cell r="U44">
            <v>0</v>
          </cell>
          <cell r="V44">
            <v>16168.255145116063</v>
          </cell>
          <cell r="W44">
            <v>16168.255145116063</v>
          </cell>
          <cell r="X44">
            <v>21306.602983193792</v>
          </cell>
          <cell r="Y44">
            <v>20553.391352310911</v>
          </cell>
          <cell r="Z44">
            <v>20553.391352310911</v>
          </cell>
          <cell r="AA44">
            <v>30076.875397583488</v>
          </cell>
          <cell r="AB44">
            <v>24938.527559505761</v>
          </cell>
          <cell r="AC44">
            <v>24938.527559505761</v>
          </cell>
          <cell r="AE44">
            <v>19920</v>
          </cell>
          <cell r="AF44">
            <v>174703.82649464277</v>
          </cell>
          <cell r="AG44">
            <v>8.770272414389698</v>
          </cell>
        </row>
        <row r="45">
          <cell r="A45" t="str">
            <v>NFHU9905</v>
          </cell>
          <cell r="B45" t="str">
            <v>My Protein - All Day Golden Oat</v>
          </cell>
          <cell r="C45" t="str">
            <v>CM</v>
          </cell>
          <cell r="D45">
            <v>1.92</v>
          </cell>
          <cell r="E45">
            <v>0</v>
          </cell>
          <cell r="F45">
            <v>0</v>
          </cell>
          <cell r="G45">
            <v>0</v>
          </cell>
          <cell r="H45">
            <v>0</v>
          </cell>
          <cell r="I45">
            <v>0</v>
          </cell>
          <cell r="J45">
            <v>0</v>
          </cell>
          <cell r="K45">
            <v>2929.4117647058824</v>
          </cell>
          <cell r="L45">
            <v>2343.5294117647059</v>
          </cell>
          <cell r="M45">
            <v>2343.5294117647059</v>
          </cell>
          <cell r="N45">
            <v>2929.4117647058824</v>
          </cell>
          <cell r="O45">
            <v>2343.5294117647059</v>
          </cell>
          <cell r="P45">
            <v>2343.5294117647059</v>
          </cell>
          <cell r="R45">
            <v>0</v>
          </cell>
          <cell r="S45">
            <v>0</v>
          </cell>
          <cell r="T45">
            <v>0</v>
          </cell>
          <cell r="U45">
            <v>0</v>
          </cell>
          <cell r="V45">
            <v>0</v>
          </cell>
          <cell r="W45">
            <v>0</v>
          </cell>
          <cell r="X45">
            <v>17303.288696345764</v>
          </cell>
          <cell r="Y45">
            <v>13842.63095707661</v>
          </cell>
          <cell r="Z45">
            <v>13842.63095707661</v>
          </cell>
          <cell r="AA45">
            <v>17303.288696345764</v>
          </cell>
          <cell r="AB45">
            <v>13842.63095707661</v>
          </cell>
          <cell r="AC45">
            <v>13842.63095707661</v>
          </cell>
          <cell r="AE45">
            <v>15232.941176470589</v>
          </cell>
          <cell r="AF45">
            <v>89977.101220997982</v>
          </cell>
          <cell r="AG45">
            <v>5.9067451373067872</v>
          </cell>
        </row>
        <row r="46">
          <cell r="A46" t="str">
            <v>NFHU9906</v>
          </cell>
          <cell r="B46" t="str">
            <v>My Protein - All Day Cocoa</v>
          </cell>
          <cell r="C46" t="str">
            <v>CM</v>
          </cell>
          <cell r="D46">
            <v>1.92</v>
          </cell>
          <cell r="E46">
            <v>0</v>
          </cell>
          <cell r="F46">
            <v>0</v>
          </cell>
          <cell r="G46">
            <v>0</v>
          </cell>
          <cell r="H46">
            <v>0</v>
          </cell>
          <cell r="I46">
            <v>0</v>
          </cell>
          <cell r="J46">
            <v>0</v>
          </cell>
          <cell r="K46">
            <v>1882.3529411764707</v>
          </cell>
          <cell r="L46">
            <v>1505.8823529411766</v>
          </cell>
          <cell r="M46">
            <v>1505.8823529411766</v>
          </cell>
          <cell r="N46">
            <v>1882.3529411764707</v>
          </cell>
          <cell r="O46">
            <v>1505.8823529411766</v>
          </cell>
          <cell r="P46">
            <v>1505.8823529411766</v>
          </cell>
          <cell r="R46">
            <v>0</v>
          </cell>
          <cell r="S46">
            <v>0</v>
          </cell>
          <cell r="T46">
            <v>0</v>
          </cell>
          <cell r="U46">
            <v>0</v>
          </cell>
          <cell r="V46">
            <v>0</v>
          </cell>
          <cell r="W46">
            <v>0</v>
          </cell>
          <cell r="X46">
            <v>11475.591881588913</v>
          </cell>
          <cell r="Y46">
            <v>9180.4735052711294</v>
          </cell>
          <cell r="Z46">
            <v>9180.4735052711294</v>
          </cell>
          <cell r="AA46">
            <v>11475.591881588913</v>
          </cell>
          <cell r="AB46">
            <v>9180.4735052711294</v>
          </cell>
          <cell r="AC46">
            <v>9180.4735052711294</v>
          </cell>
          <cell r="AE46">
            <v>9788.2352941176468</v>
          </cell>
          <cell r="AF46">
            <v>59673.07778426235</v>
          </cell>
          <cell r="AG46">
            <v>6.0964081870941103</v>
          </cell>
        </row>
        <row r="47">
          <cell r="A47" t="str">
            <v>FHL0001</v>
          </cell>
          <cell r="B47" t="str">
            <v>Hills Chocolate Chip (14%) Cookie</v>
          </cell>
          <cell r="C47" t="str">
            <v>CM</v>
          </cell>
          <cell r="D47">
            <v>2.4000000000000004</v>
          </cell>
          <cell r="E47">
            <v>0</v>
          </cell>
          <cell r="F47">
            <v>0</v>
          </cell>
          <cell r="G47">
            <v>5089</v>
          </cell>
          <cell r="H47">
            <v>0</v>
          </cell>
          <cell r="I47">
            <v>0</v>
          </cell>
          <cell r="J47">
            <v>5089</v>
          </cell>
          <cell r="K47">
            <v>0</v>
          </cell>
          <cell r="L47">
            <v>0</v>
          </cell>
          <cell r="M47">
            <v>5089</v>
          </cell>
          <cell r="N47">
            <v>0</v>
          </cell>
          <cell r="O47">
            <v>0</v>
          </cell>
          <cell r="P47">
            <v>5089</v>
          </cell>
          <cell r="R47">
            <v>0</v>
          </cell>
          <cell r="S47">
            <v>0</v>
          </cell>
          <cell r="T47">
            <v>18320.400000000001</v>
          </cell>
          <cell r="U47">
            <v>0</v>
          </cell>
          <cell r="V47">
            <v>0</v>
          </cell>
          <cell r="W47">
            <v>18320.400000000001</v>
          </cell>
          <cell r="X47">
            <v>0</v>
          </cell>
          <cell r="Y47">
            <v>0</v>
          </cell>
          <cell r="Z47">
            <v>18320.400000000001</v>
          </cell>
          <cell r="AA47">
            <v>0</v>
          </cell>
          <cell r="AB47">
            <v>0</v>
          </cell>
          <cell r="AC47">
            <v>18320.400000000001</v>
          </cell>
          <cell r="AE47">
            <v>20356</v>
          </cell>
          <cell r="AF47">
            <v>73281.600000000006</v>
          </cell>
          <cell r="AG47">
            <v>3.6</v>
          </cell>
        </row>
        <row r="48">
          <cell r="A48" t="str">
            <v>FHL0002</v>
          </cell>
          <cell r="B48" t="str">
            <v>Hill Biscuit Ginger Nuts 150g</v>
          </cell>
          <cell r="C48" t="str">
            <v>CM</v>
          </cell>
          <cell r="D48">
            <v>5.3999999999999995</v>
          </cell>
          <cell r="E48">
            <v>10650.887573964497</v>
          </cell>
          <cell r="F48">
            <v>8520.7100591715971</v>
          </cell>
          <cell r="G48">
            <v>8520.7100591715971</v>
          </cell>
          <cell r="H48">
            <v>10650.887573964497</v>
          </cell>
          <cell r="I48">
            <v>8520.7100591715971</v>
          </cell>
          <cell r="J48">
            <v>8520.7100591715971</v>
          </cell>
          <cell r="K48">
            <v>10650.887573964497</v>
          </cell>
          <cell r="L48">
            <v>8520.7100591715971</v>
          </cell>
          <cell r="M48">
            <v>8520.7100591715971</v>
          </cell>
          <cell r="N48">
            <v>10650.887573964497</v>
          </cell>
          <cell r="O48">
            <v>8520.7100591715971</v>
          </cell>
          <cell r="P48">
            <v>8520.7100591715971</v>
          </cell>
          <cell r="R48">
            <v>73846.153846153844</v>
          </cell>
          <cell r="S48">
            <v>59076.923076923078</v>
          </cell>
          <cell r="T48">
            <v>59076.923076923078</v>
          </cell>
          <cell r="U48">
            <v>73846.153846153844</v>
          </cell>
          <cell r="V48">
            <v>59076.923076923078</v>
          </cell>
          <cell r="W48">
            <v>59076.923076923078</v>
          </cell>
          <cell r="X48">
            <v>73846.153846153844</v>
          </cell>
          <cell r="Y48">
            <v>59076.923076923078</v>
          </cell>
          <cell r="Z48">
            <v>59076.923076923078</v>
          </cell>
          <cell r="AA48">
            <v>73846.153846153844</v>
          </cell>
          <cell r="AB48">
            <v>59076.923076923078</v>
          </cell>
          <cell r="AC48">
            <v>59076.923076923078</v>
          </cell>
          <cell r="AE48">
            <v>110769.23076923079</v>
          </cell>
          <cell r="AF48">
            <v>768000.00000000012</v>
          </cell>
          <cell r="AG48">
            <v>6.9333333333333327</v>
          </cell>
        </row>
        <row r="49">
          <cell r="A49" t="str">
            <v>NFHL9901</v>
          </cell>
          <cell r="B49" t="str">
            <v>John Hill Milk Choc Chunk 160g</v>
          </cell>
          <cell r="C49" t="str">
            <v>CM</v>
          </cell>
          <cell r="D49">
            <v>1.28</v>
          </cell>
          <cell r="E49">
            <v>5570.2917771883294</v>
          </cell>
          <cell r="F49">
            <v>4456.2334217506632</v>
          </cell>
          <cell r="G49">
            <v>4456.2334217506632</v>
          </cell>
          <cell r="H49">
            <v>5570.2917771883294</v>
          </cell>
          <cell r="I49">
            <v>4456.2334217506632</v>
          </cell>
          <cell r="J49">
            <v>4456.2334217506632</v>
          </cell>
          <cell r="K49">
            <v>5570.2917771883294</v>
          </cell>
          <cell r="L49">
            <v>4456.2334217506632</v>
          </cell>
          <cell r="M49">
            <v>4456.2334217506632</v>
          </cell>
          <cell r="N49">
            <v>5570.2917771883294</v>
          </cell>
          <cell r="O49">
            <v>4456.2334217506632</v>
          </cell>
          <cell r="P49">
            <v>4456.2334217506632</v>
          </cell>
          <cell r="R49">
            <v>32307.692307692309</v>
          </cell>
          <cell r="S49">
            <v>25846.153846153844</v>
          </cell>
          <cell r="T49">
            <v>25846.153846153844</v>
          </cell>
          <cell r="U49">
            <v>32307.692307692309</v>
          </cell>
          <cell r="V49">
            <v>25846.153846153844</v>
          </cell>
          <cell r="W49">
            <v>25846.153846153844</v>
          </cell>
          <cell r="X49">
            <v>32307.692307692309</v>
          </cell>
          <cell r="Y49">
            <v>25846.153846153844</v>
          </cell>
          <cell r="Z49">
            <v>25846.153846153844</v>
          </cell>
          <cell r="AA49">
            <v>32307.692307692309</v>
          </cell>
          <cell r="AB49">
            <v>25846.153846153844</v>
          </cell>
          <cell r="AC49">
            <v>25846.153846153844</v>
          </cell>
          <cell r="AE49">
            <v>57931.03448275863</v>
          </cell>
          <cell r="AF49">
            <v>336000</v>
          </cell>
          <cell r="AG49">
            <v>5.7999999999999989</v>
          </cell>
        </row>
        <row r="50">
          <cell r="A50" t="str">
            <v>NFHL9902</v>
          </cell>
          <cell r="B50" t="str">
            <v>John Hill Chocolate Enrobed Milk Chocolate Chunk Cookie 160g</v>
          </cell>
          <cell r="C50" t="str">
            <v>CM</v>
          </cell>
          <cell r="D50">
            <v>1.28</v>
          </cell>
          <cell r="E50">
            <v>5570.2917771883294</v>
          </cell>
          <cell r="F50">
            <v>4456.2334217506632</v>
          </cell>
          <cell r="G50">
            <v>4456.2334217506632</v>
          </cell>
          <cell r="H50">
            <v>5570.2917771883294</v>
          </cell>
          <cell r="I50">
            <v>4456.2334217506632</v>
          </cell>
          <cell r="J50">
            <v>4456.2334217506632</v>
          </cell>
          <cell r="K50">
            <v>5570.2917771883294</v>
          </cell>
          <cell r="L50">
            <v>4456.2334217506632</v>
          </cell>
          <cell r="M50">
            <v>4456.2334217506632</v>
          </cell>
          <cell r="N50">
            <v>5570.2917771883294</v>
          </cell>
          <cell r="O50">
            <v>4456.2334217506632</v>
          </cell>
          <cell r="P50">
            <v>4456.2334217506632</v>
          </cell>
          <cell r="R50">
            <v>32307.692307692309</v>
          </cell>
          <cell r="S50">
            <v>25846.153846153844</v>
          </cell>
          <cell r="T50">
            <v>25846.153846153844</v>
          </cell>
          <cell r="U50">
            <v>32307.692307692309</v>
          </cell>
          <cell r="V50">
            <v>25846.153846153844</v>
          </cell>
          <cell r="W50">
            <v>25846.153846153844</v>
          </cell>
          <cell r="X50">
            <v>32307.692307692309</v>
          </cell>
          <cell r="Y50">
            <v>25846.153846153844</v>
          </cell>
          <cell r="Z50">
            <v>25846.153846153844</v>
          </cell>
          <cell r="AA50">
            <v>32307.692307692309</v>
          </cell>
          <cell r="AB50">
            <v>25846.153846153844</v>
          </cell>
          <cell r="AC50">
            <v>25846.153846153844</v>
          </cell>
          <cell r="AE50">
            <v>57931.03448275863</v>
          </cell>
          <cell r="AF50">
            <v>336000</v>
          </cell>
          <cell r="AG50">
            <v>5.7999999999999989</v>
          </cell>
        </row>
        <row r="51">
          <cell r="A51" t="str">
            <v>NFHL9903</v>
          </cell>
          <cell r="B51" t="str">
            <v>John Hill Stem Ginger &amp; Chocolate Chunk Cookie 160g</v>
          </cell>
          <cell r="C51" t="str">
            <v>CM</v>
          </cell>
          <cell r="D51">
            <v>1.28</v>
          </cell>
          <cell r="E51">
            <v>5570.2917771883294</v>
          </cell>
          <cell r="F51">
            <v>4456.2334217506632</v>
          </cell>
          <cell r="G51">
            <v>4456.2334217506632</v>
          </cell>
          <cell r="H51">
            <v>5570.2917771883294</v>
          </cell>
          <cell r="I51">
            <v>4456.2334217506632</v>
          </cell>
          <cell r="J51">
            <v>4456.2334217506632</v>
          </cell>
          <cell r="K51">
            <v>5570.2917771883294</v>
          </cell>
          <cell r="L51">
            <v>4456.2334217506632</v>
          </cell>
          <cell r="M51">
            <v>4456.2334217506632</v>
          </cell>
          <cell r="N51">
            <v>5570.2917771883294</v>
          </cell>
          <cell r="O51">
            <v>4456.2334217506632</v>
          </cell>
          <cell r="P51">
            <v>4456.2334217506632</v>
          </cell>
          <cell r="R51">
            <v>32307.692307692309</v>
          </cell>
          <cell r="S51">
            <v>25846.153846153844</v>
          </cell>
          <cell r="T51">
            <v>25846.153846153844</v>
          </cell>
          <cell r="U51">
            <v>32307.692307692309</v>
          </cell>
          <cell r="V51">
            <v>25846.153846153844</v>
          </cell>
          <cell r="W51">
            <v>25846.153846153844</v>
          </cell>
          <cell r="X51">
            <v>32307.692307692309</v>
          </cell>
          <cell r="Y51">
            <v>25846.153846153844</v>
          </cell>
          <cell r="Z51">
            <v>25846.153846153844</v>
          </cell>
          <cell r="AA51">
            <v>32307.692307692309</v>
          </cell>
          <cell r="AB51">
            <v>25846.153846153844</v>
          </cell>
          <cell r="AC51">
            <v>25846.153846153844</v>
          </cell>
          <cell r="AE51">
            <v>57931.03448275863</v>
          </cell>
          <cell r="AF51">
            <v>336000</v>
          </cell>
          <cell r="AG51">
            <v>5.7999999999999989</v>
          </cell>
        </row>
        <row r="52">
          <cell r="A52" t="str">
            <v>NFHL9904</v>
          </cell>
          <cell r="B52" t="str">
            <v>John Hill Granola Crunchy with Nuts &amp; Seeds 160g</v>
          </cell>
          <cell r="C52" t="str">
            <v>CM</v>
          </cell>
          <cell r="D52">
            <v>1.28</v>
          </cell>
          <cell r="E52">
            <v>5570.2917771883294</v>
          </cell>
          <cell r="F52">
            <v>4456.2334217506632</v>
          </cell>
          <cell r="G52">
            <v>4456.2334217506632</v>
          </cell>
          <cell r="H52">
            <v>5570.2917771883294</v>
          </cell>
          <cell r="I52">
            <v>4456.2334217506632</v>
          </cell>
          <cell r="J52">
            <v>4456.2334217506632</v>
          </cell>
          <cell r="K52">
            <v>5570.2917771883294</v>
          </cell>
          <cell r="L52">
            <v>4456.2334217506632</v>
          </cell>
          <cell r="M52">
            <v>4456.2334217506632</v>
          </cell>
          <cell r="N52">
            <v>5570.2917771883294</v>
          </cell>
          <cell r="O52">
            <v>4456.2334217506632</v>
          </cell>
          <cell r="P52">
            <v>4456.2334217506632</v>
          </cell>
          <cell r="R52">
            <v>32307.692307692309</v>
          </cell>
          <cell r="S52">
            <v>25846.153846153844</v>
          </cell>
          <cell r="T52">
            <v>25846.153846153844</v>
          </cell>
          <cell r="U52">
            <v>32307.692307692309</v>
          </cell>
          <cell r="V52">
            <v>25846.153846153844</v>
          </cell>
          <cell r="W52">
            <v>25846.153846153844</v>
          </cell>
          <cell r="X52">
            <v>32307.692307692309</v>
          </cell>
          <cell r="Y52">
            <v>25846.153846153844</v>
          </cell>
          <cell r="Z52">
            <v>25846.153846153844</v>
          </cell>
          <cell r="AA52">
            <v>32307.692307692309</v>
          </cell>
          <cell r="AB52">
            <v>25846.153846153844</v>
          </cell>
          <cell r="AC52">
            <v>25846.153846153844</v>
          </cell>
          <cell r="AE52">
            <v>57931.03448275863</v>
          </cell>
          <cell r="AF52">
            <v>336000</v>
          </cell>
          <cell r="AG52">
            <v>5.7999999999999989</v>
          </cell>
        </row>
        <row r="53">
          <cell r="A53" t="str">
            <v>FJA0001</v>
          </cell>
          <cell r="B53" t="str">
            <v>Jacobs Goldgrain 300g</v>
          </cell>
          <cell r="C53" t="str">
            <v>CM</v>
          </cell>
          <cell r="D53">
            <v>7.1999999999999993</v>
          </cell>
          <cell r="E53">
            <v>1174.3233618233617</v>
          </cell>
          <cell r="F53">
            <v>939.45868945868938</v>
          </cell>
          <cell r="G53">
            <v>939.45868945868938</v>
          </cell>
          <cell r="H53">
            <v>1174.3233618233617</v>
          </cell>
          <cell r="I53">
            <v>939.45868945868938</v>
          </cell>
          <cell r="J53">
            <v>939.45868945868938</v>
          </cell>
          <cell r="K53">
            <v>1174.3233618233617</v>
          </cell>
          <cell r="L53">
            <v>939.45868945868938</v>
          </cell>
          <cell r="M53">
            <v>939.45868945868938</v>
          </cell>
          <cell r="N53">
            <v>1174.3233618233617</v>
          </cell>
          <cell r="O53">
            <v>939.45868945868938</v>
          </cell>
          <cell r="P53">
            <v>939.45868945868938</v>
          </cell>
          <cell r="R53">
            <v>10146.153846153846</v>
          </cell>
          <cell r="S53">
            <v>8116.9230769230771</v>
          </cell>
          <cell r="T53">
            <v>8116.9230769230771</v>
          </cell>
          <cell r="U53">
            <v>10146.153846153846</v>
          </cell>
          <cell r="V53">
            <v>8116.9230769230771</v>
          </cell>
          <cell r="W53">
            <v>8116.9230769230771</v>
          </cell>
          <cell r="X53">
            <v>10146.153846153846</v>
          </cell>
          <cell r="Y53">
            <v>8116.9230769230771</v>
          </cell>
          <cell r="Z53">
            <v>8116.9230769230771</v>
          </cell>
          <cell r="AA53">
            <v>10146.153846153846</v>
          </cell>
          <cell r="AB53">
            <v>8116.9230769230771</v>
          </cell>
          <cell r="AC53">
            <v>8116.9230769230771</v>
          </cell>
          <cell r="AE53">
            <v>12212.962962962964</v>
          </cell>
          <cell r="AF53">
            <v>105520</v>
          </cell>
          <cell r="AG53">
            <v>8.6399999999999988</v>
          </cell>
        </row>
        <row r="54">
          <cell r="A54" t="str">
            <v>FJA0002</v>
          </cell>
          <cell r="B54" t="str">
            <v>Jacob's Ginger Nut 200g</v>
          </cell>
          <cell r="C54" t="str">
            <v>CM</v>
          </cell>
          <cell r="D54">
            <v>4.8000000000000007</v>
          </cell>
          <cell r="E54">
            <v>826.82291666666652</v>
          </cell>
          <cell r="F54">
            <v>661.45833333333326</v>
          </cell>
          <cell r="G54">
            <v>661.45833333333326</v>
          </cell>
          <cell r="H54">
            <v>826.82291666666652</v>
          </cell>
          <cell r="I54">
            <v>661.45833333333326</v>
          </cell>
          <cell r="J54">
            <v>661.45833333333326</v>
          </cell>
          <cell r="K54">
            <v>826.82291666666652</v>
          </cell>
          <cell r="L54">
            <v>661.45833333333326</v>
          </cell>
          <cell r="M54">
            <v>661.45833333333326</v>
          </cell>
          <cell r="N54">
            <v>826.82291666666652</v>
          </cell>
          <cell r="O54">
            <v>661.45833333333326</v>
          </cell>
          <cell r="P54">
            <v>661.45833333333326</v>
          </cell>
          <cell r="R54">
            <v>7143.7499999999991</v>
          </cell>
          <cell r="S54">
            <v>5715</v>
          </cell>
          <cell r="T54">
            <v>5715</v>
          </cell>
          <cell r="U54">
            <v>7143.7499999999991</v>
          </cell>
          <cell r="V54">
            <v>5715</v>
          </cell>
          <cell r="W54">
            <v>5715</v>
          </cell>
          <cell r="X54">
            <v>7143.7499999999991</v>
          </cell>
          <cell r="Y54">
            <v>5715</v>
          </cell>
          <cell r="Z54">
            <v>5715</v>
          </cell>
          <cell r="AA54">
            <v>7143.7499999999991</v>
          </cell>
          <cell r="AB54">
            <v>5715</v>
          </cell>
          <cell r="AC54">
            <v>5715</v>
          </cell>
          <cell r="AE54">
            <v>8598.9583333333303</v>
          </cell>
          <cell r="AF54">
            <v>74295</v>
          </cell>
          <cell r="AG54">
            <v>8.6400000000000023</v>
          </cell>
        </row>
        <row r="55">
          <cell r="A55" t="str">
            <v>FJA0003</v>
          </cell>
          <cell r="B55" t="str">
            <v>Jacob's Lincoln 200g</v>
          </cell>
          <cell r="C55" t="str">
            <v>CM</v>
          </cell>
          <cell r="D55">
            <v>4.8000000000000007</v>
          </cell>
          <cell r="E55">
            <v>2927.3059116809109</v>
          </cell>
          <cell r="F55">
            <v>2341.8447293447289</v>
          </cell>
          <cell r="G55">
            <v>2341.8447293447289</v>
          </cell>
          <cell r="H55">
            <v>2927.3059116809109</v>
          </cell>
          <cell r="I55">
            <v>2341.8447293447289</v>
          </cell>
          <cell r="J55">
            <v>2341.8447293447289</v>
          </cell>
          <cell r="K55">
            <v>2927.3059116809109</v>
          </cell>
          <cell r="L55">
            <v>2341.8447293447289</v>
          </cell>
          <cell r="M55">
            <v>2341.8447293447289</v>
          </cell>
          <cell r="N55">
            <v>2927.3059116809109</v>
          </cell>
          <cell r="O55">
            <v>2341.8447293447289</v>
          </cell>
          <cell r="P55">
            <v>2341.8447293447289</v>
          </cell>
          <cell r="R55">
            <v>25291.923076923071</v>
          </cell>
          <cell r="S55">
            <v>20233.538461538457</v>
          </cell>
          <cell r="T55">
            <v>20233.538461538457</v>
          </cell>
          <cell r="U55">
            <v>25291.923076923071</v>
          </cell>
          <cell r="V55">
            <v>20233.538461538457</v>
          </cell>
          <cell r="W55">
            <v>20233.538461538457</v>
          </cell>
          <cell r="X55">
            <v>25291.923076923071</v>
          </cell>
          <cell r="Y55">
            <v>20233.538461538457</v>
          </cell>
          <cell r="Z55">
            <v>20233.538461538457</v>
          </cell>
          <cell r="AA55">
            <v>25291.923076923071</v>
          </cell>
          <cell r="AB55">
            <v>20233.538461538457</v>
          </cell>
          <cell r="AC55">
            <v>20233.538461538457</v>
          </cell>
          <cell r="AE55">
            <v>30443.981481481467</v>
          </cell>
          <cell r="AF55">
            <v>263035.99999999994</v>
          </cell>
          <cell r="AG55">
            <v>8.6400000000000023</v>
          </cell>
        </row>
        <row r="56">
          <cell r="A56" t="str">
            <v>FJA0004</v>
          </cell>
          <cell r="B56" t="str">
            <v>Jacobs Polo 200g</v>
          </cell>
          <cell r="C56" t="str">
            <v>CM</v>
          </cell>
          <cell r="D56">
            <v>4.8000000000000007</v>
          </cell>
          <cell r="E56">
            <v>3175.769603458557</v>
          </cell>
          <cell r="F56">
            <v>2540.6156827668456</v>
          </cell>
          <cell r="G56">
            <v>2540.6156827668456</v>
          </cell>
          <cell r="H56">
            <v>3175.769603458557</v>
          </cell>
          <cell r="I56">
            <v>2540.6156827668456</v>
          </cell>
          <cell r="J56">
            <v>2540.6156827668456</v>
          </cell>
          <cell r="K56">
            <v>3175.769603458557</v>
          </cell>
          <cell r="L56">
            <v>2540.6156827668456</v>
          </cell>
          <cell r="M56">
            <v>2540.6156827668456</v>
          </cell>
          <cell r="N56">
            <v>3175.769603458557</v>
          </cell>
          <cell r="O56">
            <v>2540.6156827668456</v>
          </cell>
          <cell r="P56">
            <v>2540.6156827668456</v>
          </cell>
          <cell r="R56">
            <v>32773.942307692312</v>
          </cell>
          <cell r="S56">
            <v>26219.153846153848</v>
          </cell>
          <cell r="T56">
            <v>26219.153846153848</v>
          </cell>
          <cell r="U56">
            <v>32773.942307692312</v>
          </cell>
          <cell r="V56">
            <v>26219.153846153848</v>
          </cell>
          <cell r="W56">
            <v>26219.153846153848</v>
          </cell>
          <cell r="X56">
            <v>32773.942307692312</v>
          </cell>
          <cell r="Y56">
            <v>26219.153846153848</v>
          </cell>
          <cell r="Z56">
            <v>26219.153846153848</v>
          </cell>
          <cell r="AA56">
            <v>32773.942307692312</v>
          </cell>
          <cell r="AB56">
            <v>26219.153846153848</v>
          </cell>
          <cell r="AC56">
            <v>26219.153846153848</v>
          </cell>
          <cell r="AE56">
            <v>33028.003875968992</v>
          </cell>
          <cell r="AF56">
            <v>340849.00000000006</v>
          </cell>
          <cell r="AG56">
            <v>10.320000000000002</v>
          </cell>
        </row>
        <row r="57">
          <cell r="A57" t="str">
            <v>FJA0005</v>
          </cell>
          <cell r="B57" t="str">
            <v>Jacobs Polo (PMP) 200g €1.49</v>
          </cell>
          <cell r="C57" t="str">
            <v>CM</v>
          </cell>
          <cell r="D57">
            <v>4.8000000000000007</v>
          </cell>
          <cell r="E57">
            <v>0</v>
          </cell>
          <cell r="F57">
            <v>0</v>
          </cell>
          <cell r="G57">
            <v>0</v>
          </cell>
          <cell r="H57">
            <v>0</v>
          </cell>
          <cell r="I57">
            <v>0</v>
          </cell>
          <cell r="J57">
            <v>0</v>
          </cell>
          <cell r="K57">
            <v>0</v>
          </cell>
          <cell r="L57">
            <v>0</v>
          </cell>
          <cell r="M57">
            <v>0</v>
          </cell>
          <cell r="N57">
            <v>0</v>
          </cell>
          <cell r="O57">
            <v>0</v>
          </cell>
          <cell r="P57">
            <v>0</v>
          </cell>
          <cell r="R57">
            <v>0</v>
          </cell>
          <cell r="S57">
            <v>0</v>
          </cell>
          <cell r="T57">
            <v>0</v>
          </cell>
          <cell r="U57">
            <v>0</v>
          </cell>
          <cell r="V57">
            <v>0</v>
          </cell>
          <cell r="W57">
            <v>0</v>
          </cell>
          <cell r="X57">
            <v>0</v>
          </cell>
          <cell r="Y57">
            <v>0</v>
          </cell>
          <cell r="Z57">
            <v>0</v>
          </cell>
          <cell r="AA57">
            <v>0</v>
          </cell>
          <cell r="AB57">
            <v>0</v>
          </cell>
          <cell r="AC57">
            <v>0</v>
          </cell>
          <cell r="AE57">
            <v>0</v>
          </cell>
          <cell r="AF57">
            <v>0</v>
          </cell>
          <cell r="AG57">
            <v>0</v>
          </cell>
        </row>
        <row r="58">
          <cell r="A58" t="str">
            <v>FJA0006</v>
          </cell>
          <cell r="B58" t="str">
            <v>Jacob's Lincoln (PMP €1.49) 200g</v>
          </cell>
          <cell r="C58" t="str">
            <v>CM</v>
          </cell>
          <cell r="D58">
            <v>4.8000000000000007</v>
          </cell>
          <cell r="E58">
            <v>0</v>
          </cell>
          <cell r="F58">
            <v>0</v>
          </cell>
          <cell r="G58">
            <v>0</v>
          </cell>
          <cell r="H58">
            <v>0</v>
          </cell>
          <cell r="I58">
            <v>0</v>
          </cell>
          <cell r="J58">
            <v>0</v>
          </cell>
          <cell r="K58">
            <v>0</v>
          </cell>
          <cell r="L58">
            <v>0</v>
          </cell>
          <cell r="M58">
            <v>0</v>
          </cell>
          <cell r="N58">
            <v>0</v>
          </cell>
          <cell r="O58">
            <v>0</v>
          </cell>
          <cell r="P58">
            <v>0</v>
          </cell>
          <cell r="R58">
            <v>0</v>
          </cell>
          <cell r="S58">
            <v>0</v>
          </cell>
          <cell r="T58">
            <v>0</v>
          </cell>
          <cell r="U58">
            <v>0</v>
          </cell>
          <cell r="V58">
            <v>0</v>
          </cell>
          <cell r="W58">
            <v>0</v>
          </cell>
          <cell r="X58">
            <v>0</v>
          </cell>
          <cell r="Y58">
            <v>0</v>
          </cell>
          <cell r="Z58">
            <v>0</v>
          </cell>
          <cell r="AA58">
            <v>0</v>
          </cell>
          <cell r="AB58">
            <v>0</v>
          </cell>
          <cell r="AC58">
            <v>0</v>
          </cell>
          <cell r="AE58">
            <v>0</v>
          </cell>
          <cell r="AF58">
            <v>0</v>
          </cell>
          <cell r="AG58">
            <v>0</v>
          </cell>
        </row>
        <row r="59">
          <cell r="A59" t="str">
            <v>NFJA9901</v>
          </cell>
          <cell r="B59" t="str">
            <v>Jacobs HC Polo</v>
          </cell>
          <cell r="C59" t="str">
            <v>CM</v>
          </cell>
          <cell r="D59">
            <v>3.5999999999999996</v>
          </cell>
          <cell r="E59">
            <v>0</v>
          </cell>
          <cell r="F59">
            <v>0</v>
          </cell>
          <cell r="G59">
            <v>0</v>
          </cell>
          <cell r="H59">
            <v>1143.0281032527027</v>
          </cell>
          <cell r="I59">
            <v>914.42248260216229</v>
          </cell>
          <cell r="J59">
            <v>914.42248260216229</v>
          </cell>
          <cell r="K59">
            <v>1143.0281032527027</v>
          </cell>
          <cell r="L59">
            <v>914.42248260216229</v>
          </cell>
          <cell r="M59">
            <v>914.42248260216229</v>
          </cell>
          <cell r="N59">
            <v>1143.0281032527027</v>
          </cell>
          <cell r="O59">
            <v>914.42248260216229</v>
          </cell>
          <cell r="P59">
            <v>914.42248260216229</v>
          </cell>
          <cell r="R59">
            <v>0</v>
          </cell>
          <cell r="S59">
            <v>0</v>
          </cell>
          <cell r="T59">
            <v>0</v>
          </cell>
          <cell r="U59">
            <v>12615.384615384613</v>
          </cell>
          <cell r="V59">
            <v>10092.307692307691</v>
          </cell>
          <cell r="W59">
            <v>10092.307692307691</v>
          </cell>
          <cell r="X59">
            <v>12615.384615384613</v>
          </cell>
          <cell r="Y59">
            <v>10092.307692307691</v>
          </cell>
          <cell r="Z59">
            <v>10092.307692307691</v>
          </cell>
          <cell r="AA59">
            <v>12615.384615384613</v>
          </cell>
          <cell r="AB59">
            <v>10092.307692307691</v>
          </cell>
          <cell r="AC59">
            <v>10092.307692307691</v>
          </cell>
          <cell r="AE59">
            <v>8915.619205371082</v>
          </cell>
          <cell r="AF59">
            <v>98399.999999999971</v>
          </cell>
          <cell r="AG59">
            <v>11.036810538153128</v>
          </cell>
        </row>
        <row r="60">
          <cell r="A60" t="str">
            <v>NFJA9902</v>
          </cell>
          <cell r="B60" t="str">
            <v>Jacobs HC Goldgrain</v>
          </cell>
          <cell r="C60" t="str">
            <v>CM</v>
          </cell>
          <cell r="D60">
            <v>3.5999999999999996</v>
          </cell>
          <cell r="E60">
            <v>0</v>
          </cell>
          <cell r="F60">
            <v>0</v>
          </cell>
          <cell r="G60">
            <v>0</v>
          </cell>
          <cell r="H60">
            <v>1591.4892414995334</v>
          </cell>
          <cell r="I60">
            <v>1273.1913931996266</v>
          </cell>
          <cell r="J60">
            <v>1273.1913931996266</v>
          </cell>
          <cell r="K60">
            <v>1591.4892414995334</v>
          </cell>
          <cell r="L60">
            <v>1273.1913931996266</v>
          </cell>
          <cell r="M60">
            <v>1273.1913931996266</v>
          </cell>
          <cell r="N60">
            <v>1591.4892414995334</v>
          </cell>
          <cell r="O60">
            <v>1273.1913931996266</v>
          </cell>
          <cell r="P60">
            <v>1273.1913931996266</v>
          </cell>
          <cell r="R60">
            <v>0</v>
          </cell>
          <cell r="S60">
            <v>0</v>
          </cell>
          <cell r="T60">
            <v>0</v>
          </cell>
          <cell r="U60">
            <v>15317.307692307691</v>
          </cell>
          <cell r="V60">
            <v>12253.846153846152</v>
          </cell>
          <cell r="W60">
            <v>12253.846153846152</v>
          </cell>
          <cell r="X60">
            <v>15317.307692307691</v>
          </cell>
          <cell r="Y60">
            <v>12253.846153846152</v>
          </cell>
          <cell r="Z60">
            <v>12253.846153846152</v>
          </cell>
          <cell r="AA60">
            <v>15317.307692307691</v>
          </cell>
          <cell r="AB60">
            <v>12253.846153846152</v>
          </cell>
          <cell r="AC60">
            <v>12253.846153846152</v>
          </cell>
          <cell r="AE60">
            <v>12413.616083696359</v>
          </cell>
          <cell r="AF60">
            <v>119475</v>
          </cell>
          <cell r="AG60">
            <v>9.6245122448175753</v>
          </cell>
        </row>
        <row r="61">
          <cell r="A61" t="str">
            <v>NFJA9903</v>
          </cell>
          <cell r="B61" t="str">
            <v>Jacobs FC 1 200g</v>
          </cell>
          <cell r="C61" t="str">
            <v>CM</v>
          </cell>
          <cell r="D61">
            <v>2.4000000000000004</v>
          </cell>
          <cell r="E61">
            <v>0</v>
          </cell>
          <cell r="F61">
            <v>0</v>
          </cell>
          <cell r="G61">
            <v>1577.5004991284623</v>
          </cell>
          <cell r="H61">
            <v>1971.8756239105778</v>
          </cell>
          <cell r="I61">
            <v>1577.5004991284623</v>
          </cell>
          <cell r="J61">
            <v>1577.5004991284623</v>
          </cell>
          <cell r="K61">
            <v>1971.8756239105778</v>
          </cell>
          <cell r="L61">
            <v>1577.5004991284623</v>
          </cell>
          <cell r="M61">
            <v>1577.5004991284623</v>
          </cell>
          <cell r="N61">
            <v>1971.8756239105778</v>
          </cell>
          <cell r="O61">
            <v>1577.5004991284623</v>
          </cell>
          <cell r="P61">
            <v>1577.5004991284623</v>
          </cell>
          <cell r="R61">
            <v>0</v>
          </cell>
          <cell r="S61">
            <v>0</v>
          </cell>
          <cell r="T61">
            <v>15384.615384615385</v>
          </cell>
          <cell r="U61">
            <v>19230.76923076923</v>
          </cell>
          <cell r="V61">
            <v>15384.615384615385</v>
          </cell>
          <cell r="W61">
            <v>15384.615384615385</v>
          </cell>
          <cell r="X61">
            <v>19230.76923076923</v>
          </cell>
          <cell r="Y61">
            <v>15384.615384615385</v>
          </cell>
          <cell r="Z61">
            <v>15384.615384615385</v>
          </cell>
          <cell r="AA61">
            <v>19230.76923076923</v>
          </cell>
          <cell r="AB61">
            <v>15384.615384615385</v>
          </cell>
          <cell r="AC61">
            <v>15384.615384615385</v>
          </cell>
          <cell r="AE61">
            <v>16958.130365630968</v>
          </cell>
          <cell r="AF61">
            <v>165384.61538461538</v>
          </cell>
          <cell r="AG61">
            <v>9.7525264766097255</v>
          </cell>
        </row>
        <row r="62">
          <cell r="A62" t="str">
            <v>NFJA9904</v>
          </cell>
          <cell r="B62" t="str">
            <v>Jacobs FC 2 200g</v>
          </cell>
          <cell r="C62" t="str">
            <v>CM</v>
          </cell>
          <cell r="D62">
            <v>2.4000000000000004</v>
          </cell>
          <cell r="E62">
            <v>0</v>
          </cell>
          <cell r="F62">
            <v>0</v>
          </cell>
          <cell r="G62">
            <v>1582.8581728012982</v>
          </cell>
          <cell r="H62">
            <v>1978.5727160016227</v>
          </cell>
          <cell r="I62">
            <v>1582.8581728012982</v>
          </cell>
          <cell r="J62">
            <v>1582.8581728012982</v>
          </cell>
          <cell r="K62">
            <v>1978.5727160016227</v>
          </cell>
          <cell r="L62">
            <v>1582.8581728012982</v>
          </cell>
          <cell r="M62">
            <v>1582.8581728012982</v>
          </cell>
          <cell r="N62">
            <v>1978.5727160016227</v>
          </cell>
          <cell r="O62">
            <v>1582.8581728012982</v>
          </cell>
          <cell r="P62">
            <v>1582.8581728012982</v>
          </cell>
          <cell r="R62">
            <v>0</v>
          </cell>
          <cell r="S62">
            <v>0</v>
          </cell>
          <cell r="T62">
            <v>15384.615384615383</v>
          </cell>
          <cell r="U62">
            <v>19230.769230769227</v>
          </cell>
          <cell r="V62">
            <v>15384.615384615383</v>
          </cell>
          <cell r="W62">
            <v>15384.615384615383</v>
          </cell>
          <cell r="X62">
            <v>19230.769230769227</v>
          </cell>
          <cell r="Y62">
            <v>15384.615384615383</v>
          </cell>
          <cell r="Z62">
            <v>15384.615384615383</v>
          </cell>
          <cell r="AA62">
            <v>19230.769230769227</v>
          </cell>
          <cell r="AB62">
            <v>15384.615384615383</v>
          </cell>
          <cell r="AC62">
            <v>15384.615384615383</v>
          </cell>
          <cell r="AE62">
            <v>17015.725357613956</v>
          </cell>
          <cell r="AF62">
            <v>165384.61538461532</v>
          </cell>
          <cell r="AG62">
            <v>9.7195160305412056</v>
          </cell>
        </row>
        <row r="63">
          <cell r="A63" t="str">
            <v>NFJA9905</v>
          </cell>
          <cell r="B63" t="str">
            <v>Jacobs FC 3 200g</v>
          </cell>
          <cell r="C63" t="str">
            <v>CM</v>
          </cell>
          <cell r="D63">
            <v>2.4000000000000004</v>
          </cell>
          <cell r="E63">
            <v>0</v>
          </cell>
          <cell r="F63">
            <v>0</v>
          </cell>
          <cell r="G63">
            <v>1596.4683100760308</v>
          </cell>
          <cell r="H63">
            <v>1995.5853875950384</v>
          </cell>
          <cell r="I63">
            <v>1596.4683100760308</v>
          </cell>
          <cell r="J63">
            <v>1596.4683100760308</v>
          </cell>
          <cell r="K63">
            <v>1995.5853875950384</v>
          </cell>
          <cell r="L63">
            <v>1596.4683100760308</v>
          </cell>
          <cell r="M63">
            <v>1596.4683100760308</v>
          </cell>
          <cell r="N63">
            <v>1995.5853875950384</v>
          </cell>
          <cell r="O63">
            <v>1596.4683100760308</v>
          </cell>
          <cell r="P63">
            <v>1596.4683100760308</v>
          </cell>
          <cell r="R63">
            <v>0</v>
          </cell>
          <cell r="S63">
            <v>0</v>
          </cell>
          <cell r="T63">
            <v>15384.615384615385</v>
          </cell>
          <cell r="U63">
            <v>19230.76923076923</v>
          </cell>
          <cell r="V63">
            <v>15384.615384615385</v>
          </cell>
          <cell r="W63">
            <v>15384.615384615385</v>
          </cell>
          <cell r="X63">
            <v>19230.76923076923</v>
          </cell>
          <cell r="Y63">
            <v>15384.615384615385</v>
          </cell>
          <cell r="Z63">
            <v>15384.615384615385</v>
          </cell>
          <cell r="AA63">
            <v>19230.76923076923</v>
          </cell>
          <cell r="AB63">
            <v>15384.615384615385</v>
          </cell>
          <cell r="AC63">
            <v>15384.615384615385</v>
          </cell>
          <cell r="AE63">
            <v>17162.03433331733</v>
          </cell>
          <cell r="AF63">
            <v>165384.61538461538</v>
          </cell>
          <cell r="AG63">
            <v>9.6366556652055948</v>
          </cell>
        </row>
        <row r="64">
          <cell r="A64" t="str">
            <v>NFJA9906</v>
          </cell>
          <cell r="B64" t="str">
            <v>Jacobs Economy 145g Choc Cookie</v>
          </cell>
          <cell r="C64" t="str">
            <v>CM</v>
          </cell>
          <cell r="D64">
            <v>2.9</v>
          </cell>
          <cell r="E64">
            <v>0</v>
          </cell>
          <cell r="F64">
            <v>0</v>
          </cell>
          <cell r="G64">
            <v>1538.4615384615386</v>
          </cell>
          <cell r="H64">
            <v>1923.0769230769233</v>
          </cell>
          <cell r="I64">
            <v>1538.4615384615386</v>
          </cell>
          <cell r="J64">
            <v>1538.4615384615386</v>
          </cell>
          <cell r="K64">
            <v>1923.0769230769233</v>
          </cell>
          <cell r="L64">
            <v>1538.4615384615386</v>
          </cell>
          <cell r="M64">
            <v>1538.4615384615386</v>
          </cell>
          <cell r="N64">
            <v>1923.0769230769233</v>
          </cell>
          <cell r="O64">
            <v>1538.4615384615386</v>
          </cell>
          <cell r="P64">
            <v>1538.4615384615386</v>
          </cell>
          <cell r="R64">
            <v>0</v>
          </cell>
          <cell r="S64">
            <v>0</v>
          </cell>
          <cell r="T64">
            <v>8923.0769230769238</v>
          </cell>
          <cell r="U64">
            <v>11153.846153846154</v>
          </cell>
          <cell r="V64">
            <v>8923.0769230769238</v>
          </cell>
          <cell r="W64">
            <v>8923.0769230769238</v>
          </cell>
          <cell r="X64">
            <v>11153.846153846154</v>
          </cell>
          <cell r="Y64">
            <v>8923.0769230769238</v>
          </cell>
          <cell r="Z64">
            <v>8923.0769230769238</v>
          </cell>
          <cell r="AA64">
            <v>11153.846153846154</v>
          </cell>
          <cell r="AB64">
            <v>8923.0769230769238</v>
          </cell>
          <cell r="AC64">
            <v>8923.0769230769238</v>
          </cell>
          <cell r="AE64">
            <v>16538.461538461543</v>
          </cell>
          <cell r="AF64">
            <v>95923.076923076922</v>
          </cell>
          <cell r="AG64">
            <v>5.799999999999998</v>
          </cell>
        </row>
        <row r="65">
          <cell r="A65" t="str">
            <v>NFJA9907</v>
          </cell>
          <cell r="B65" t="str">
            <v>Jacobs Economy 145g Double Choc Cookie</v>
          </cell>
          <cell r="C65" t="str">
            <v>CM</v>
          </cell>
          <cell r="D65">
            <v>2.9</v>
          </cell>
          <cell r="E65">
            <v>0</v>
          </cell>
          <cell r="F65">
            <v>0</v>
          </cell>
          <cell r="G65">
            <v>1538.4615384615386</v>
          </cell>
          <cell r="H65">
            <v>1923.0769230769233</v>
          </cell>
          <cell r="I65">
            <v>1538.4615384615386</v>
          </cell>
          <cell r="J65">
            <v>1538.4615384615386</v>
          </cell>
          <cell r="K65">
            <v>1923.0769230769233</v>
          </cell>
          <cell r="L65">
            <v>1538.4615384615386</v>
          </cell>
          <cell r="M65">
            <v>1538.4615384615386</v>
          </cell>
          <cell r="N65">
            <v>1923.0769230769233</v>
          </cell>
          <cell r="O65">
            <v>1538.4615384615386</v>
          </cell>
          <cell r="P65">
            <v>1538.4615384615386</v>
          </cell>
          <cell r="R65">
            <v>0</v>
          </cell>
          <cell r="S65">
            <v>0</v>
          </cell>
          <cell r="T65">
            <v>8923.0769230769238</v>
          </cell>
          <cell r="U65">
            <v>11153.846153846154</v>
          </cell>
          <cell r="V65">
            <v>8923.0769230769238</v>
          </cell>
          <cell r="W65">
            <v>8923.0769230769238</v>
          </cell>
          <cell r="X65">
            <v>11153.846153846154</v>
          </cell>
          <cell r="Y65">
            <v>8923.0769230769238</v>
          </cell>
          <cell r="Z65">
            <v>8923.0769230769238</v>
          </cell>
          <cell r="AA65">
            <v>11153.846153846154</v>
          </cell>
          <cell r="AB65">
            <v>8923.0769230769238</v>
          </cell>
          <cell r="AC65">
            <v>8923.0769230769238</v>
          </cell>
          <cell r="AE65">
            <v>16538.461538461543</v>
          </cell>
          <cell r="AF65">
            <v>95923.076923076922</v>
          </cell>
          <cell r="AG65">
            <v>5.799999999999998</v>
          </cell>
        </row>
        <row r="66">
          <cell r="A66" t="str">
            <v>NFJA9908</v>
          </cell>
          <cell r="B66" t="str">
            <v>Jacobs Premium Milk Choc Chunk Cookie</v>
          </cell>
          <cell r="C66" t="str">
            <v>CM</v>
          </cell>
          <cell r="D66">
            <v>1.92</v>
          </cell>
          <cell r="E66">
            <v>0</v>
          </cell>
          <cell r="F66">
            <v>0</v>
          </cell>
          <cell r="G66">
            <v>0</v>
          </cell>
          <cell r="H66">
            <v>0</v>
          </cell>
          <cell r="I66">
            <v>1282.0512820512822</v>
          </cell>
          <cell r="J66">
            <v>1282.0512820512822</v>
          </cell>
          <cell r="K66">
            <v>1602.5641025641028</v>
          </cell>
          <cell r="L66">
            <v>1282.0512820512822</v>
          </cell>
          <cell r="M66">
            <v>1282.0512820512822</v>
          </cell>
          <cell r="N66">
            <v>1602.5641025641028</v>
          </cell>
          <cell r="O66">
            <v>1282.0512820512822</v>
          </cell>
          <cell r="P66">
            <v>1282.0512820512822</v>
          </cell>
          <cell r="R66">
            <v>0</v>
          </cell>
          <cell r="S66">
            <v>0</v>
          </cell>
          <cell r="T66">
            <v>0</v>
          </cell>
          <cell r="U66">
            <v>0</v>
          </cell>
          <cell r="V66">
            <v>8461.5384615384628</v>
          </cell>
          <cell r="W66">
            <v>8461.5384615384628</v>
          </cell>
          <cell r="X66">
            <v>10576.92307692308</v>
          </cell>
          <cell r="Y66">
            <v>8461.5384615384628</v>
          </cell>
          <cell r="Z66">
            <v>8461.5384615384628</v>
          </cell>
          <cell r="AA66">
            <v>10576.92307692308</v>
          </cell>
          <cell r="AB66">
            <v>8461.5384615384628</v>
          </cell>
          <cell r="AC66">
            <v>8461.5384615384628</v>
          </cell>
          <cell r="AE66">
            <v>10897.435897435898</v>
          </cell>
          <cell r="AF66">
            <v>71923.076923076937</v>
          </cell>
          <cell r="AG66">
            <v>6.6000000000000005</v>
          </cell>
        </row>
        <row r="67">
          <cell r="A67" t="str">
            <v>NFJA9909</v>
          </cell>
          <cell r="B67" t="str">
            <v>Jacobs Premium Cappuccino Cookie</v>
          </cell>
          <cell r="C67" t="str">
            <v>CM</v>
          </cell>
          <cell r="D67">
            <v>1.92</v>
          </cell>
          <cell r="E67">
            <v>0</v>
          </cell>
          <cell r="F67">
            <v>0</v>
          </cell>
          <cell r="G67">
            <v>0</v>
          </cell>
          <cell r="H67">
            <v>0</v>
          </cell>
          <cell r="I67">
            <v>1282.0512820512822</v>
          </cell>
          <cell r="J67">
            <v>1282.0512820512822</v>
          </cell>
          <cell r="K67">
            <v>1602.5641025641028</v>
          </cell>
          <cell r="L67">
            <v>1282.0512820512822</v>
          </cell>
          <cell r="M67">
            <v>1282.0512820512822</v>
          </cell>
          <cell r="N67">
            <v>1602.5641025641028</v>
          </cell>
          <cell r="O67">
            <v>1282.0512820512822</v>
          </cell>
          <cell r="P67">
            <v>1282.0512820512822</v>
          </cell>
          <cell r="R67">
            <v>0</v>
          </cell>
          <cell r="S67">
            <v>0</v>
          </cell>
          <cell r="T67">
            <v>0</v>
          </cell>
          <cell r="U67">
            <v>0</v>
          </cell>
          <cell r="V67">
            <v>8461.5384615384628</v>
          </cell>
          <cell r="W67">
            <v>8461.5384615384628</v>
          </cell>
          <cell r="X67">
            <v>10576.92307692308</v>
          </cell>
          <cell r="Y67">
            <v>8461.5384615384628</v>
          </cell>
          <cell r="Z67">
            <v>8461.5384615384628</v>
          </cell>
          <cell r="AA67">
            <v>10576.92307692308</v>
          </cell>
          <cell r="AB67">
            <v>8461.5384615384628</v>
          </cell>
          <cell r="AC67">
            <v>8461.5384615384628</v>
          </cell>
          <cell r="AE67">
            <v>10897.435897435898</v>
          </cell>
          <cell r="AF67">
            <v>71923.076923076937</v>
          </cell>
          <cell r="AG67">
            <v>6.6000000000000005</v>
          </cell>
        </row>
        <row r="68">
          <cell r="A68" t="str">
            <v>NFJA9910</v>
          </cell>
          <cell r="B68" t="str">
            <v>Jacobs Premium Choc Orange Cookie</v>
          </cell>
          <cell r="C68" t="str">
            <v>CM</v>
          </cell>
          <cell r="D68">
            <v>1.92</v>
          </cell>
          <cell r="E68">
            <v>0</v>
          </cell>
          <cell r="F68">
            <v>0</v>
          </cell>
          <cell r="G68">
            <v>0</v>
          </cell>
          <cell r="H68">
            <v>0</v>
          </cell>
          <cell r="I68">
            <v>1282.0512820512822</v>
          </cell>
          <cell r="J68">
            <v>1282.0512820512822</v>
          </cell>
          <cell r="K68">
            <v>1602.5641025641028</v>
          </cell>
          <cell r="L68">
            <v>1282.0512820512822</v>
          </cell>
          <cell r="M68">
            <v>1282.0512820512822</v>
          </cell>
          <cell r="N68">
            <v>1602.5641025641028</v>
          </cell>
          <cell r="O68">
            <v>1282.0512820512822</v>
          </cell>
          <cell r="P68">
            <v>1282.0512820512822</v>
          </cell>
          <cell r="R68">
            <v>0</v>
          </cell>
          <cell r="S68">
            <v>0</v>
          </cell>
          <cell r="T68">
            <v>0</v>
          </cell>
          <cell r="U68">
            <v>0</v>
          </cell>
          <cell r="V68">
            <v>8461.5384615384628</v>
          </cell>
          <cell r="W68">
            <v>8461.5384615384628</v>
          </cell>
          <cell r="X68">
            <v>10576.92307692308</v>
          </cell>
          <cell r="Y68">
            <v>8461.5384615384628</v>
          </cell>
          <cell r="Z68">
            <v>8461.5384615384628</v>
          </cell>
          <cell r="AA68">
            <v>10576.92307692308</v>
          </cell>
          <cell r="AB68">
            <v>8461.5384615384628</v>
          </cell>
          <cell r="AC68">
            <v>8461.5384615384628</v>
          </cell>
          <cell r="AE68">
            <v>10897.435897435898</v>
          </cell>
          <cell r="AF68">
            <v>71923.076923076937</v>
          </cell>
          <cell r="AG68">
            <v>6.6000000000000005</v>
          </cell>
        </row>
        <row r="69">
          <cell r="A69" t="str">
            <v>FOM0005</v>
          </cell>
          <cell r="B69" t="str">
            <v>Oh My Double Choc Chip Cookie (14%) 145g</v>
          </cell>
          <cell r="C69" t="str">
            <v>Brand</v>
          </cell>
          <cell r="D69">
            <v>2.9</v>
          </cell>
          <cell r="E69">
            <v>3493.12</v>
          </cell>
          <cell r="F69">
            <v>344.14</v>
          </cell>
          <cell r="G69">
            <v>1687.3</v>
          </cell>
          <cell r="H69">
            <v>2509.2199999999998</v>
          </cell>
          <cell r="I69">
            <v>1300.1599999999999</v>
          </cell>
          <cell r="J69">
            <v>2213.7399999999998</v>
          </cell>
          <cell r="K69">
            <v>2514.6399999999994</v>
          </cell>
          <cell r="L69">
            <v>696.64</v>
          </cell>
          <cell r="M69">
            <v>1880.82</v>
          </cell>
          <cell r="N69">
            <v>2961.8599999999997</v>
          </cell>
          <cell r="O69">
            <v>1928.28</v>
          </cell>
          <cell r="P69">
            <v>1234.6599999999999</v>
          </cell>
          <cell r="R69">
            <v>19346.058799999999</v>
          </cell>
          <cell r="S69">
            <v>1896.3792000000001</v>
          </cell>
          <cell r="T69">
            <v>9236.7486000000008</v>
          </cell>
          <cell r="U69">
            <v>13765.541999999999</v>
          </cell>
          <cell r="V69">
            <v>7324.5318000000007</v>
          </cell>
          <cell r="W69">
            <v>12113.743200000001</v>
          </cell>
          <cell r="X69">
            <v>13798.062</v>
          </cell>
          <cell r="Y69">
            <v>4026.2950000000001</v>
          </cell>
          <cell r="Z69">
            <v>10294.3354</v>
          </cell>
          <cell r="AA69">
            <v>16239.219599999999</v>
          </cell>
          <cell r="AB69">
            <v>10757.2076</v>
          </cell>
          <cell r="AC69">
            <v>6763.0709999999999</v>
          </cell>
          <cell r="AE69">
            <v>22764.579999999998</v>
          </cell>
          <cell r="AF69">
            <v>125561.19419999998</v>
          </cell>
          <cell r="AG69">
            <v>5.5156385138667172</v>
          </cell>
        </row>
        <row r="70">
          <cell r="A70" t="str">
            <v>FOM0006</v>
          </cell>
          <cell r="B70" t="str">
            <v>Oh My Choc Chip Cookies (14%) 145g</v>
          </cell>
          <cell r="C70" t="str">
            <v>Brand</v>
          </cell>
          <cell r="D70">
            <v>2.9</v>
          </cell>
          <cell r="E70">
            <v>4767.3999999999996</v>
          </cell>
          <cell r="F70">
            <v>645.9</v>
          </cell>
          <cell r="G70">
            <v>2207.1800000000003</v>
          </cell>
          <cell r="H70">
            <v>2512.5</v>
          </cell>
          <cell r="I70">
            <v>2872.9199999999996</v>
          </cell>
          <cell r="J70">
            <v>1762.7399999999998</v>
          </cell>
          <cell r="K70">
            <v>3488.7999999999993</v>
          </cell>
          <cell r="L70">
            <v>998.4</v>
          </cell>
          <cell r="M70">
            <v>3153.46</v>
          </cell>
          <cell r="N70">
            <v>2512.5</v>
          </cell>
          <cell r="O70">
            <v>3202.56</v>
          </cell>
          <cell r="P70">
            <v>1236.3</v>
          </cell>
          <cell r="R70">
            <v>26309.998999999996</v>
          </cell>
          <cell r="S70">
            <v>3545.4975999999997</v>
          </cell>
          <cell r="T70">
            <v>12077.892800000001</v>
          </cell>
          <cell r="U70">
            <v>13783.467199999999</v>
          </cell>
          <cell r="V70">
            <v>15919.665199999999</v>
          </cell>
          <cell r="W70">
            <v>9649.0282000000007</v>
          </cell>
          <cell r="X70">
            <v>19121.846399999999</v>
          </cell>
          <cell r="Y70">
            <v>5675.4134000000004</v>
          </cell>
          <cell r="Z70">
            <v>17249.312999999998</v>
          </cell>
          <cell r="AA70">
            <v>13783.467199999999</v>
          </cell>
          <cell r="AB70">
            <v>17721.147799999999</v>
          </cell>
          <cell r="AC70">
            <v>6772.0335999999998</v>
          </cell>
          <cell r="AE70">
            <v>29360.66</v>
          </cell>
          <cell r="AF70">
            <v>161608.7714</v>
          </cell>
          <cell r="AG70">
            <v>5.5042622134516046</v>
          </cell>
        </row>
        <row r="71">
          <cell r="A71" t="str">
            <v>FRG0001</v>
          </cell>
          <cell r="B71" t="str">
            <v>Regal Choc Chip Cookie (14%) 145g</v>
          </cell>
          <cell r="C71" t="str">
            <v>CM</v>
          </cell>
          <cell r="D71">
            <v>2.9</v>
          </cell>
          <cell r="E71">
            <v>0</v>
          </cell>
          <cell r="F71">
            <v>0</v>
          </cell>
          <cell r="G71">
            <v>2163</v>
          </cell>
          <cell r="H71">
            <v>0</v>
          </cell>
          <cell r="I71">
            <v>0</v>
          </cell>
          <cell r="J71">
            <v>2163</v>
          </cell>
          <cell r="K71">
            <v>0</v>
          </cell>
          <cell r="L71">
            <v>0</v>
          </cell>
          <cell r="M71">
            <v>2163</v>
          </cell>
          <cell r="N71">
            <v>0</v>
          </cell>
          <cell r="O71">
            <v>0</v>
          </cell>
          <cell r="P71">
            <v>2163</v>
          </cell>
          <cell r="R71">
            <v>0</v>
          </cell>
          <cell r="S71">
            <v>0</v>
          </cell>
          <cell r="T71">
            <v>12497.333333333334</v>
          </cell>
          <cell r="U71">
            <v>0</v>
          </cell>
          <cell r="V71">
            <v>0</v>
          </cell>
          <cell r="W71">
            <v>12497.333333333334</v>
          </cell>
          <cell r="X71">
            <v>0</v>
          </cell>
          <cell r="Y71">
            <v>0</v>
          </cell>
          <cell r="Z71">
            <v>12497.333333333334</v>
          </cell>
          <cell r="AA71">
            <v>0</v>
          </cell>
          <cell r="AB71">
            <v>0</v>
          </cell>
          <cell r="AC71">
            <v>12497.333333333334</v>
          </cell>
          <cell r="AE71">
            <v>8652</v>
          </cell>
          <cell r="AF71">
            <v>49989.333333333336</v>
          </cell>
          <cell r="AG71">
            <v>5.7777777777777777</v>
          </cell>
        </row>
        <row r="72">
          <cell r="A72" t="str">
            <v>FRG0002</v>
          </cell>
          <cell r="B72" t="str">
            <v>Regal Double Choc Chip Cookies (14%) 145g</v>
          </cell>
          <cell r="C72" t="str">
            <v>CM</v>
          </cell>
          <cell r="D72">
            <v>2.9</v>
          </cell>
          <cell r="E72">
            <v>0</v>
          </cell>
          <cell r="F72">
            <v>0</v>
          </cell>
          <cell r="G72">
            <v>2163</v>
          </cell>
          <cell r="H72">
            <v>0</v>
          </cell>
          <cell r="I72">
            <v>0</v>
          </cell>
          <cell r="J72">
            <v>2163</v>
          </cell>
          <cell r="K72">
            <v>0</v>
          </cell>
          <cell r="L72">
            <v>0</v>
          </cell>
          <cell r="M72">
            <v>2163</v>
          </cell>
          <cell r="N72">
            <v>0</v>
          </cell>
          <cell r="O72">
            <v>0</v>
          </cell>
          <cell r="P72">
            <v>2163</v>
          </cell>
          <cell r="R72">
            <v>0</v>
          </cell>
          <cell r="S72">
            <v>0</v>
          </cell>
          <cell r="T72">
            <v>12497.333333333334</v>
          </cell>
          <cell r="U72">
            <v>0</v>
          </cell>
          <cell r="V72">
            <v>0</v>
          </cell>
          <cell r="W72">
            <v>12497.333333333334</v>
          </cell>
          <cell r="X72">
            <v>0</v>
          </cell>
          <cell r="Y72">
            <v>0</v>
          </cell>
          <cell r="Z72">
            <v>12497.333333333334</v>
          </cell>
          <cell r="AA72">
            <v>0</v>
          </cell>
          <cell r="AB72">
            <v>0</v>
          </cell>
          <cell r="AC72">
            <v>12497.333333333334</v>
          </cell>
          <cell r="AE72">
            <v>8652</v>
          </cell>
          <cell r="AF72">
            <v>49989.333333333336</v>
          </cell>
          <cell r="AG72">
            <v>5.7777777777777777</v>
          </cell>
        </row>
        <row r="73">
          <cell r="A73" t="str">
            <v>NFTE9901</v>
          </cell>
          <cell r="B73" t="str">
            <v>Tesco Ginger Nut 300g</v>
          </cell>
          <cell r="C73" t="str">
            <v>PL</v>
          </cell>
          <cell r="D73">
            <v>4.8</v>
          </cell>
          <cell r="E73">
            <v>1625</v>
          </cell>
          <cell r="F73">
            <v>1300</v>
          </cell>
          <cell r="G73">
            <v>1300</v>
          </cell>
          <cell r="H73">
            <v>1625</v>
          </cell>
          <cell r="I73">
            <v>1300</v>
          </cell>
          <cell r="J73">
            <v>1300</v>
          </cell>
          <cell r="K73">
            <v>1625</v>
          </cell>
          <cell r="L73">
            <v>1300</v>
          </cell>
          <cell r="M73">
            <v>1300</v>
          </cell>
          <cell r="N73">
            <v>1625</v>
          </cell>
          <cell r="O73">
            <v>1300</v>
          </cell>
          <cell r="P73">
            <v>1300</v>
          </cell>
          <cell r="R73">
            <v>10088</v>
          </cell>
          <cell r="S73">
            <v>8070.4000000000005</v>
          </cell>
          <cell r="T73">
            <v>8070.4000000000005</v>
          </cell>
          <cell r="U73">
            <v>10088</v>
          </cell>
          <cell r="V73">
            <v>8070.4000000000005</v>
          </cell>
          <cell r="W73">
            <v>8070.4000000000005</v>
          </cell>
          <cell r="X73">
            <v>10088</v>
          </cell>
          <cell r="Y73">
            <v>8070.4000000000005</v>
          </cell>
          <cell r="Z73">
            <v>8070.4000000000005</v>
          </cell>
          <cell r="AA73">
            <v>10088</v>
          </cell>
          <cell r="AB73">
            <v>8070.4000000000005</v>
          </cell>
          <cell r="AC73">
            <v>8070.4000000000005</v>
          </cell>
          <cell r="AE73">
            <v>16900</v>
          </cell>
          <cell r="AF73">
            <v>104915.19999999998</v>
          </cell>
          <cell r="AG73">
            <v>6.2079999999999993</v>
          </cell>
        </row>
        <row r="74">
          <cell r="A74" t="str">
            <v>NFTE9902</v>
          </cell>
          <cell r="B74" t="str">
            <v>Tesco Everyday Value Ginger Nut 300g</v>
          </cell>
          <cell r="C74" t="str">
            <v>PL</v>
          </cell>
          <cell r="D74">
            <v>4.8</v>
          </cell>
          <cell r="E74">
            <v>1385</v>
          </cell>
          <cell r="F74">
            <v>1108</v>
          </cell>
          <cell r="G74">
            <v>1108</v>
          </cell>
          <cell r="H74">
            <v>1385</v>
          </cell>
          <cell r="I74">
            <v>1108</v>
          </cell>
          <cell r="J74">
            <v>1108</v>
          </cell>
          <cell r="K74">
            <v>1385</v>
          </cell>
          <cell r="L74">
            <v>1108</v>
          </cell>
          <cell r="M74">
            <v>1108</v>
          </cell>
          <cell r="N74">
            <v>1385</v>
          </cell>
          <cell r="O74">
            <v>1108</v>
          </cell>
          <cell r="P74">
            <v>1108</v>
          </cell>
          <cell r="R74">
            <v>8088.4</v>
          </cell>
          <cell r="S74">
            <v>6470.72</v>
          </cell>
          <cell r="T74">
            <v>6470.72</v>
          </cell>
          <cell r="U74">
            <v>8088.4</v>
          </cell>
          <cell r="V74">
            <v>6470.72</v>
          </cell>
          <cell r="W74">
            <v>6470.72</v>
          </cell>
          <cell r="X74">
            <v>8088.4</v>
          </cell>
          <cell r="Y74">
            <v>6470.72</v>
          </cell>
          <cell r="Z74">
            <v>6470.72</v>
          </cell>
          <cell r="AA74">
            <v>8088.4</v>
          </cell>
          <cell r="AB74">
            <v>6470.72</v>
          </cell>
          <cell r="AC74">
            <v>6470.72</v>
          </cell>
          <cell r="AE74">
            <v>14404</v>
          </cell>
          <cell r="AF74">
            <v>84119.360000000001</v>
          </cell>
          <cell r="AG74">
            <v>5.84</v>
          </cell>
        </row>
        <row r="75">
          <cell r="A75" t="str">
            <v>NFTE9903</v>
          </cell>
          <cell r="B75" t="str">
            <v>Tesco Choc Chip Cookies 22%</v>
          </cell>
          <cell r="C75" t="str">
            <v>PL</v>
          </cell>
          <cell r="D75">
            <v>5</v>
          </cell>
          <cell r="E75">
            <v>1730</v>
          </cell>
          <cell r="F75">
            <v>1384</v>
          </cell>
          <cell r="G75">
            <v>1384</v>
          </cell>
          <cell r="H75">
            <v>1730</v>
          </cell>
          <cell r="I75">
            <v>1384</v>
          </cell>
          <cell r="J75">
            <v>1384</v>
          </cell>
          <cell r="K75">
            <v>1730</v>
          </cell>
          <cell r="L75">
            <v>1384</v>
          </cell>
          <cell r="M75">
            <v>1384</v>
          </cell>
          <cell r="N75">
            <v>1730</v>
          </cell>
          <cell r="O75">
            <v>1384</v>
          </cell>
          <cell r="P75">
            <v>1384</v>
          </cell>
          <cell r="R75">
            <v>16261.999999999998</v>
          </cell>
          <cell r="S75">
            <v>13009.599999999999</v>
          </cell>
          <cell r="T75">
            <v>13009.599999999999</v>
          </cell>
          <cell r="U75">
            <v>16261.999999999998</v>
          </cell>
          <cell r="V75">
            <v>13009.599999999999</v>
          </cell>
          <cell r="W75">
            <v>13009.599999999999</v>
          </cell>
          <cell r="X75">
            <v>16261.999999999998</v>
          </cell>
          <cell r="Y75">
            <v>13009.599999999999</v>
          </cell>
          <cell r="Z75">
            <v>13009.599999999999</v>
          </cell>
          <cell r="AA75">
            <v>16261.999999999998</v>
          </cell>
          <cell r="AB75">
            <v>13009.599999999999</v>
          </cell>
          <cell r="AC75">
            <v>13009.599999999999</v>
          </cell>
          <cell r="AE75">
            <v>17992</v>
          </cell>
          <cell r="AF75">
            <v>169124.80000000002</v>
          </cell>
          <cell r="AG75">
            <v>9.4</v>
          </cell>
        </row>
        <row r="76">
          <cell r="A76" t="str">
            <v>NFTE9904</v>
          </cell>
          <cell r="B76" t="str">
            <v>Tesco Choc Chip Cookies 22% TP</v>
          </cell>
          <cell r="C76" t="str">
            <v>PL</v>
          </cell>
          <cell r="D76">
            <v>7.5</v>
          </cell>
          <cell r="E76">
            <v>520</v>
          </cell>
          <cell r="F76">
            <v>416</v>
          </cell>
          <cell r="G76">
            <v>416</v>
          </cell>
          <cell r="H76">
            <v>520</v>
          </cell>
          <cell r="I76">
            <v>416</v>
          </cell>
          <cell r="J76">
            <v>416</v>
          </cell>
          <cell r="K76">
            <v>520</v>
          </cell>
          <cell r="L76">
            <v>416</v>
          </cell>
          <cell r="M76">
            <v>416</v>
          </cell>
          <cell r="N76">
            <v>520</v>
          </cell>
          <cell r="O76">
            <v>416</v>
          </cell>
          <cell r="P76">
            <v>416</v>
          </cell>
          <cell r="R76">
            <v>7565.9999999999991</v>
          </cell>
          <cell r="S76">
            <v>6052.7999999999993</v>
          </cell>
          <cell r="T76">
            <v>6052.7999999999993</v>
          </cell>
          <cell r="U76">
            <v>7565.9999999999991</v>
          </cell>
          <cell r="V76">
            <v>6052.7999999999993</v>
          </cell>
          <cell r="W76">
            <v>6052.7999999999993</v>
          </cell>
          <cell r="X76">
            <v>7565.9999999999991</v>
          </cell>
          <cell r="Y76">
            <v>6052.7999999999993</v>
          </cell>
          <cell r="Z76">
            <v>6052.7999999999993</v>
          </cell>
          <cell r="AA76">
            <v>7565.9999999999991</v>
          </cell>
          <cell r="AB76">
            <v>6052.7999999999993</v>
          </cell>
          <cell r="AC76">
            <v>6052.7999999999993</v>
          </cell>
          <cell r="AE76">
            <v>5408</v>
          </cell>
          <cell r="AF76">
            <v>78686.400000000009</v>
          </cell>
          <cell r="AG76">
            <v>14.550000000000002</v>
          </cell>
        </row>
        <row r="77">
          <cell r="A77" t="str">
            <v>NFTE9905</v>
          </cell>
          <cell r="B77" t="str">
            <v>Tesco Cookie Choc Chip Cookies 14%</v>
          </cell>
          <cell r="C77" t="str">
            <v>PL</v>
          </cell>
          <cell r="D77">
            <v>2.9</v>
          </cell>
          <cell r="E77">
            <v>520</v>
          </cell>
          <cell r="F77">
            <v>416</v>
          </cell>
          <cell r="G77">
            <v>416</v>
          </cell>
          <cell r="H77">
            <v>520</v>
          </cell>
          <cell r="I77">
            <v>416</v>
          </cell>
          <cell r="J77">
            <v>416</v>
          </cell>
          <cell r="K77">
            <v>520</v>
          </cell>
          <cell r="L77">
            <v>416</v>
          </cell>
          <cell r="M77">
            <v>416</v>
          </cell>
          <cell r="N77">
            <v>520</v>
          </cell>
          <cell r="O77">
            <v>416</v>
          </cell>
          <cell r="P77">
            <v>416</v>
          </cell>
          <cell r="R77">
            <v>2704</v>
          </cell>
          <cell r="S77">
            <v>2163.2000000000003</v>
          </cell>
          <cell r="T77">
            <v>2163.2000000000003</v>
          </cell>
          <cell r="U77">
            <v>2704</v>
          </cell>
          <cell r="V77">
            <v>2163.2000000000003</v>
          </cell>
          <cell r="W77">
            <v>2163.2000000000003</v>
          </cell>
          <cell r="X77">
            <v>2704</v>
          </cell>
          <cell r="Y77">
            <v>2163.2000000000003</v>
          </cell>
          <cell r="Z77">
            <v>2163.2000000000003</v>
          </cell>
          <cell r="AA77">
            <v>2704</v>
          </cell>
          <cell r="AB77">
            <v>2163.2000000000003</v>
          </cell>
          <cell r="AC77">
            <v>2163.2000000000003</v>
          </cell>
          <cell r="AE77">
            <v>5408</v>
          </cell>
          <cell r="AF77">
            <v>28121.600000000006</v>
          </cell>
          <cell r="AG77">
            <v>5.2000000000000011</v>
          </cell>
        </row>
        <row r="78">
          <cell r="A78" t="str">
            <v>NFTE9906</v>
          </cell>
          <cell r="B78" t="str">
            <v>Tesco Double Choc Chip Cookies 14%</v>
          </cell>
          <cell r="C78" t="str">
            <v>PL</v>
          </cell>
          <cell r="D78">
            <v>2.9</v>
          </cell>
          <cell r="E78">
            <v>346</v>
          </cell>
          <cell r="F78">
            <v>276.8</v>
          </cell>
          <cell r="G78">
            <v>276.8</v>
          </cell>
          <cell r="H78">
            <v>346</v>
          </cell>
          <cell r="I78">
            <v>276.8</v>
          </cell>
          <cell r="J78">
            <v>276.8</v>
          </cell>
          <cell r="K78">
            <v>346</v>
          </cell>
          <cell r="L78">
            <v>276.8</v>
          </cell>
          <cell r="M78">
            <v>276.8</v>
          </cell>
          <cell r="N78">
            <v>346</v>
          </cell>
          <cell r="O78">
            <v>276.8</v>
          </cell>
          <cell r="P78">
            <v>276.8</v>
          </cell>
          <cell r="R78">
            <v>1868.4</v>
          </cell>
          <cell r="S78">
            <v>1494.7200000000003</v>
          </cell>
          <cell r="T78">
            <v>1494.7200000000003</v>
          </cell>
          <cell r="U78">
            <v>1868.4</v>
          </cell>
          <cell r="V78">
            <v>1494.7200000000003</v>
          </cell>
          <cell r="W78">
            <v>1494.7200000000003</v>
          </cell>
          <cell r="X78">
            <v>1868.4</v>
          </cell>
          <cell r="Y78">
            <v>1494.7200000000003</v>
          </cell>
          <cell r="Z78">
            <v>1494.7200000000003</v>
          </cell>
          <cell r="AA78">
            <v>1868.4</v>
          </cell>
          <cell r="AB78">
            <v>1494.7200000000003</v>
          </cell>
          <cell r="AC78">
            <v>1494.7200000000003</v>
          </cell>
          <cell r="AE78">
            <v>3598.4000000000005</v>
          </cell>
          <cell r="AF78">
            <v>19431.360000000004</v>
          </cell>
          <cell r="AG78">
            <v>5.4</v>
          </cell>
        </row>
        <row r="79">
          <cell r="A79" t="str">
            <v>NFTE9907</v>
          </cell>
          <cell r="B79" t="str">
            <v>Tesco Everyday Value CC Cookie 8%</v>
          </cell>
          <cell r="C79" t="str">
            <v>PL</v>
          </cell>
          <cell r="D79">
            <v>4</v>
          </cell>
          <cell r="E79">
            <v>1385</v>
          </cell>
          <cell r="F79">
            <v>1108</v>
          </cell>
          <cell r="G79">
            <v>1108</v>
          </cell>
          <cell r="H79">
            <v>1385</v>
          </cell>
          <cell r="I79">
            <v>1108</v>
          </cell>
          <cell r="J79">
            <v>1108</v>
          </cell>
          <cell r="K79">
            <v>1385</v>
          </cell>
          <cell r="L79">
            <v>1108</v>
          </cell>
          <cell r="M79">
            <v>1108</v>
          </cell>
          <cell r="N79">
            <v>1385</v>
          </cell>
          <cell r="O79">
            <v>1108</v>
          </cell>
          <cell r="P79">
            <v>1108</v>
          </cell>
          <cell r="R79">
            <v>8310</v>
          </cell>
          <cell r="S79">
            <v>6648</v>
          </cell>
          <cell r="T79">
            <v>6648</v>
          </cell>
          <cell r="U79">
            <v>8310</v>
          </cell>
          <cell r="V79">
            <v>6648</v>
          </cell>
          <cell r="W79">
            <v>6648</v>
          </cell>
          <cell r="X79">
            <v>8310</v>
          </cell>
          <cell r="Y79">
            <v>6648</v>
          </cell>
          <cell r="Z79">
            <v>6648</v>
          </cell>
          <cell r="AA79">
            <v>8310</v>
          </cell>
          <cell r="AB79">
            <v>6648</v>
          </cell>
          <cell r="AC79">
            <v>6648</v>
          </cell>
          <cell r="AE79">
            <v>14404</v>
          </cell>
          <cell r="AF79">
            <v>86424</v>
          </cell>
          <cell r="AG79">
            <v>6</v>
          </cell>
        </row>
        <row r="80">
          <cell r="A80" t="str">
            <v>NFTE9908</v>
          </cell>
          <cell r="B80" t="str">
            <v>Tesco Oaties</v>
          </cell>
          <cell r="C80" t="str">
            <v>PL</v>
          </cell>
          <cell r="D80">
            <v>3.5999999999999996</v>
          </cell>
          <cell r="E80">
            <v>695</v>
          </cell>
          <cell r="F80">
            <v>556</v>
          </cell>
          <cell r="G80">
            <v>556</v>
          </cell>
          <cell r="H80">
            <v>695</v>
          </cell>
          <cell r="I80">
            <v>556</v>
          </cell>
          <cell r="J80">
            <v>556</v>
          </cell>
          <cell r="K80">
            <v>695</v>
          </cell>
          <cell r="L80">
            <v>556</v>
          </cell>
          <cell r="M80">
            <v>556</v>
          </cell>
          <cell r="N80">
            <v>695</v>
          </cell>
          <cell r="O80">
            <v>556</v>
          </cell>
          <cell r="P80">
            <v>556</v>
          </cell>
          <cell r="R80">
            <v>3002.4</v>
          </cell>
          <cell r="S80">
            <v>2401.92</v>
          </cell>
          <cell r="T80">
            <v>2401.92</v>
          </cell>
          <cell r="U80">
            <v>3002.4</v>
          </cell>
          <cell r="V80">
            <v>2401.92</v>
          </cell>
          <cell r="W80">
            <v>2401.92</v>
          </cell>
          <cell r="X80">
            <v>3002.4</v>
          </cell>
          <cell r="Y80">
            <v>2401.92</v>
          </cell>
          <cell r="Z80">
            <v>2401.92</v>
          </cell>
          <cell r="AA80">
            <v>3002.4</v>
          </cell>
          <cell r="AB80">
            <v>2401.92</v>
          </cell>
          <cell r="AC80">
            <v>2401.92</v>
          </cell>
          <cell r="AE80">
            <v>7228</v>
          </cell>
          <cell r="AF80">
            <v>31224.959999999999</v>
          </cell>
          <cell r="AG80">
            <v>4.32</v>
          </cell>
        </row>
        <row r="81">
          <cell r="A81" t="str">
            <v>NFTE9909</v>
          </cell>
          <cell r="B81" t="str">
            <v>Tesco Half Coated Oaties</v>
          </cell>
          <cell r="C81" t="str">
            <v>PL</v>
          </cell>
          <cell r="D81">
            <v>5</v>
          </cell>
          <cell r="E81">
            <v>520</v>
          </cell>
          <cell r="F81">
            <v>416</v>
          </cell>
          <cell r="G81">
            <v>416</v>
          </cell>
          <cell r="H81">
            <v>520</v>
          </cell>
          <cell r="I81">
            <v>416</v>
          </cell>
          <cell r="J81">
            <v>416</v>
          </cell>
          <cell r="K81">
            <v>520</v>
          </cell>
          <cell r="L81">
            <v>416</v>
          </cell>
          <cell r="M81">
            <v>416</v>
          </cell>
          <cell r="N81">
            <v>520</v>
          </cell>
          <cell r="O81">
            <v>416</v>
          </cell>
          <cell r="P81">
            <v>416</v>
          </cell>
          <cell r="R81">
            <v>5688.8000000000011</v>
          </cell>
          <cell r="S81">
            <v>4551.0400000000009</v>
          </cell>
          <cell r="T81">
            <v>4551.0400000000009</v>
          </cell>
          <cell r="U81">
            <v>5688.8000000000011</v>
          </cell>
          <cell r="V81">
            <v>4551.0400000000009</v>
          </cell>
          <cell r="W81">
            <v>4551.0400000000009</v>
          </cell>
          <cell r="X81">
            <v>5688.8000000000011</v>
          </cell>
          <cell r="Y81">
            <v>4551.0400000000009</v>
          </cell>
          <cell r="Z81">
            <v>4551.0400000000009</v>
          </cell>
          <cell r="AA81">
            <v>5688.8000000000011</v>
          </cell>
          <cell r="AB81">
            <v>4551.0400000000009</v>
          </cell>
          <cell r="AC81">
            <v>4551.0400000000009</v>
          </cell>
          <cell r="AE81">
            <v>5408</v>
          </cell>
          <cell r="AF81">
            <v>59163.520000000011</v>
          </cell>
          <cell r="AG81">
            <v>10.940000000000001</v>
          </cell>
        </row>
        <row r="82">
          <cell r="A82" t="str">
            <v>NFTE9910</v>
          </cell>
          <cell r="B82" t="str">
            <v>Tesco Milk Choc Chunk 160g</v>
          </cell>
          <cell r="C82" t="str">
            <v>PL</v>
          </cell>
          <cell r="D82">
            <v>1.92</v>
          </cell>
          <cell r="E82">
            <v>0</v>
          </cell>
          <cell r="F82">
            <v>0</v>
          </cell>
          <cell r="G82">
            <v>0</v>
          </cell>
          <cell r="H82">
            <v>0</v>
          </cell>
          <cell r="I82">
            <v>0</v>
          </cell>
          <cell r="J82">
            <v>0</v>
          </cell>
          <cell r="K82">
            <v>543.34310453504156</v>
          </cell>
          <cell r="L82">
            <v>434.67448362803322</v>
          </cell>
          <cell r="M82">
            <v>434.67448362803322</v>
          </cell>
          <cell r="N82">
            <v>543.34310453504156</v>
          </cell>
          <cell r="O82">
            <v>434.67448362803322</v>
          </cell>
          <cell r="P82">
            <v>434.67448362803322</v>
          </cell>
          <cell r="R82">
            <v>0</v>
          </cell>
          <cell r="S82">
            <v>0</v>
          </cell>
          <cell r="T82">
            <v>0</v>
          </cell>
          <cell r="U82">
            <v>0</v>
          </cell>
          <cell r="V82">
            <v>0</v>
          </cell>
          <cell r="W82">
            <v>0</v>
          </cell>
          <cell r="X82">
            <v>4807.6923076923085</v>
          </cell>
          <cell r="Y82">
            <v>3846.1538461538462</v>
          </cell>
          <cell r="Z82">
            <v>3846.1538461538462</v>
          </cell>
          <cell r="AA82">
            <v>4807.6923076923085</v>
          </cell>
          <cell r="AB82">
            <v>3846.1538461538462</v>
          </cell>
          <cell r="AC82">
            <v>3846.1538461538462</v>
          </cell>
          <cell r="AE82">
            <v>2825.384143582216</v>
          </cell>
          <cell r="AF82">
            <v>25000.000000000004</v>
          </cell>
          <cell r="AG82">
            <v>8.8483543226455872</v>
          </cell>
        </row>
        <row r="83">
          <cell r="A83" t="str">
            <v>NFTE9911</v>
          </cell>
          <cell r="B83" t="str">
            <v>Tesco Chocolate Enrobed Milk Chocolate Chunk Cookie 160g</v>
          </cell>
          <cell r="C83" t="str">
            <v>PL</v>
          </cell>
          <cell r="D83">
            <v>1.92</v>
          </cell>
          <cell r="E83">
            <v>0</v>
          </cell>
          <cell r="F83">
            <v>0</v>
          </cell>
          <cell r="G83">
            <v>0</v>
          </cell>
          <cell r="H83">
            <v>0</v>
          </cell>
          <cell r="I83">
            <v>0</v>
          </cell>
          <cell r="J83">
            <v>0</v>
          </cell>
          <cell r="K83">
            <v>538.37814256749834</v>
          </cell>
          <cell r="L83">
            <v>430.70251405399864</v>
          </cell>
          <cell r="M83">
            <v>430.70251405399864</v>
          </cell>
          <cell r="N83">
            <v>538.37814256749834</v>
          </cell>
          <cell r="O83">
            <v>430.70251405399864</v>
          </cell>
          <cell r="P83">
            <v>430.70251405399864</v>
          </cell>
          <cell r="R83">
            <v>0</v>
          </cell>
          <cell r="S83">
            <v>0</v>
          </cell>
          <cell r="T83">
            <v>0</v>
          </cell>
          <cell r="U83">
            <v>0</v>
          </cell>
          <cell r="V83">
            <v>0</v>
          </cell>
          <cell r="W83">
            <v>0</v>
          </cell>
          <cell r="X83">
            <v>4807.6923076923085</v>
          </cell>
          <cell r="Y83">
            <v>3846.1538461538466</v>
          </cell>
          <cell r="Z83">
            <v>3846.1538461538466</v>
          </cell>
          <cell r="AA83">
            <v>4807.6923076923085</v>
          </cell>
          <cell r="AB83">
            <v>3846.1538461538466</v>
          </cell>
          <cell r="AC83">
            <v>3846.1538461538466</v>
          </cell>
          <cell r="AE83">
            <v>2799.566341350991</v>
          </cell>
          <cell r="AF83">
            <v>25000.000000000007</v>
          </cell>
          <cell r="AG83">
            <v>8.9299544828559831</v>
          </cell>
        </row>
        <row r="84">
          <cell r="A84" t="str">
            <v>NFTE9912</v>
          </cell>
          <cell r="B84" t="str">
            <v>Tesco Stem Ginger &amp; Chocolate Chunk Cookie 160g</v>
          </cell>
          <cell r="C84" t="str">
            <v>PL</v>
          </cell>
          <cell r="D84">
            <v>1.92</v>
          </cell>
          <cell r="E84">
            <v>0</v>
          </cell>
          <cell r="F84">
            <v>0</v>
          </cell>
          <cell r="G84">
            <v>0</v>
          </cell>
          <cell r="H84">
            <v>0</v>
          </cell>
          <cell r="I84">
            <v>0</v>
          </cell>
          <cell r="J84">
            <v>0</v>
          </cell>
          <cell r="K84">
            <v>511.7271169844509</v>
          </cell>
          <cell r="L84">
            <v>409.38169358756073</v>
          </cell>
          <cell r="M84">
            <v>409.38169358756073</v>
          </cell>
          <cell r="N84">
            <v>511.7271169844509</v>
          </cell>
          <cell r="O84">
            <v>409.38169358756073</v>
          </cell>
          <cell r="P84">
            <v>409.38169358756073</v>
          </cell>
          <cell r="R84">
            <v>0</v>
          </cell>
          <cell r="S84">
            <v>0</v>
          </cell>
          <cell r="T84">
            <v>0</v>
          </cell>
          <cell r="U84">
            <v>0</v>
          </cell>
          <cell r="V84">
            <v>0</v>
          </cell>
          <cell r="W84">
            <v>0</v>
          </cell>
          <cell r="X84">
            <v>4807.6923076923076</v>
          </cell>
          <cell r="Y84">
            <v>3846.1538461538462</v>
          </cell>
          <cell r="Z84">
            <v>3846.1538461538462</v>
          </cell>
          <cell r="AA84">
            <v>4807.6923076923076</v>
          </cell>
          <cell r="AB84">
            <v>3846.1538461538462</v>
          </cell>
          <cell r="AC84">
            <v>3846.1538461538462</v>
          </cell>
          <cell r="AE84">
            <v>2660.9810083191446</v>
          </cell>
          <cell r="AF84">
            <v>25000.000000000004</v>
          </cell>
          <cell r="AG84">
            <v>9.3950313519117117</v>
          </cell>
        </row>
        <row r="85">
          <cell r="A85" t="str">
            <v>NFTE9913</v>
          </cell>
          <cell r="B85" t="str">
            <v>Tesco Granola Crunchy with Nuts &amp; Seeds 160g</v>
          </cell>
          <cell r="C85" t="str">
            <v>PL</v>
          </cell>
          <cell r="D85">
            <v>1.92</v>
          </cell>
          <cell r="E85">
            <v>0</v>
          </cell>
          <cell r="F85">
            <v>0</v>
          </cell>
          <cell r="G85">
            <v>0</v>
          </cell>
          <cell r="H85">
            <v>0</v>
          </cell>
          <cell r="I85">
            <v>0</v>
          </cell>
          <cell r="J85">
            <v>0</v>
          </cell>
          <cell r="K85">
            <v>540.8720597656112</v>
          </cell>
          <cell r="L85">
            <v>432.69764781248898</v>
          </cell>
          <cell r="M85">
            <v>432.69764781248898</v>
          </cell>
          <cell r="N85">
            <v>540.8720597656112</v>
          </cell>
          <cell r="O85">
            <v>432.69764781248898</v>
          </cell>
          <cell r="P85">
            <v>432.69764781248898</v>
          </cell>
          <cell r="R85">
            <v>0</v>
          </cell>
          <cell r="S85">
            <v>0</v>
          </cell>
          <cell r="T85">
            <v>0</v>
          </cell>
          <cell r="U85">
            <v>0</v>
          </cell>
          <cell r="V85">
            <v>0</v>
          </cell>
          <cell r="W85">
            <v>0</v>
          </cell>
          <cell r="X85">
            <v>4807.6923076923067</v>
          </cell>
          <cell r="Y85">
            <v>3846.1538461538457</v>
          </cell>
          <cell r="Z85">
            <v>3846.1538461538457</v>
          </cell>
          <cell r="AA85">
            <v>4807.6923076923067</v>
          </cell>
          <cell r="AB85">
            <v>3846.1538461538457</v>
          </cell>
          <cell r="AC85">
            <v>3846.1538461538457</v>
          </cell>
          <cell r="AE85">
            <v>2812.5347107811781</v>
          </cell>
          <cell r="AF85">
            <v>24999.999999999993</v>
          </cell>
          <cell r="AG85">
            <v>8.8887791870331352</v>
          </cell>
        </row>
        <row r="86">
          <cell r="A86" t="str">
            <v>NFTE9914</v>
          </cell>
          <cell r="B86" t="str">
            <v>Tesco Triple Chocolate Chunk 160g</v>
          </cell>
          <cell r="C86" t="str">
            <v>PL</v>
          </cell>
          <cell r="D86">
            <v>1.92</v>
          </cell>
          <cell r="E86">
            <v>0</v>
          </cell>
          <cell r="F86">
            <v>0</v>
          </cell>
          <cell r="G86">
            <v>0</v>
          </cell>
          <cell r="H86">
            <v>0</v>
          </cell>
          <cell r="I86">
            <v>0</v>
          </cell>
          <cell r="J86">
            <v>0</v>
          </cell>
          <cell r="K86">
            <v>483.17009075992559</v>
          </cell>
          <cell r="L86">
            <v>386.53607260794047</v>
          </cell>
          <cell r="M86">
            <v>386.53607260794047</v>
          </cell>
          <cell r="N86">
            <v>483.17009075992559</v>
          </cell>
          <cell r="O86">
            <v>386.53607260794047</v>
          </cell>
          <cell r="P86">
            <v>386.53607260794047</v>
          </cell>
          <cell r="R86">
            <v>0</v>
          </cell>
          <cell r="S86">
            <v>0</v>
          </cell>
          <cell r="T86">
            <v>0</v>
          </cell>
          <cell r="U86">
            <v>0</v>
          </cell>
          <cell r="V86">
            <v>0</v>
          </cell>
          <cell r="W86">
            <v>0</v>
          </cell>
          <cell r="X86">
            <v>4807.6923076923076</v>
          </cell>
          <cell r="Y86">
            <v>3846.1538461538462</v>
          </cell>
          <cell r="Z86">
            <v>3846.1538461538462</v>
          </cell>
          <cell r="AA86">
            <v>4807.6923076923076</v>
          </cell>
          <cell r="AB86">
            <v>3846.1538461538462</v>
          </cell>
          <cell r="AC86">
            <v>3846.1538461538462</v>
          </cell>
          <cell r="AE86">
            <v>2512.4844719516132</v>
          </cell>
          <cell r="AF86">
            <v>25000.000000000004</v>
          </cell>
          <cell r="AG86">
            <v>9.9503102522981361</v>
          </cell>
        </row>
        <row r="87">
          <cell r="A87" t="str">
            <v>NFDU9901</v>
          </cell>
          <cell r="B87" t="str">
            <v>Dunnes PL Choc Chip Cookie Type (assume per Tesco)</v>
          </cell>
          <cell r="C87" t="str">
            <v>PL</v>
          </cell>
          <cell r="D87">
            <v>5</v>
          </cell>
          <cell r="E87">
            <v>0</v>
          </cell>
          <cell r="F87">
            <v>0</v>
          </cell>
          <cell r="G87">
            <v>0</v>
          </cell>
          <cell r="H87">
            <v>2260.3633494670289</v>
          </cell>
          <cell r="I87">
            <v>1808.290679573623</v>
          </cell>
          <cell r="J87">
            <v>1808.290679573623</v>
          </cell>
          <cell r="K87">
            <v>2260.3633494670289</v>
          </cell>
          <cell r="L87">
            <v>1808.290679573623</v>
          </cell>
          <cell r="M87">
            <v>1808.290679573623</v>
          </cell>
          <cell r="N87">
            <v>2260.3633494670289</v>
          </cell>
          <cell r="O87">
            <v>1808.290679573623</v>
          </cell>
          <cell r="P87">
            <v>1808.290679573623</v>
          </cell>
          <cell r="R87">
            <v>0</v>
          </cell>
          <cell r="S87">
            <v>0</v>
          </cell>
          <cell r="T87">
            <v>0</v>
          </cell>
          <cell r="U87">
            <v>24038.461538461543</v>
          </cell>
          <cell r="V87">
            <v>19230.769230769234</v>
          </cell>
          <cell r="W87">
            <v>19230.769230769234</v>
          </cell>
          <cell r="X87">
            <v>24038.461538461543</v>
          </cell>
          <cell r="Y87">
            <v>19230.769230769234</v>
          </cell>
          <cell r="Z87">
            <v>19230.769230769234</v>
          </cell>
          <cell r="AA87">
            <v>24038.461538461543</v>
          </cell>
          <cell r="AB87">
            <v>19230.769230769234</v>
          </cell>
          <cell r="AC87">
            <v>19230.769230769234</v>
          </cell>
          <cell r="AE87">
            <v>17630.834125842826</v>
          </cell>
          <cell r="AF87">
            <v>187500.00000000006</v>
          </cell>
          <cell r="AG87">
            <v>10.634777609595188</v>
          </cell>
        </row>
        <row r="88">
          <cell r="A88" t="str">
            <v>NFDU9902</v>
          </cell>
          <cell r="B88" t="str">
            <v>Dunnes PL Ginger Nut Type (assume per Tesco)</v>
          </cell>
          <cell r="C88" t="str">
            <v>PL</v>
          </cell>
          <cell r="D88">
            <v>4.8</v>
          </cell>
          <cell r="E88">
            <v>0</v>
          </cell>
          <cell r="F88">
            <v>0</v>
          </cell>
          <cell r="G88">
            <v>0</v>
          </cell>
          <cell r="H88">
            <v>3281.3278408484293</v>
          </cell>
          <cell r="I88">
            <v>2625.0622726787433</v>
          </cell>
          <cell r="J88">
            <v>2625.0622726787433</v>
          </cell>
          <cell r="K88">
            <v>3281.3278408484293</v>
          </cell>
          <cell r="L88">
            <v>2625.0622726787433</v>
          </cell>
          <cell r="M88">
            <v>2625.0622726787433</v>
          </cell>
          <cell r="N88">
            <v>3281.3278408484293</v>
          </cell>
          <cell r="O88">
            <v>2625.0622726787433</v>
          </cell>
          <cell r="P88">
            <v>2625.0622726787433</v>
          </cell>
          <cell r="R88">
            <v>0</v>
          </cell>
          <cell r="S88">
            <v>0</v>
          </cell>
          <cell r="T88">
            <v>0</v>
          </cell>
          <cell r="U88">
            <v>24038.461538461539</v>
          </cell>
          <cell r="V88">
            <v>19230.76923076923</v>
          </cell>
          <cell r="W88">
            <v>19230.76923076923</v>
          </cell>
          <cell r="X88">
            <v>24038.461538461539</v>
          </cell>
          <cell r="Y88">
            <v>19230.76923076923</v>
          </cell>
          <cell r="Z88">
            <v>19230.76923076923</v>
          </cell>
          <cell r="AA88">
            <v>24038.461538461539</v>
          </cell>
          <cell r="AB88">
            <v>19230.76923076923</v>
          </cell>
          <cell r="AC88">
            <v>19230.76923076923</v>
          </cell>
          <cell r="AE88">
            <v>25594.35715861775</v>
          </cell>
          <cell r="AF88">
            <v>187499.99999999997</v>
          </cell>
          <cell r="AG88">
            <v>7.3258335358060664</v>
          </cell>
        </row>
        <row r="89">
          <cell r="A89" t="str">
            <v>NFMO9901</v>
          </cell>
          <cell r="B89" t="str">
            <v>Morrisons Ginger Nut 300g (per Tesco)</v>
          </cell>
          <cell r="C89" t="str">
            <v>PL</v>
          </cell>
          <cell r="D89">
            <v>4.8</v>
          </cell>
          <cell r="E89">
            <v>0</v>
          </cell>
          <cell r="F89">
            <v>0</v>
          </cell>
          <cell r="G89">
            <v>0</v>
          </cell>
          <cell r="H89">
            <v>0</v>
          </cell>
          <cell r="I89">
            <v>0</v>
          </cell>
          <cell r="J89">
            <v>0</v>
          </cell>
          <cell r="K89">
            <v>0</v>
          </cell>
          <cell r="L89">
            <v>0</v>
          </cell>
          <cell r="M89">
            <v>0</v>
          </cell>
          <cell r="N89">
            <v>0</v>
          </cell>
          <cell r="O89">
            <v>0</v>
          </cell>
          <cell r="P89">
            <v>0</v>
          </cell>
          <cell r="R89">
            <v>0</v>
          </cell>
          <cell r="S89">
            <v>0</v>
          </cell>
          <cell r="T89">
            <v>0</v>
          </cell>
          <cell r="U89">
            <v>0</v>
          </cell>
          <cell r="V89">
            <v>0</v>
          </cell>
          <cell r="W89">
            <v>0</v>
          </cell>
          <cell r="X89">
            <v>0</v>
          </cell>
          <cell r="Y89">
            <v>0</v>
          </cell>
          <cell r="Z89">
            <v>0</v>
          </cell>
          <cell r="AA89">
            <v>0</v>
          </cell>
          <cell r="AB89">
            <v>0</v>
          </cell>
          <cell r="AC89">
            <v>0</v>
          </cell>
          <cell r="AE89">
            <v>0</v>
          </cell>
          <cell r="AF89">
            <v>0</v>
          </cell>
          <cell r="AG89">
            <v>0</v>
          </cell>
        </row>
        <row r="90">
          <cell r="A90" t="str">
            <v>NFMO9902</v>
          </cell>
          <cell r="B90" t="str">
            <v>Morrisons Choc Chip Cookies 22% (per Tesco)</v>
          </cell>
          <cell r="C90" t="str">
            <v>PL</v>
          </cell>
          <cell r="D90">
            <v>5</v>
          </cell>
          <cell r="E90">
            <v>0</v>
          </cell>
          <cell r="F90">
            <v>0</v>
          </cell>
          <cell r="G90">
            <v>0</v>
          </cell>
          <cell r="H90">
            <v>0</v>
          </cell>
          <cell r="I90">
            <v>0</v>
          </cell>
          <cell r="J90">
            <v>0</v>
          </cell>
          <cell r="K90">
            <v>0</v>
          </cell>
          <cell r="L90">
            <v>0</v>
          </cell>
          <cell r="M90">
            <v>0</v>
          </cell>
          <cell r="N90">
            <v>0</v>
          </cell>
          <cell r="O90">
            <v>0</v>
          </cell>
          <cell r="P90">
            <v>0</v>
          </cell>
          <cell r="R90">
            <v>0</v>
          </cell>
          <cell r="S90">
            <v>0</v>
          </cell>
          <cell r="T90">
            <v>0</v>
          </cell>
          <cell r="U90">
            <v>0</v>
          </cell>
          <cell r="V90">
            <v>0</v>
          </cell>
          <cell r="W90">
            <v>0</v>
          </cell>
          <cell r="X90">
            <v>0</v>
          </cell>
          <cell r="Y90">
            <v>0</v>
          </cell>
          <cell r="Z90">
            <v>0</v>
          </cell>
          <cell r="AA90">
            <v>0</v>
          </cell>
          <cell r="AB90">
            <v>0</v>
          </cell>
          <cell r="AC90">
            <v>0</v>
          </cell>
          <cell r="AE90">
            <v>0</v>
          </cell>
          <cell r="AF90">
            <v>0</v>
          </cell>
          <cell r="AG90">
            <v>0</v>
          </cell>
        </row>
        <row r="91">
          <cell r="A91" t="str">
            <v>NFMO9903</v>
          </cell>
          <cell r="B91" t="str">
            <v>Morrisons Everyday Value CC Cookie 8% (per Tesco)</v>
          </cell>
          <cell r="C91" t="str">
            <v>PL</v>
          </cell>
          <cell r="D91">
            <v>4</v>
          </cell>
          <cell r="E91">
            <v>0</v>
          </cell>
          <cell r="F91">
            <v>0</v>
          </cell>
          <cell r="G91">
            <v>0</v>
          </cell>
          <cell r="H91">
            <v>0</v>
          </cell>
          <cell r="I91">
            <v>0</v>
          </cell>
          <cell r="J91">
            <v>0</v>
          </cell>
          <cell r="K91">
            <v>0</v>
          </cell>
          <cell r="L91">
            <v>0</v>
          </cell>
          <cell r="M91">
            <v>0</v>
          </cell>
          <cell r="N91">
            <v>0</v>
          </cell>
          <cell r="O91">
            <v>0</v>
          </cell>
          <cell r="P91">
            <v>0</v>
          </cell>
          <cell r="R91">
            <v>0</v>
          </cell>
          <cell r="S91">
            <v>0</v>
          </cell>
          <cell r="T91">
            <v>0</v>
          </cell>
          <cell r="U91">
            <v>0</v>
          </cell>
          <cell r="V91">
            <v>0</v>
          </cell>
          <cell r="W91">
            <v>0</v>
          </cell>
          <cell r="X91">
            <v>0</v>
          </cell>
          <cell r="Y91">
            <v>0</v>
          </cell>
          <cell r="Z91">
            <v>0</v>
          </cell>
          <cell r="AA91">
            <v>0</v>
          </cell>
          <cell r="AB91">
            <v>0</v>
          </cell>
          <cell r="AC91">
            <v>0</v>
          </cell>
          <cell r="AE91">
            <v>0</v>
          </cell>
          <cell r="AF91">
            <v>0</v>
          </cell>
          <cell r="AG91">
            <v>0</v>
          </cell>
        </row>
        <row r="92">
          <cell r="A92" t="str">
            <v>NFMO9904</v>
          </cell>
          <cell r="B92" t="str">
            <v>Morrisons Oaties (per Tesco)</v>
          </cell>
          <cell r="C92" t="str">
            <v>PL</v>
          </cell>
          <cell r="D92">
            <v>3.5999999999999996</v>
          </cell>
          <cell r="E92">
            <v>0</v>
          </cell>
          <cell r="F92">
            <v>0</v>
          </cell>
          <cell r="G92">
            <v>0</v>
          </cell>
          <cell r="H92">
            <v>0</v>
          </cell>
          <cell r="I92">
            <v>0</v>
          </cell>
          <cell r="J92">
            <v>0</v>
          </cell>
          <cell r="K92">
            <v>0</v>
          </cell>
          <cell r="L92">
            <v>0</v>
          </cell>
          <cell r="M92">
            <v>0</v>
          </cell>
          <cell r="N92">
            <v>0</v>
          </cell>
          <cell r="O92">
            <v>0</v>
          </cell>
          <cell r="P92">
            <v>0</v>
          </cell>
          <cell r="R92">
            <v>0</v>
          </cell>
          <cell r="S92">
            <v>0</v>
          </cell>
          <cell r="T92">
            <v>0</v>
          </cell>
          <cell r="U92">
            <v>0</v>
          </cell>
          <cell r="V92">
            <v>0</v>
          </cell>
          <cell r="W92">
            <v>0</v>
          </cell>
          <cell r="X92">
            <v>0</v>
          </cell>
          <cell r="Y92">
            <v>0</v>
          </cell>
          <cell r="Z92">
            <v>0</v>
          </cell>
          <cell r="AA92">
            <v>0</v>
          </cell>
          <cell r="AB92">
            <v>0</v>
          </cell>
          <cell r="AC92">
            <v>0</v>
          </cell>
          <cell r="AE92">
            <v>0</v>
          </cell>
          <cell r="AF92">
            <v>0</v>
          </cell>
          <cell r="AG92">
            <v>0</v>
          </cell>
        </row>
        <row r="93">
          <cell r="A93" t="str">
            <v>NFMO9905</v>
          </cell>
          <cell r="B93" t="str">
            <v>Morrisons Half Coated Oaties (per Tesco)</v>
          </cell>
          <cell r="C93" t="str">
            <v>PL</v>
          </cell>
          <cell r="D93">
            <v>5</v>
          </cell>
          <cell r="E93">
            <v>0</v>
          </cell>
          <cell r="F93">
            <v>0</v>
          </cell>
          <cell r="G93">
            <v>0</v>
          </cell>
          <cell r="H93">
            <v>0</v>
          </cell>
          <cell r="I93">
            <v>0</v>
          </cell>
          <cell r="J93">
            <v>0</v>
          </cell>
          <cell r="K93">
            <v>0</v>
          </cell>
          <cell r="L93">
            <v>0</v>
          </cell>
          <cell r="M93">
            <v>0</v>
          </cell>
          <cell r="N93">
            <v>0</v>
          </cell>
          <cell r="O93">
            <v>0</v>
          </cell>
          <cell r="P93">
            <v>0</v>
          </cell>
          <cell r="R93">
            <v>0</v>
          </cell>
          <cell r="S93">
            <v>0</v>
          </cell>
          <cell r="T93">
            <v>0</v>
          </cell>
          <cell r="U93">
            <v>0</v>
          </cell>
          <cell r="V93">
            <v>0</v>
          </cell>
          <cell r="W93">
            <v>0</v>
          </cell>
          <cell r="X93">
            <v>0</v>
          </cell>
          <cell r="Y93">
            <v>0</v>
          </cell>
          <cell r="Z93">
            <v>0</v>
          </cell>
          <cell r="AA93">
            <v>0</v>
          </cell>
          <cell r="AB93">
            <v>0</v>
          </cell>
          <cell r="AC93">
            <v>0</v>
          </cell>
          <cell r="AE93">
            <v>0</v>
          </cell>
          <cell r="AF93">
            <v>0</v>
          </cell>
          <cell r="AG93">
            <v>0</v>
          </cell>
        </row>
        <row r="94">
          <cell r="A94" t="str">
            <v>NFBU9901</v>
          </cell>
          <cell r="B94" t="str">
            <v>Burtons - Maryland Choc Chip</v>
          </cell>
          <cell r="C94" t="str">
            <v>CM</v>
          </cell>
          <cell r="D94">
            <v>5</v>
          </cell>
          <cell r="E94">
            <v>0</v>
          </cell>
          <cell r="F94">
            <v>0</v>
          </cell>
          <cell r="G94">
            <v>0</v>
          </cell>
          <cell r="H94">
            <v>0</v>
          </cell>
          <cell r="I94">
            <v>3240</v>
          </cell>
          <cell r="J94">
            <v>3240</v>
          </cell>
          <cell r="K94">
            <v>6550</v>
          </cell>
          <cell r="L94">
            <v>5240</v>
          </cell>
          <cell r="M94">
            <v>5740</v>
          </cell>
          <cell r="N94">
            <v>7050</v>
          </cell>
          <cell r="O94">
            <v>6740</v>
          </cell>
          <cell r="P94">
            <v>6740</v>
          </cell>
          <cell r="R94">
            <v>0</v>
          </cell>
          <cell r="S94">
            <v>0</v>
          </cell>
          <cell r="T94">
            <v>0</v>
          </cell>
          <cell r="U94">
            <v>0</v>
          </cell>
          <cell r="V94">
            <v>34644.207429402348</v>
          </cell>
          <cell r="W94">
            <v>34644.207429402348</v>
          </cell>
          <cell r="X94">
            <v>70036.900821785617</v>
          </cell>
          <cell r="Y94">
            <v>56029.520657428489</v>
          </cell>
          <cell r="Z94">
            <v>61375.848964435027</v>
          </cell>
          <cell r="AA94">
            <v>75383.229128792154</v>
          </cell>
          <cell r="AB94">
            <v>72068.505578448094</v>
          </cell>
          <cell r="AC94">
            <v>72068.505578448094</v>
          </cell>
          <cell r="AE94">
            <v>44540</v>
          </cell>
          <cell r="AF94">
            <v>476250.92558814213</v>
          </cell>
          <cell r="AG94">
            <v>10.692656614013069</v>
          </cell>
        </row>
        <row r="95">
          <cell r="A95" t="str">
            <v>FEB0033</v>
          </cell>
          <cell r="B95" t="str">
            <v>All Butter Triple Chocolate Chunk 160g</v>
          </cell>
          <cell r="C95" t="str">
            <v>Brand</v>
          </cell>
          <cell r="D95">
            <v>1.92</v>
          </cell>
          <cell r="E95">
            <v>330.29499999999996</v>
          </cell>
          <cell r="F95">
            <v>107.215</v>
          </cell>
          <cell r="G95">
            <v>669.47500000000002</v>
          </cell>
          <cell r="H95">
            <v>138.39499999999998</v>
          </cell>
          <cell r="I95">
            <v>126.35000000000002</v>
          </cell>
          <cell r="J95">
            <v>336.69500000000005</v>
          </cell>
          <cell r="K95">
            <v>754.23</v>
          </cell>
          <cell r="L95">
            <v>704.40499999999997</v>
          </cell>
          <cell r="M95">
            <v>198.47000000000003</v>
          </cell>
          <cell r="N95">
            <v>87.115000000000009</v>
          </cell>
          <cell r="O95">
            <v>629.1099999999999</v>
          </cell>
          <cell r="P95">
            <v>550.38499999999999</v>
          </cell>
          <cell r="R95">
            <v>4812.3981499999991</v>
          </cell>
          <cell r="S95">
            <v>1562.12255</v>
          </cell>
          <cell r="T95">
            <v>9689.1407500000005</v>
          </cell>
          <cell r="U95">
            <v>2016.4151499999998</v>
          </cell>
          <cell r="V95">
            <v>1840.9195000000004</v>
          </cell>
          <cell r="W95">
            <v>4905.6461500000005</v>
          </cell>
          <cell r="X95">
            <v>10924.021099999998</v>
          </cell>
          <cell r="Y95">
            <v>10263.180850000001</v>
          </cell>
          <cell r="Z95">
            <v>2891.7079000000003</v>
          </cell>
          <cell r="AA95">
            <v>1269.2655500000001</v>
          </cell>
          <cell r="AB95">
            <v>9166.1326999999983</v>
          </cell>
          <cell r="AC95">
            <v>7953.9994499999993</v>
          </cell>
          <cell r="AE95">
            <v>4632.1400000000003</v>
          </cell>
          <cell r="AF95">
            <v>67294.949800000017</v>
          </cell>
          <cell r="AG95">
            <v>14.527831585401135</v>
          </cell>
        </row>
        <row r="96">
          <cell r="A96" t="str">
            <v>NFFE9901</v>
          </cell>
          <cell r="B96" t="str">
            <v>ECB Butter New HC1</v>
          </cell>
          <cell r="C96" t="str">
            <v>Brand</v>
          </cell>
          <cell r="D96">
            <v>1.92</v>
          </cell>
          <cell r="E96">
            <v>0</v>
          </cell>
          <cell r="F96">
            <v>0</v>
          </cell>
          <cell r="G96">
            <v>693</v>
          </cell>
          <cell r="H96">
            <v>96.6</v>
          </cell>
          <cell r="I96">
            <v>77.140000000000015</v>
          </cell>
          <cell r="J96">
            <v>177.14000000000001</v>
          </cell>
          <cell r="K96">
            <v>729.6</v>
          </cell>
          <cell r="L96">
            <v>423.94</v>
          </cell>
          <cell r="M96">
            <v>210.54000000000002</v>
          </cell>
          <cell r="N96">
            <v>77.140000000000015</v>
          </cell>
          <cell r="O96">
            <v>550</v>
          </cell>
          <cell r="P96">
            <v>506.2</v>
          </cell>
          <cell r="R96">
            <v>0</v>
          </cell>
          <cell r="S96">
            <v>0</v>
          </cell>
          <cell r="T96">
            <v>9405.84</v>
          </cell>
          <cell r="U96">
            <v>1298.3039999999999</v>
          </cell>
          <cell r="V96">
            <v>1036.7616000000003</v>
          </cell>
          <cell r="W96">
            <v>2380.7616000000003</v>
          </cell>
          <cell r="X96">
            <v>9897.7439999999988</v>
          </cell>
          <cell r="Y96">
            <v>5697.7536</v>
          </cell>
          <cell r="Z96">
            <v>2829.6576</v>
          </cell>
          <cell r="AA96">
            <v>1036.7616000000003</v>
          </cell>
          <cell r="AB96">
            <v>7392</v>
          </cell>
          <cell r="AC96">
            <v>6895.2479999999996</v>
          </cell>
          <cell r="AE96">
            <v>3541.2999999999997</v>
          </cell>
          <cell r="AF96">
            <v>47870.831999999995</v>
          </cell>
          <cell r="AG96">
            <v>13.517869708863977</v>
          </cell>
        </row>
        <row r="97">
          <cell r="A97" t="str">
            <v>NFFE9902</v>
          </cell>
          <cell r="B97" t="str">
            <v>ECB Butter New HC2</v>
          </cell>
          <cell r="C97" t="str">
            <v>Brand</v>
          </cell>
          <cell r="D97">
            <v>1.92</v>
          </cell>
          <cell r="E97">
            <v>0</v>
          </cell>
          <cell r="F97">
            <v>0</v>
          </cell>
          <cell r="G97">
            <v>693</v>
          </cell>
          <cell r="H97">
            <v>60.96</v>
          </cell>
          <cell r="I97">
            <v>59.850000000000009</v>
          </cell>
          <cell r="J97">
            <v>134.85000000000002</v>
          </cell>
          <cell r="K97">
            <v>697.95</v>
          </cell>
          <cell r="L97">
            <v>323.94</v>
          </cell>
          <cell r="M97">
            <v>199.9</v>
          </cell>
          <cell r="N97">
            <v>59.850000000000009</v>
          </cell>
          <cell r="O97">
            <v>470</v>
          </cell>
          <cell r="P97">
            <v>463.90999999999997</v>
          </cell>
          <cell r="R97">
            <v>0</v>
          </cell>
          <cell r="S97">
            <v>0</v>
          </cell>
          <cell r="T97">
            <v>9405.84</v>
          </cell>
          <cell r="U97">
            <v>819.30240000000003</v>
          </cell>
          <cell r="V97">
            <v>804.38400000000013</v>
          </cell>
          <cell r="W97">
            <v>1812.3840000000002</v>
          </cell>
          <cell r="X97">
            <v>9472.3679999999986</v>
          </cell>
          <cell r="Y97">
            <v>4353.7536</v>
          </cell>
          <cell r="Z97">
            <v>2686.6559999999999</v>
          </cell>
          <cell r="AA97">
            <v>804.38400000000013</v>
          </cell>
          <cell r="AB97">
            <v>6316.8</v>
          </cell>
          <cell r="AC97">
            <v>6326.8703999999998</v>
          </cell>
          <cell r="AE97">
            <v>3164.21</v>
          </cell>
          <cell r="AF97">
            <v>42802.742400000003</v>
          </cell>
          <cell r="AG97">
            <v>13.527149715094763</v>
          </cell>
        </row>
        <row r="98">
          <cell r="A98" t="str">
            <v>NFFE9903</v>
          </cell>
          <cell r="B98" t="str">
            <v>ECB Butter New FC1</v>
          </cell>
          <cell r="C98" t="str">
            <v>Brand</v>
          </cell>
          <cell r="D98">
            <v>1.92</v>
          </cell>
          <cell r="E98">
            <v>0</v>
          </cell>
          <cell r="F98">
            <v>0</v>
          </cell>
          <cell r="G98">
            <v>383</v>
          </cell>
          <cell r="H98">
            <v>94.43</v>
          </cell>
          <cell r="I98">
            <v>87.78</v>
          </cell>
          <cell r="J98">
            <v>287.77999999999997</v>
          </cell>
          <cell r="K98">
            <v>683</v>
          </cell>
          <cell r="L98">
            <v>0</v>
          </cell>
          <cell r="M98">
            <v>481.42</v>
          </cell>
          <cell r="N98">
            <v>98.420000000000016</v>
          </cell>
          <cell r="O98">
            <v>516.82000000000005</v>
          </cell>
          <cell r="P98">
            <v>571.42000000000007</v>
          </cell>
          <cell r="R98">
            <v>0</v>
          </cell>
          <cell r="S98">
            <v>0</v>
          </cell>
          <cell r="T98">
            <v>6143.32</v>
          </cell>
          <cell r="U98">
            <v>1514.6572000000001</v>
          </cell>
          <cell r="V98">
            <v>1407.9911999999999</v>
          </cell>
          <cell r="W98">
            <v>4615.9911999999995</v>
          </cell>
          <cell r="X98">
            <v>10955.32</v>
          </cell>
          <cell r="Y98">
            <v>0</v>
          </cell>
          <cell r="Z98">
            <v>7721.9768000000004</v>
          </cell>
          <cell r="AA98">
            <v>1578.6568000000002</v>
          </cell>
          <cell r="AB98">
            <v>8289.7928000000011</v>
          </cell>
          <cell r="AC98">
            <v>9165.5767999999989</v>
          </cell>
          <cell r="AE98">
            <v>3204.07</v>
          </cell>
          <cell r="AF98">
            <v>51393.282800000001</v>
          </cell>
          <cell r="AG98">
            <v>16.04</v>
          </cell>
        </row>
        <row r="99">
          <cell r="A99" t="str">
            <v>NFFE9904</v>
          </cell>
          <cell r="B99" t="str">
            <v>ECB Butter New FC2</v>
          </cell>
          <cell r="C99" t="str">
            <v>Brand</v>
          </cell>
          <cell r="D99">
            <v>1.92</v>
          </cell>
          <cell r="E99">
            <v>0</v>
          </cell>
          <cell r="F99">
            <v>0</v>
          </cell>
          <cell r="G99">
            <v>383</v>
          </cell>
          <cell r="H99">
            <v>83.79</v>
          </cell>
          <cell r="I99">
            <v>77.14</v>
          </cell>
          <cell r="J99">
            <v>277.14</v>
          </cell>
          <cell r="K99">
            <v>658</v>
          </cell>
          <cell r="L99">
            <v>600</v>
          </cell>
          <cell r="M99">
            <v>610.78</v>
          </cell>
          <cell r="N99">
            <v>87.78</v>
          </cell>
          <cell r="O99">
            <v>408.82</v>
          </cell>
          <cell r="P99">
            <v>560.78</v>
          </cell>
          <cell r="R99">
            <v>0</v>
          </cell>
          <cell r="S99">
            <v>0</v>
          </cell>
          <cell r="T99">
            <v>6143.32</v>
          </cell>
          <cell r="U99">
            <v>1343.9916000000001</v>
          </cell>
          <cell r="V99">
            <v>1237.3255999999999</v>
          </cell>
          <cell r="W99">
            <v>4445.3255999999992</v>
          </cell>
          <cell r="X99">
            <v>10554.32</v>
          </cell>
          <cell r="Y99">
            <v>9624</v>
          </cell>
          <cell r="Z99">
            <v>9796.9111999999986</v>
          </cell>
          <cell r="AA99">
            <v>1407.9911999999999</v>
          </cell>
          <cell r="AB99">
            <v>6557.4727999999996</v>
          </cell>
          <cell r="AC99">
            <v>8994.9111999999986</v>
          </cell>
          <cell r="AE99">
            <v>3747.2300000000005</v>
          </cell>
          <cell r="AF99">
            <v>60105.569199999998</v>
          </cell>
          <cell r="AG99">
            <v>16.04</v>
          </cell>
        </row>
        <row r="100">
          <cell r="A100" t="str">
            <v>NFFE9905</v>
          </cell>
          <cell r="B100" t="str">
            <v>ECB Butter New FC3</v>
          </cell>
          <cell r="C100" t="str">
            <v>Brand</v>
          </cell>
          <cell r="D100">
            <v>1.92</v>
          </cell>
          <cell r="E100">
            <v>0</v>
          </cell>
          <cell r="F100">
            <v>0</v>
          </cell>
          <cell r="G100">
            <v>383</v>
          </cell>
          <cell r="H100">
            <v>78.47</v>
          </cell>
          <cell r="I100">
            <v>71.820000000000007</v>
          </cell>
          <cell r="J100">
            <v>271.82</v>
          </cell>
          <cell r="K100">
            <v>583</v>
          </cell>
          <cell r="L100">
            <v>400</v>
          </cell>
          <cell r="M100">
            <v>585.46</v>
          </cell>
          <cell r="N100">
            <v>82.460000000000008</v>
          </cell>
          <cell r="O100">
            <v>336.5</v>
          </cell>
          <cell r="P100">
            <v>465.46000000000004</v>
          </cell>
          <cell r="R100">
            <v>0</v>
          </cell>
          <cell r="S100">
            <v>0</v>
          </cell>
          <cell r="T100">
            <v>6143.32</v>
          </cell>
          <cell r="U100">
            <v>1258.6587999999999</v>
          </cell>
          <cell r="V100">
            <v>1151.9928</v>
          </cell>
          <cell r="W100">
            <v>4359.9928</v>
          </cell>
          <cell r="X100">
            <v>9351.32</v>
          </cell>
          <cell r="Y100">
            <v>6416</v>
          </cell>
          <cell r="Z100">
            <v>9390.7783999999992</v>
          </cell>
          <cell r="AA100">
            <v>1322.6584</v>
          </cell>
          <cell r="AB100">
            <v>5397.46</v>
          </cell>
          <cell r="AC100">
            <v>7465.9784</v>
          </cell>
          <cell r="AE100">
            <v>3257.9900000000002</v>
          </cell>
          <cell r="AF100">
            <v>52258.159599999999</v>
          </cell>
          <cell r="AG100">
            <v>16.04</v>
          </cell>
        </row>
        <row r="101">
          <cell r="A101" t="str">
            <v>NFFE9906</v>
          </cell>
          <cell r="B101" t="str">
            <v>ECB Christmas Tin (Tin cost in A&amp;P)</v>
          </cell>
          <cell r="C101" t="str">
            <v>Brand</v>
          </cell>
          <cell r="D101">
            <v>0.64</v>
          </cell>
          <cell r="E101">
            <v>0</v>
          </cell>
          <cell r="F101">
            <v>0</v>
          </cell>
          <cell r="G101">
            <v>0</v>
          </cell>
          <cell r="H101">
            <v>0</v>
          </cell>
          <cell r="I101">
            <v>0</v>
          </cell>
          <cell r="J101">
            <v>0</v>
          </cell>
          <cell r="K101">
            <v>24750</v>
          </cell>
          <cell r="L101">
            <v>14850</v>
          </cell>
          <cell r="M101">
            <v>9900</v>
          </cell>
          <cell r="N101">
            <v>0</v>
          </cell>
          <cell r="O101">
            <v>0</v>
          </cell>
          <cell r="P101">
            <v>0</v>
          </cell>
          <cell r="R101">
            <v>0</v>
          </cell>
          <cell r="S101">
            <v>0</v>
          </cell>
          <cell r="T101">
            <v>0</v>
          </cell>
          <cell r="U101">
            <v>0</v>
          </cell>
          <cell r="V101">
            <v>0</v>
          </cell>
          <cell r="W101">
            <v>0</v>
          </cell>
          <cell r="X101">
            <v>146272.5</v>
          </cell>
          <cell r="Y101">
            <v>87763.5</v>
          </cell>
          <cell r="Z101">
            <v>58509</v>
          </cell>
          <cell r="AA101">
            <v>0</v>
          </cell>
          <cell r="AB101">
            <v>0</v>
          </cell>
          <cell r="AC101">
            <v>0</v>
          </cell>
          <cell r="AE101">
            <v>49500</v>
          </cell>
          <cell r="AF101">
            <v>292545</v>
          </cell>
          <cell r="AG101">
            <v>5.91</v>
          </cell>
        </row>
        <row r="102">
          <cell r="E102">
            <v>101310.16250345265</v>
          </cell>
          <cell r="F102">
            <v>79302.610202762095</v>
          </cell>
          <cell r="G102">
            <v>94235.144261691006</v>
          </cell>
          <cell r="H102">
            <v>123131.21461218144</v>
          </cell>
          <cell r="I102">
            <v>117747.51358295781</v>
          </cell>
          <cell r="J102">
            <v>131627.06258295782</v>
          </cell>
          <cell r="K102">
            <v>188896.07204534608</v>
          </cell>
          <cell r="L102">
            <v>150242.12583627671</v>
          </cell>
          <cell r="M102">
            <v>152706.66083627674</v>
          </cell>
          <cell r="N102">
            <v>167573.75204534605</v>
          </cell>
          <cell r="O102">
            <v>141937.03083627674</v>
          </cell>
          <cell r="P102">
            <v>145027.45983627677</v>
          </cell>
          <cell r="R102">
            <v>857959.73346615373</v>
          </cell>
          <cell r="S102">
            <v>699966.60760275251</v>
          </cell>
          <cell r="T102">
            <v>770186.39956358972</v>
          </cell>
          <cell r="U102">
            <v>1037938.6432465984</v>
          </cell>
          <cell r="V102">
            <v>986320.98089082993</v>
          </cell>
          <cell r="W102">
            <v>1096812.5480333259</v>
          </cell>
          <cell r="X102">
            <v>1605936.6932332199</v>
          </cell>
          <cell r="Y102">
            <v>1300542.5126923595</v>
          </cell>
          <cell r="Z102">
            <v>1273243.4762602039</v>
          </cell>
          <cell r="AA102">
            <v>1455175.0774559414</v>
          </cell>
          <cell r="AB102">
            <v>1251289.7697774926</v>
          </cell>
          <cell r="AC102">
            <v>1257654.2619999885</v>
          </cell>
          <cell r="AE102">
            <v>1593736.8091818017</v>
          </cell>
          <cell r="AF102">
            <v>13593026.704222457</v>
          </cell>
          <cell r="AG102">
            <v>8.5290285233487797</v>
          </cell>
        </row>
        <row r="103">
          <cell r="P103">
            <v>1593736.8091818017</v>
          </cell>
          <cell r="AC103">
            <v>13593026.704222457</v>
          </cell>
        </row>
        <row r="106">
          <cell r="B106" t="str">
            <v>Total per Source Data</v>
          </cell>
          <cell r="E106">
            <v>101310.1625034527</v>
          </cell>
          <cell r="F106">
            <v>79302.610202762124</v>
          </cell>
          <cell r="G106">
            <v>94235.144261691064</v>
          </cell>
          <cell r="H106">
            <v>123131.21461218144</v>
          </cell>
          <cell r="I106">
            <v>117747.51358295785</v>
          </cell>
          <cell r="J106">
            <v>131627.06258295785</v>
          </cell>
          <cell r="K106">
            <v>188896.07204534602</v>
          </cell>
          <cell r="L106">
            <v>150242.12583627683</v>
          </cell>
          <cell r="M106">
            <v>152706.66083627677</v>
          </cell>
          <cell r="N106">
            <v>167573.75204534605</v>
          </cell>
          <cell r="O106">
            <v>141937.03083627683</v>
          </cell>
          <cell r="P106">
            <v>145027.45983627677</v>
          </cell>
        </row>
        <row r="107">
          <cell r="B107" t="str">
            <v>Variance to Source Data (error check)</v>
          </cell>
          <cell r="E107">
            <v>0</v>
          </cell>
          <cell r="F107">
            <v>0</v>
          </cell>
          <cell r="G107">
            <v>0</v>
          </cell>
          <cell r="H107">
            <v>0</v>
          </cell>
          <cell r="I107">
            <v>0</v>
          </cell>
          <cell r="J107">
            <v>0</v>
          </cell>
          <cell r="K107">
            <v>0</v>
          </cell>
          <cell r="L107">
            <v>0</v>
          </cell>
          <cell r="M107">
            <v>0</v>
          </cell>
          <cell r="N107">
            <v>0</v>
          </cell>
          <cell r="O107">
            <v>0</v>
          </cell>
          <cell r="P107">
            <v>0</v>
          </cell>
        </row>
        <row r="109">
          <cell r="E109">
            <v>101310.16250345265</v>
          </cell>
        </row>
        <row r="110">
          <cell r="E110">
            <v>0</v>
          </cell>
        </row>
      </sheetData>
      <sheetData sheetId="5">
        <row r="5">
          <cell r="A5" t="str">
            <v>Aldi Ireland</v>
          </cell>
        </row>
      </sheetData>
      <sheetData sheetId="6">
        <row r="3">
          <cell r="P3" t="str">
            <v>FAL0001</v>
          </cell>
        </row>
      </sheetData>
      <sheetData sheetId="7"/>
      <sheetData sheetId="8"/>
      <sheetData sheetId="9"/>
      <sheetData sheetId="10"/>
      <sheetData sheetId="11"/>
      <sheetData sheetId="1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VER"/>
      <sheetName val="KPI Weekly Summary"/>
      <sheetName val="Monthly PIP data"/>
      <sheetName val="Stock Tracker"/>
      <sheetName val="Project Update"/>
      <sheetName val="Weekly Ops Report"/>
      <sheetName val="Sales Detail"/>
      <sheetName val="Sales by SKU"/>
      <sheetName val="GM by customer"/>
      <sheetName val="Procurement Calc"/>
      <sheetName val="Planning"/>
      <sheetName val="OEE ytd"/>
      <sheetName val="Sales budget"/>
      <sheetName val="Sales Forecast"/>
      <sheetName val="BUDGET SKU Sales 2019 VALUE "/>
      <sheetName val="FC SKU Sales 2019 VALUE"/>
      <sheetName val="FC SKU Sales 2019 CASES"/>
      <sheetName val="lookups"/>
    </sheetNames>
    <sheetDataSet>
      <sheetData sheetId="0">
        <row r="1">
          <cell r="K1" t="str">
            <v>C/D (FC) (currency)</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
          <cell r="K1" t="str">
            <v>PL - 8% Aldi Ireland CC 400gm</v>
          </cell>
          <cell r="L1" t="str">
            <v>FAL0002</v>
          </cell>
        </row>
        <row r="2">
          <cell r="K2" t="str">
            <v>ECB - Choc Chunk</v>
          </cell>
          <cell r="L2" t="str">
            <v>FEB0001</v>
          </cell>
        </row>
        <row r="3">
          <cell r="K3" t="str">
            <v>ECB - Pecan &amp; Caramel</v>
          </cell>
          <cell r="L3" t="str">
            <v>FEB0002</v>
          </cell>
        </row>
        <row r="4">
          <cell r="K4" t="str">
            <v>ECB - Half Coated Choc Chunk</v>
          </cell>
          <cell r="L4" t="str">
            <v>FEB0004</v>
          </cell>
        </row>
        <row r="5">
          <cell r="K5" t="str">
            <v>ECB - Ginger Choc Chunk</v>
          </cell>
          <cell r="L5" t="str">
            <v>FEB0005</v>
          </cell>
        </row>
        <row r="6">
          <cell r="K6" t="str">
            <v>ECB - Crunch Ginger</v>
          </cell>
          <cell r="L6" t="str">
            <v>FEB0006</v>
          </cell>
        </row>
        <row r="7">
          <cell r="K7" t="str">
            <v>ECB - Crunch Coconut</v>
          </cell>
          <cell r="L7" t="str">
            <v>FEB0007</v>
          </cell>
        </row>
        <row r="8">
          <cell r="K8" t="str">
            <v>ECB - Half Coated Crunch</v>
          </cell>
          <cell r="L8" t="str">
            <v>FEB0008</v>
          </cell>
        </row>
        <row r="9">
          <cell r="K9" t="str">
            <v>ECB - Half Coated Oaties</v>
          </cell>
          <cell r="L9" t="str">
            <v>FEB0009</v>
          </cell>
        </row>
        <row r="10">
          <cell r="K10" t="str">
            <v>ECB FS HC MCC Twin Pack</v>
          </cell>
          <cell r="L10" t="str">
            <v>FEB0010</v>
          </cell>
        </row>
        <row r="11">
          <cell r="K11" t="str">
            <v>ECB FS MCC Twin Pack</v>
          </cell>
          <cell r="L11" t="str">
            <v>FEB0011</v>
          </cell>
        </row>
        <row r="12">
          <cell r="K12" t="str">
            <v>ECB - Granola Nuts &amp; Seeds</v>
          </cell>
          <cell r="L12" t="str">
            <v>FEB0012</v>
          </cell>
        </row>
        <row r="13">
          <cell r="K13" t="str">
            <v>ECB - Granola Choc Chip</v>
          </cell>
          <cell r="L13" t="str">
            <v>FEB0013</v>
          </cell>
        </row>
        <row r="14">
          <cell r="K14" t="str">
            <v>ECB - US Granola Nuts &amp; Seeds</v>
          </cell>
          <cell r="L14" t="str">
            <v>FEB0014</v>
          </cell>
        </row>
        <row r="15">
          <cell r="K15" t="str">
            <v>ECB - US Enrobed Butter Crunch</v>
          </cell>
          <cell r="L15" t="str">
            <v>FEB0016</v>
          </cell>
        </row>
        <row r="16">
          <cell r="K16" t="str">
            <v>ECB - US Coconut Crunch</v>
          </cell>
          <cell r="L16" t="str">
            <v>FEB0017</v>
          </cell>
        </row>
        <row r="17">
          <cell r="K17" t="str">
            <v>ECB - US Ginger Crunch</v>
          </cell>
          <cell r="L17" t="str">
            <v>FEB0018</v>
          </cell>
        </row>
        <row r="18">
          <cell r="K18" t="str">
            <v>2 x 24 pack Caramel &amp; Pecan</v>
          </cell>
          <cell r="L18" t="str">
            <v>new 1</v>
          </cell>
        </row>
        <row r="19">
          <cell r="K19" t="str">
            <v>CM - M1 Ginger Nut</v>
          </cell>
          <cell r="L19" t="str">
            <v>new 10</v>
          </cell>
        </row>
        <row r="20">
          <cell r="K20" t="str">
            <v>CM - M1 Goldgrain</v>
          </cell>
          <cell r="L20" t="str">
            <v>new 11</v>
          </cell>
        </row>
        <row r="21">
          <cell r="K21" t="str">
            <v>CM - M1 Lincoln</v>
          </cell>
          <cell r="L21" t="str">
            <v>new 12</v>
          </cell>
        </row>
        <row r="22">
          <cell r="K22" t="str">
            <v>CM - M1 New 1 HC Rotary</v>
          </cell>
          <cell r="L22" t="str">
            <v>new 13</v>
          </cell>
        </row>
        <row r="23">
          <cell r="K23" t="str">
            <v>CM - M1 New 2 HC Rotary</v>
          </cell>
          <cell r="L23" t="str">
            <v>new 14</v>
          </cell>
        </row>
        <row r="24">
          <cell r="K24" t="str">
            <v>CM - M1 New 3 HC Rotary</v>
          </cell>
          <cell r="L24" t="str">
            <v>new 15</v>
          </cell>
        </row>
        <row r="25">
          <cell r="K25" t="str">
            <v>CM - M1 Polo</v>
          </cell>
          <cell r="L25" t="str">
            <v>new 16</v>
          </cell>
        </row>
        <row r="26">
          <cell r="K26" t="str">
            <v>CM - Project Go Light 1</v>
          </cell>
          <cell r="L26" t="str">
            <v>new 17</v>
          </cell>
        </row>
        <row r="27">
          <cell r="K27" t="str">
            <v>CM - Project Go Light 2</v>
          </cell>
          <cell r="L27" t="str">
            <v>new 18</v>
          </cell>
        </row>
        <row r="28">
          <cell r="K28" t="str">
            <v>CM - Robin Protein 1</v>
          </cell>
          <cell r="L28" t="str">
            <v>new 19</v>
          </cell>
        </row>
        <row r="29">
          <cell r="K29" t="str">
            <v>2 x 24 pack Granola</v>
          </cell>
          <cell r="L29" t="str">
            <v>new 2</v>
          </cell>
        </row>
        <row r="30">
          <cell r="K30" t="str">
            <v>CM - Robin Protein 2</v>
          </cell>
          <cell r="L30" t="str">
            <v>new 20</v>
          </cell>
        </row>
        <row r="31">
          <cell r="K31" t="str">
            <v>Oh My - Double Choc 14%</v>
          </cell>
          <cell r="L31" t="str">
            <v>new 21</v>
          </cell>
        </row>
        <row r="32">
          <cell r="K32" t="str">
            <v>Oh My - Std 14%</v>
          </cell>
          <cell r="L32" t="str">
            <v>new 22</v>
          </cell>
        </row>
        <row r="33">
          <cell r="K33" t="str">
            <v>PL - 14% Choc Chip 145g</v>
          </cell>
          <cell r="L33" t="str">
            <v>new 23</v>
          </cell>
        </row>
        <row r="34">
          <cell r="K34" t="str">
            <v>PL - 8% Choc Chip 400g</v>
          </cell>
          <cell r="L34" t="str">
            <v>new 24</v>
          </cell>
        </row>
        <row r="35">
          <cell r="K35" t="str">
            <v>PL - Aldi Granola 160g</v>
          </cell>
          <cell r="L35" t="str">
            <v>new 25</v>
          </cell>
        </row>
        <row r="36">
          <cell r="K36" t="str">
            <v>PL - Auchan Caramel &amp; Pecan</v>
          </cell>
          <cell r="L36" t="str">
            <v>new 26</v>
          </cell>
        </row>
        <row r="37">
          <cell r="K37" t="str">
            <v>PL - Auchan Granola</v>
          </cell>
          <cell r="L37" t="str">
            <v>new 27</v>
          </cell>
        </row>
        <row r="38">
          <cell r="K38" t="str">
            <v>PL - Auchan Milk Choc Chunk</v>
          </cell>
          <cell r="L38" t="str">
            <v>new 28</v>
          </cell>
        </row>
        <row r="39">
          <cell r="K39" t="str">
            <v>PL - Co-op Irresistible Salted Caramel Cookies</v>
          </cell>
          <cell r="L39" t="str">
            <v>new 29</v>
          </cell>
        </row>
        <row r="40">
          <cell r="K40" t="str">
            <v>2 x 24 pack Granola (Seed)</v>
          </cell>
          <cell r="L40" t="str">
            <v>new 3</v>
          </cell>
        </row>
        <row r="41">
          <cell r="K41" t="str">
            <v>PL - Co-op Irresistible Triple Chocolate Cookies</v>
          </cell>
          <cell r="L41" t="str">
            <v>new 30</v>
          </cell>
        </row>
        <row r="42">
          <cell r="K42" t="str">
            <v>PL - Co-op Irresistible White Chocolate and Lemon Cookies 200G</v>
          </cell>
          <cell r="L42" t="str">
            <v>new 31</v>
          </cell>
        </row>
        <row r="43">
          <cell r="K43" t="str">
            <v>PL - Tesco 22% Choc Chip</v>
          </cell>
          <cell r="L43" t="str">
            <v>new 32</v>
          </cell>
        </row>
        <row r="44">
          <cell r="K44" t="str">
            <v>PL - Tesco 22% Choc Chip TWIN</v>
          </cell>
          <cell r="L44" t="str">
            <v>new 33</v>
          </cell>
        </row>
        <row r="45">
          <cell r="K45" t="str">
            <v>PL - Tesco Chunky Cookies</v>
          </cell>
          <cell r="L45" t="str">
            <v>new 34</v>
          </cell>
        </row>
        <row r="46">
          <cell r="K46" t="str">
            <v>PL - Tesco EV 8% Choc Chip</v>
          </cell>
          <cell r="L46" t="str">
            <v>new 35</v>
          </cell>
        </row>
        <row r="47">
          <cell r="K47" t="str">
            <v>PL - Tesco NPD HC Crunch</v>
          </cell>
          <cell r="L47" t="str">
            <v>new 36</v>
          </cell>
        </row>
        <row r="48">
          <cell r="K48" t="str">
            <v>PL - Tesco NPD HC Oatie</v>
          </cell>
          <cell r="L48" t="str">
            <v>new 37</v>
          </cell>
        </row>
        <row r="49">
          <cell r="K49" t="str">
            <v>PL - Tesco Oatie Standard</v>
          </cell>
          <cell r="L49" t="str">
            <v>new 38</v>
          </cell>
        </row>
        <row r="50">
          <cell r="K50" t="str">
            <v>CM - Coolmore Coconut Crunch</v>
          </cell>
          <cell r="L50" t="str">
            <v>new 39</v>
          </cell>
        </row>
        <row r="51">
          <cell r="K51" t="str">
            <v>2 x 24 pack Stem Ginger</v>
          </cell>
          <cell r="L51" t="str">
            <v>new 4</v>
          </cell>
        </row>
        <row r="52">
          <cell r="K52" t="str">
            <v>CM - HandiSnak</v>
          </cell>
          <cell r="L52" t="str">
            <v>new 40</v>
          </cell>
        </row>
        <row r="53">
          <cell r="K53" t="str">
            <v>CM - M1 145gm Choc Chip</v>
          </cell>
          <cell r="L53" t="str">
            <v>new 41</v>
          </cell>
        </row>
        <row r="54">
          <cell r="K54" t="str">
            <v>CM - Rose Confectionery</v>
          </cell>
          <cell r="L54" t="str">
            <v>new 42</v>
          </cell>
        </row>
        <row r="55">
          <cell r="K55" t="str">
            <v>CM -Regal 14% CC Std</v>
          </cell>
          <cell r="L55" t="str">
            <v>new 43</v>
          </cell>
        </row>
        <row r="56">
          <cell r="K56" t="str">
            <v>CM -Regal 14% Double CC</v>
          </cell>
          <cell r="L56" t="str">
            <v>new 44</v>
          </cell>
        </row>
        <row r="57">
          <cell r="K57" t="str">
            <v>ECB Palm Export - Granola Nuts &amp; Seeds</v>
          </cell>
          <cell r="L57" t="str">
            <v>new 45</v>
          </cell>
        </row>
        <row r="58">
          <cell r="K58" t="str">
            <v>ECB Palm Export - HC Choc Chunk</v>
          </cell>
          <cell r="L58" t="str">
            <v>new 46</v>
          </cell>
        </row>
        <row r="59">
          <cell r="K59" t="str">
            <v>ECB Palm Export - Milk Choc Chunk</v>
          </cell>
          <cell r="L59" t="str">
            <v>new 47</v>
          </cell>
        </row>
        <row r="60">
          <cell r="K60" t="str">
            <v>ECB Palm Export - Stem Ginger</v>
          </cell>
          <cell r="L60" t="str">
            <v>new 48</v>
          </cell>
        </row>
        <row r="61">
          <cell r="K61" t="str">
            <v>ECB Palm Export - Triple Choc Cookie</v>
          </cell>
          <cell r="L61" t="str">
            <v>new 49</v>
          </cell>
        </row>
        <row r="62">
          <cell r="K62" t="str">
            <v>CM - Bill 14% CC Std</v>
          </cell>
          <cell r="L62" t="str">
            <v>new 5</v>
          </cell>
        </row>
        <row r="63">
          <cell r="K63" t="str">
            <v>CM - GW Protein Caramel</v>
          </cell>
          <cell r="L63" t="str">
            <v>new 6</v>
          </cell>
        </row>
        <row r="64">
          <cell r="K64" t="str">
            <v>CM - GW Protein Orange</v>
          </cell>
          <cell r="L64" t="str">
            <v>new 7</v>
          </cell>
        </row>
        <row r="65">
          <cell r="K65" t="str">
            <v>CM - M1 Choc Goldgrain</v>
          </cell>
          <cell r="L65" t="str">
            <v>new 8</v>
          </cell>
        </row>
        <row r="66">
          <cell r="K66" t="str">
            <v>CM - M1 Choc Polo</v>
          </cell>
          <cell r="L66" t="str">
            <v>new 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48576"/>
  <sheetViews>
    <sheetView zoomScaleNormal="100" workbookViewId="0">
      <selection activeCell="J7" sqref="J7"/>
    </sheetView>
  </sheetViews>
  <sheetFormatPr defaultColWidth="0" defaultRowHeight="12" zeroHeight="1" x14ac:dyDescent="0.2"/>
  <cols>
    <col min="1" max="2" width="2.42578125" style="1" customWidth="1"/>
    <col min="3" max="9" width="10.5703125" style="1" customWidth="1"/>
    <col min="10" max="10" width="11.140625" style="1" customWidth="1"/>
    <col min="11" max="11" width="10.5703125" style="1" customWidth="1"/>
    <col min="12" max="12" width="4.28515625" style="1" customWidth="1"/>
    <col min="13" max="13" width="29.5703125" style="1" customWidth="1"/>
    <col min="14" max="14" width="16.42578125" style="1" customWidth="1"/>
    <col min="15" max="15" width="14.5703125" style="1" customWidth="1"/>
    <col min="16" max="16" width="14.7109375" style="1" customWidth="1"/>
    <col min="17" max="17" width="14.42578125" style="1" customWidth="1"/>
    <col min="18" max="18" width="39.140625" style="1" customWidth="1"/>
    <col min="19" max="16384" width="11.5703125" style="1" hidden="1"/>
  </cols>
  <sheetData>
    <row r="1" spans="1:19" s="2" customFormat="1" x14ac:dyDescent="0.2">
      <c r="A1" s="1"/>
      <c r="B1" s="1"/>
      <c r="C1" s="1"/>
      <c r="D1" s="1"/>
      <c r="E1" s="1"/>
      <c r="F1" s="1"/>
      <c r="G1" s="1"/>
      <c r="H1" s="1"/>
      <c r="I1" s="1"/>
      <c r="J1" s="1"/>
      <c r="K1" s="1"/>
      <c r="L1" s="1"/>
      <c r="M1" s="1"/>
      <c r="N1" s="1"/>
      <c r="O1" s="1"/>
      <c r="P1" s="1"/>
      <c r="Q1" s="1"/>
      <c r="R1" s="1"/>
      <c r="S1" s="1"/>
    </row>
    <row r="2" spans="1:19" s="2" customFormat="1" x14ac:dyDescent="0.2">
      <c r="A2" s="1"/>
      <c r="C2" s="1"/>
      <c r="D2" s="1"/>
      <c r="E2" s="1"/>
      <c r="F2" s="1"/>
      <c r="G2" s="1"/>
      <c r="H2" s="1"/>
      <c r="I2" s="1"/>
      <c r="J2" s="1"/>
      <c r="K2" s="1"/>
      <c r="L2" s="1"/>
      <c r="M2" s="1"/>
      <c r="N2" s="1"/>
      <c r="O2" s="1"/>
      <c r="P2" s="1"/>
      <c r="Q2" s="1"/>
      <c r="R2" s="1"/>
      <c r="S2" s="1"/>
    </row>
    <row r="3" spans="1:19" s="2" customFormat="1" ht="18" x14ac:dyDescent="0.25">
      <c r="A3" s="1"/>
      <c r="B3" s="3" t="s">
        <v>0</v>
      </c>
      <c r="C3" s="1"/>
      <c r="D3" s="1"/>
      <c r="E3" s="4"/>
      <c r="F3" s="1"/>
      <c r="G3" s="1"/>
      <c r="H3" s="1"/>
      <c r="I3" s="1"/>
      <c r="J3" s="1"/>
      <c r="K3" s="1"/>
      <c r="L3" s="1"/>
      <c r="M3" s="1"/>
      <c r="N3" s="1"/>
      <c r="O3" s="1"/>
      <c r="P3" s="1"/>
      <c r="Q3" s="1"/>
      <c r="R3" s="1"/>
      <c r="S3" s="1"/>
    </row>
    <row r="4" spans="1:19" s="2" customFormat="1" ht="21" customHeight="1" x14ac:dyDescent="0.25">
      <c r="A4" s="1"/>
      <c r="B4" s="5" t="s">
        <v>1</v>
      </c>
      <c r="C4" s="1"/>
      <c r="D4" s="1"/>
      <c r="E4" s="1"/>
      <c r="F4" s="1"/>
      <c r="G4" s="1"/>
      <c r="H4" s="1"/>
      <c r="I4" s="1"/>
      <c r="J4" s="1"/>
      <c r="K4" s="1"/>
      <c r="L4" s="1"/>
      <c r="M4" s="1"/>
      <c r="N4" s="1"/>
      <c r="O4" s="1"/>
      <c r="P4" s="1"/>
      <c r="Q4" s="1"/>
      <c r="R4" s="1"/>
      <c r="S4" s="1"/>
    </row>
    <row r="5" spans="1:19" s="2" customFormat="1" x14ac:dyDescent="0.2">
      <c r="A5" s="6"/>
      <c r="B5" s="7"/>
      <c r="C5" s="8"/>
      <c r="D5" s="8"/>
      <c r="E5" s="8"/>
      <c r="F5" s="8"/>
      <c r="G5" s="8"/>
      <c r="H5" s="8"/>
      <c r="I5" s="8"/>
      <c r="J5" s="8"/>
      <c r="K5" s="8"/>
      <c r="L5" s="8"/>
      <c r="M5" s="8"/>
      <c r="N5" s="1"/>
      <c r="O5" s="1"/>
      <c r="P5" s="1"/>
      <c r="Q5" s="1"/>
      <c r="R5" s="1"/>
      <c r="S5" s="1"/>
    </row>
    <row r="6" spans="1:19" s="2" customFormat="1" x14ac:dyDescent="0.2">
      <c r="A6" s="6"/>
      <c r="B6" s="6"/>
      <c r="C6" s="1"/>
      <c r="D6" s="1"/>
      <c r="E6" s="1"/>
      <c r="F6" s="1"/>
      <c r="G6" s="1"/>
      <c r="H6" s="1"/>
      <c r="I6" s="1"/>
      <c r="J6" s="1"/>
      <c r="K6" s="1"/>
      <c r="L6" s="1"/>
      <c r="M6" s="1"/>
      <c r="N6" s="1"/>
      <c r="O6" s="1"/>
      <c r="P6" s="1"/>
      <c r="Q6" s="1"/>
      <c r="R6" s="1"/>
      <c r="S6" s="1"/>
    </row>
    <row r="7" spans="1:19" s="2" customFormat="1" x14ac:dyDescent="0.2">
      <c r="A7" s="1"/>
      <c r="B7" s="6" t="s">
        <v>2</v>
      </c>
      <c r="C7" s="6"/>
      <c r="D7" s="1"/>
      <c r="E7" s="1"/>
      <c r="F7" s="1"/>
      <c r="G7" s="1"/>
      <c r="H7" s="1"/>
      <c r="I7" s="1"/>
      <c r="J7" s="1"/>
      <c r="K7" s="1"/>
      <c r="L7" s="1"/>
      <c r="M7" s="1"/>
      <c r="N7" s="1"/>
      <c r="O7" s="1"/>
      <c r="P7" s="1"/>
      <c r="Q7" s="1"/>
      <c r="R7" s="1"/>
      <c r="S7" s="1"/>
    </row>
    <row r="8" spans="1:19" s="2" customFormat="1" x14ac:dyDescent="0.2">
      <c r="A8" s="6"/>
      <c r="B8" s="6"/>
      <c r="C8" s="6"/>
      <c r="D8" s="1"/>
      <c r="E8" s="1"/>
      <c r="F8" s="1"/>
      <c r="G8" s="1"/>
      <c r="H8" s="1"/>
      <c r="I8" s="1"/>
      <c r="J8" s="1"/>
      <c r="K8" s="1"/>
      <c r="L8" s="1"/>
      <c r="M8" s="1"/>
      <c r="N8" s="1"/>
      <c r="O8" s="1"/>
      <c r="P8" s="1"/>
      <c r="Q8" s="1"/>
      <c r="R8" s="1"/>
      <c r="S8" s="1"/>
    </row>
    <row r="9" spans="1:19" x14ac:dyDescent="0.2">
      <c r="B9" s="9">
        <v>1</v>
      </c>
      <c r="C9" s="1" t="s">
        <v>3</v>
      </c>
    </row>
    <row r="10" spans="1:19" x14ac:dyDescent="0.2">
      <c r="B10" s="9"/>
      <c r="C10" s="1" t="s">
        <v>4</v>
      </c>
    </row>
    <row r="11" spans="1:19" s="2" customFormat="1" ht="13.5" customHeight="1" x14ac:dyDescent="0.2">
      <c r="A11" s="1"/>
      <c r="B11" s="9"/>
      <c r="C11" s="1"/>
      <c r="D11" s="1"/>
      <c r="E11" s="1"/>
      <c r="F11" s="1"/>
      <c r="G11" s="1"/>
      <c r="H11" s="1"/>
      <c r="I11" s="1"/>
      <c r="J11" s="1"/>
      <c r="K11" s="1"/>
      <c r="L11" s="1"/>
      <c r="M11" s="1"/>
      <c r="N11" s="1"/>
      <c r="O11" s="1"/>
      <c r="P11" s="1"/>
      <c r="Q11" s="1"/>
      <c r="R11" s="1"/>
      <c r="S11" s="1"/>
    </row>
    <row r="12" spans="1:19" s="2" customFormat="1" x14ac:dyDescent="0.2">
      <c r="A12" s="1"/>
      <c r="B12" s="9">
        <v>2</v>
      </c>
      <c r="C12" s="1" t="s">
        <v>5</v>
      </c>
      <c r="D12" s="1"/>
      <c r="E12" s="1"/>
      <c r="F12" s="1"/>
      <c r="G12" s="1"/>
      <c r="H12" s="1"/>
      <c r="I12" s="1"/>
      <c r="J12" s="1"/>
      <c r="K12" s="1"/>
      <c r="L12" s="1"/>
      <c r="M12" s="1"/>
      <c r="N12" s="1"/>
      <c r="O12" s="1"/>
      <c r="P12" s="1"/>
      <c r="Q12" s="1"/>
      <c r="R12" s="1"/>
      <c r="S12" s="1"/>
    </row>
    <row r="13" spans="1:19" s="2" customFormat="1" ht="12" customHeight="1" x14ac:dyDescent="0.2">
      <c r="A13" s="1"/>
      <c r="B13" s="9"/>
      <c r="C13" s="1"/>
      <c r="D13" s="1"/>
      <c r="E13" s="1"/>
      <c r="F13" s="1"/>
      <c r="G13" s="1"/>
      <c r="H13" s="1"/>
      <c r="I13" s="1"/>
      <c r="J13" s="1"/>
      <c r="K13" s="1"/>
      <c r="L13" s="1"/>
      <c r="M13" s="1"/>
      <c r="N13" s="1"/>
      <c r="O13" s="1"/>
      <c r="P13" s="1"/>
      <c r="Q13" s="1"/>
      <c r="R13" s="1"/>
      <c r="S13" s="1"/>
    </row>
    <row r="14" spans="1:19" s="2" customFormat="1" x14ac:dyDescent="0.2">
      <c r="A14" s="1"/>
      <c r="B14" s="9">
        <v>3</v>
      </c>
      <c r="C14" s="6" t="s">
        <v>6</v>
      </c>
      <c r="D14" s="1"/>
      <c r="E14" s="1"/>
      <c r="F14" s="1"/>
      <c r="G14" s="1"/>
      <c r="H14" s="1"/>
      <c r="I14" s="1"/>
      <c r="J14" s="1"/>
      <c r="K14" s="1"/>
      <c r="L14" s="1"/>
      <c r="M14" s="1"/>
      <c r="N14" s="1"/>
      <c r="O14" s="1"/>
      <c r="P14" s="1"/>
      <c r="Q14" s="1"/>
      <c r="R14" s="1"/>
      <c r="S14" s="1"/>
    </row>
    <row r="15" spans="1:19" s="2" customFormat="1" x14ac:dyDescent="0.2">
      <c r="A15" s="1"/>
      <c r="B15" s="1"/>
      <c r="C15" s="1" t="s">
        <v>7</v>
      </c>
      <c r="D15" s="1"/>
      <c r="E15" s="1"/>
      <c r="F15" s="1"/>
      <c r="G15" s="1"/>
      <c r="H15" s="1"/>
      <c r="I15" s="1"/>
      <c r="J15" s="1"/>
      <c r="K15" s="1"/>
      <c r="L15" s="1"/>
      <c r="M15" s="1"/>
      <c r="N15" s="1"/>
      <c r="O15" s="1"/>
      <c r="P15" s="1"/>
      <c r="Q15" s="1"/>
      <c r="R15" s="1"/>
      <c r="S15" s="1"/>
    </row>
    <row r="16" spans="1:19" s="2" customFormat="1" ht="3.75" customHeight="1" x14ac:dyDescent="0.2">
      <c r="A16" s="1"/>
      <c r="B16" s="1"/>
      <c r="C16" s="1"/>
      <c r="D16" s="1"/>
      <c r="E16" s="1"/>
      <c r="F16" s="1"/>
      <c r="G16" s="1"/>
      <c r="H16" s="1"/>
      <c r="I16" s="1"/>
      <c r="J16" s="1"/>
      <c r="K16" s="1"/>
      <c r="L16" s="1"/>
      <c r="M16" s="1"/>
      <c r="N16" s="1"/>
      <c r="O16" s="1"/>
      <c r="P16" s="1"/>
      <c r="Q16" s="1"/>
      <c r="R16" s="1"/>
      <c r="S16" s="1"/>
    </row>
    <row r="17" spans="1:19" s="2" customFormat="1" x14ac:dyDescent="0.2">
      <c r="A17" s="1"/>
      <c r="B17" s="9">
        <v>4</v>
      </c>
      <c r="C17" s="1" t="s">
        <v>8</v>
      </c>
      <c r="D17" s="1"/>
      <c r="E17" s="1"/>
      <c r="F17" s="1"/>
      <c r="G17" s="1"/>
      <c r="H17" s="1"/>
      <c r="I17" s="1"/>
      <c r="J17" s="1"/>
      <c r="K17" s="1"/>
      <c r="L17" s="1"/>
      <c r="M17" s="1"/>
      <c r="N17" s="1"/>
      <c r="O17" s="1"/>
      <c r="P17" s="1"/>
      <c r="Q17" s="1"/>
      <c r="R17" s="1"/>
      <c r="S17" s="1"/>
    </row>
    <row r="18" spans="1:19" s="2" customFormat="1" ht="6" customHeight="1" x14ac:dyDescent="0.2">
      <c r="A18" s="1"/>
      <c r="B18" s="9"/>
      <c r="C18" s="1"/>
      <c r="D18" s="1"/>
      <c r="E18" s="1"/>
      <c r="F18" s="1"/>
      <c r="G18" s="1"/>
      <c r="H18" s="1"/>
      <c r="I18" s="1"/>
      <c r="J18" s="1"/>
      <c r="K18" s="1"/>
      <c r="L18" s="1"/>
      <c r="M18" s="1"/>
      <c r="N18" s="1"/>
      <c r="O18" s="1"/>
      <c r="P18" s="1"/>
      <c r="Q18" s="1"/>
      <c r="R18" s="1"/>
      <c r="S18" s="1"/>
    </row>
    <row r="19" spans="1:19" s="2" customFormat="1" x14ac:dyDescent="0.2">
      <c r="A19" s="1"/>
      <c r="B19" s="9">
        <v>5</v>
      </c>
      <c r="C19" s="1" t="s">
        <v>9</v>
      </c>
      <c r="D19" s="1"/>
      <c r="E19" s="1"/>
      <c r="F19" s="1"/>
      <c r="G19" s="1"/>
      <c r="H19" s="1"/>
      <c r="I19" s="1"/>
      <c r="J19" s="1"/>
      <c r="K19" s="1"/>
      <c r="L19" s="1"/>
      <c r="M19" s="1"/>
      <c r="N19" s="1"/>
      <c r="O19" s="1"/>
      <c r="P19" s="1"/>
      <c r="Q19" s="1"/>
      <c r="R19" s="1"/>
      <c r="S19" s="1"/>
    </row>
    <row r="20" spans="1:19" s="2" customFormat="1" x14ac:dyDescent="0.2">
      <c r="A20" s="1"/>
      <c r="B20" s="9"/>
      <c r="C20" s="6" t="s">
        <v>10</v>
      </c>
      <c r="D20" s="1"/>
      <c r="E20" s="1"/>
      <c r="F20" s="1"/>
      <c r="G20" s="1"/>
      <c r="H20" s="1"/>
      <c r="I20" s="1"/>
      <c r="J20" s="1"/>
      <c r="K20" s="1"/>
      <c r="L20" s="1"/>
      <c r="M20" s="1"/>
      <c r="N20" s="1"/>
      <c r="O20" s="1"/>
      <c r="P20" s="1"/>
      <c r="Q20" s="1"/>
      <c r="R20" s="1"/>
      <c r="S20" s="1"/>
    </row>
    <row r="21" spans="1:19" s="2" customFormat="1" ht="12" customHeight="1" x14ac:dyDescent="0.2">
      <c r="A21" s="1"/>
      <c r="B21" s="9"/>
      <c r="C21" s="6" t="s">
        <v>11</v>
      </c>
      <c r="D21" s="1"/>
      <c r="E21" s="1"/>
      <c r="F21" s="1"/>
      <c r="G21" s="1"/>
      <c r="H21" s="1"/>
      <c r="I21" s="1"/>
      <c r="J21" s="1"/>
      <c r="K21" s="1"/>
      <c r="L21" s="1"/>
      <c r="M21" s="1"/>
      <c r="N21" s="1"/>
      <c r="O21" s="1"/>
      <c r="P21" s="1"/>
      <c r="Q21" s="1"/>
      <c r="R21" s="1"/>
      <c r="S21" s="1"/>
    </row>
    <row r="22" spans="1:19" s="2" customFormat="1" ht="6" customHeight="1" x14ac:dyDescent="0.2">
      <c r="A22" s="1"/>
      <c r="B22" s="9"/>
      <c r="C22" s="6"/>
      <c r="D22" s="1"/>
      <c r="E22" s="1"/>
      <c r="F22" s="1"/>
      <c r="G22" s="1"/>
      <c r="H22" s="1"/>
      <c r="I22" s="1"/>
      <c r="J22" s="1"/>
      <c r="K22" s="1"/>
      <c r="L22" s="1"/>
      <c r="M22" s="1"/>
      <c r="N22" s="1"/>
      <c r="O22" s="1"/>
      <c r="P22" s="1"/>
      <c r="Q22" s="1"/>
      <c r="R22" s="1"/>
      <c r="S22" s="1"/>
    </row>
    <row r="23" spans="1:19" s="2" customFormat="1" ht="12.75" customHeight="1" x14ac:dyDescent="0.2">
      <c r="A23" s="1"/>
      <c r="B23" s="9">
        <v>6</v>
      </c>
      <c r="C23" s="1" t="s">
        <v>12</v>
      </c>
      <c r="D23" s="1"/>
      <c r="E23" s="1"/>
      <c r="F23" s="1"/>
      <c r="G23" s="1"/>
      <c r="H23" s="1"/>
      <c r="I23" s="1"/>
      <c r="J23" s="1"/>
      <c r="K23" s="1"/>
      <c r="L23" s="1"/>
      <c r="M23" s="1"/>
      <c r="N23" s="1"/>
      <c r="O23" s="1"/>
      <c r="P23" s="1"/>
      <c r="Q23" s="1"/>
      <c r="R23" s="1"/>
      <c r="S23" s="1"/>
    </row>
    <row r="24" spans="1:19" s="2" customFormat="1" x14ac:dyDescent="0.2">
      <c r="A24" s="1"/>
      <c r="B24" s="9"/>
      <c r="C24" s="1" t="s">
        <v>13</v>
      </c>
      <c r="D24" s="1"/>
      <c r="E24" s="1"/>
      <c r="F24" s="1"/>
      <c r="G24" s="1"/>
      <c r="H24" s="1"/>
      <c r="I24" s="1"/>
      <c r="J24" s="1"/>
      <c r="K24" s="1"/>
      <c r="L24" s="1"/>
      <c r="M24" s="1"/>
      <c r="N24" s="1"/>
      <c r="O24" s="1"/>
      <c r="P24" s="1"/>
      <c r="Q24" s="1"/>
      <c r="R24" s="1"/>
      <c r="S24" s="1"/>
    </row>
    <row r="25" spans="1:19" s="2" customFormat="1" ht="6" customHeight="1" x14ac:dyDescent="0.2">
      <c r="A25" s="1"/>
      <c r="B25" s="9"/>
      <c r="C25" s="1"/>
      <c r="D25" s="1"/>
      <c r="E25" s="1"/>
      <c r="F25" s="1"/>
      <c r="G25" s="1"/>
      <c r="H25" s="1"/>
      <c r="I25" s="1"/>
      <c r="J25" s="1"/>
      <c r="K25" s="1"/>
      <c r="L25" s="1"/>
      <c r="M25" s="1"/>
      <c r="N25" s="1"/>
      <c r="O25" s="1"/>
      <c r="P25" s="1"/>
      <c r="Q25" s="1"/>
      <c r="R25" s="1"/>
      <c r="S25" s="1"/>
    </row>
    <row r="26" spans="1:19" s="2" customFormat="1" x14ac:dyDescent="0.2">
      <c r="A26" s="1"/>
      <c r="B26" s="9">
        <v>7</v>
      </c>
      <c r="C26" s="1" t="s">
        <v>14</v>
      </c>
      <c r="D26" s="1"/>
      <c r="E26" s="1"/>
      <c r="F26" s="1"/>
      <c r="G26" s="1"/>
      <c r="H26" s="1"/>
      <c r="I26" s="1"/>
      <c r="J26" s="1"/>
      <c r="K26" s="1"/>
      <c r="L26" s="1"/>
      <c r="M26" s="1"/>
      <c r="N26" s="1"/>
      <c r="O26" s="1"/>
      <c r="P26" s="1"/>
      <c r="Q26" s="1"/>
      <c r="R26" s="1"/>
      <c r="S26" s="1"/>
    </row>
    <row r="27" spans="1:19" s="2" customFormat="1" ht="6" customHeight="1" x14ac:dyDescent="0.2">
      <c r="A27" s="1"/>
      <c r="B27" s="9"/>
      <c r="C27" s="1"/>
      <c r="D27" s="1"/>
      <c r="E27" s="1"/>
      <c r="F27" s="1"/>
      <c r="G27" s="1"/>
      <c r="H27" s="1"/>
      <c r="I27" s="1"/>
      <c r="J27" s="1"/>
      <c r="K27" s="1"/>
      <c r="L27" s="1"/>
      <c r="M27" s="1"/>
      <c r="N27" s="1"/>
      <c r="O27" s="1"/>
      <c r="P27" s="1"/>
      <c r="Q27" s="1"/>
      <c r="R27" s="1"/>
      <c r="S27" s="1"/>
    </row>
    <row r="28" spans="1:19" s="2" customFormat="1" x14ac:dyDescent="0.2">
      <c r="A28" s="1"/>
      <c r="B28" s="6">
        <v>8</v>
      </c>
      <c r="C28" s="1" t="s">
        <v>15</v>
      </c>
      <c r="D28" s="1"/>
      <c r="E28" s="1"/>
      <c r="F28" s="1"/>
      <c r="G28" s="1"/>
      <c r="H28" s="1"/>
      <c r="I28" s="1"/>
      <c r="J28" s="1"/>
      <c r="K28" s="1"/>
      <c r="L28" s="1"/>
      <c r="M28" s="1"/>
      <c r="N28" s="1"/>
      <c r="O28" s="1"/>
      <c r="P28" s="1"/>
      <c r="Q28" s="1"/>
      <c r="R28" s="1"/>
      <c r="S28" s="1"/>
    </row>
    <row r="29" spans="1:19" s="2" customFormat="1" x14ac:dyDescent="0.2">
      <c r="A29" s="1"/>
      <c r="B29" s="6"/>
      <c r="C29" s="1"/>
      <c r="D29" s="1"/>
      <c r="E29" s="1"/>
      <c r="F29" s="1"/>
      <c r="G29" s="1"/>
      <c r="H29" s="1"/>
      <c r="I29" s="1"/>
      <c r="J29" s="1"/>
      <c r="K29" s="1"/>
      <c r="L29" s="1"/>
      <c r="M29" s="1"/>
      <c r="N29" s="1"/>
      <c r="O29" s="1"/>
      <c r="P29" s="1"/>
      <c r="Q29" s="1"/>
      <c r="R29" s="1"/>
      <c r="S29" s="1"/>
    </row>
    <row r="30" spans="1:19" s="2" customFormat="1" x14ac:dyDescent="0.2">
      <c r="A30" s="1"/>
      <c r="B30" s="10"/>
      <c r="C30" s="8"/>
      <c r="D30" s="8"/>
      <c r="E30" s="8"/>
      <c r="F30" s="8"/>
      <c r="G30" s="8"/>
      <c r="H30" s="8"/>
      <c r="I30" s="8"/>
      <c r="J30" s="8"/>
      <c r="K30" s="8"/>
      <c r="L30" s="8"/>
      <c r="M30" s="1"/>
      <c r="N30" s="1"/>
      <c r="O30" s="1"/>
      <c r="P30" s="1"/>
      <c r="Q30" s="1"/>
      <c r="R30" s="1"/>
      <c r="S30" s="1"/>
    </row>
    <row r="31" spans="1:19" s="2" customFormat="1" x14ac:dyDescent="0.2">
      <c r="A31" s="1"/>
      <c r="B31" s="6"/>
      <c r="C31" s="1"/>
      <c r="D31" s="1"/>
      <c r="E31" s="1"/>
      <c r="F31" s="1"/>
      <c r="G31" s="1"/>
      <c r="H31" s="1"/>
      <c r="I31" s="1"/>
      <c r="J31" s="1"/>
      <c r="K31" s="1"/>
      <c r="L31" s="1"/>
      <c r="M31" s="1"/>
      <c r="N31" s="1"/>
      <c r="O31" s="1"/>
      <c r="P31" s="1"/>
      <c r="Q31" s="1"/>
      <c r="R31" s="1"/>
      <c r="S31" s="1"/>
    </row>
    <row r="32" spans="1:19" s="2" customFormat="1" x14ac:dyDescent="0.2">
      <c r="A32" s="1"/>
      <c r="B32" s="6" t="s">
        <v>16</v>
      </c>
      <c r="C32" s="1"/>
      <c r="D32" s="1"/>
      <c r="E32" s="1"/>
      <c r="F32" s="1"/>
      <c r="G32" s="1"/>
      <c r="H32" s="1"/>
      <c r="I32" s="1"/>
      <c r="J32" s="1"/>
      <c r="K32" s="1"/>
      <c r="L32" s="1"/>
      <c r="M32" s="1"/>
      <c r="N32" s="1"/>
      <c r="O32" s="1"/>
      <c r="P32" s="1"/>
      <c r="Q32" s="1"/>
      <c r="R32" s="1"/>
      <c r="S32" s="1"/>
    </row>
    <row r="33" spans="1:19" s="2" customFormat="1" ht="9.75" customHeight="1" x14ac:dyDescent="0.2">
      <c r="A33" s="1"/>
      <c r="B33" s="1"/>
      <c r="C33" s="1"/>
      <c r="D33" s="1"/>
      <c r="E33" s="1"/>
      <c r="F33" s="1"/>
      <c r="G33" s="1"/>
      <c r="H33" s="1"/>
      <c r="I33" s="1"/>
      <c r="J33" s="1"/>
      <c r="K33" s="1"/>
      <c r="L33" s="1"/>
      <c r="M33" s="1"/>
      <c r="N33" s="1"/>
      <c r="O33" s="1"/>
      <c r="P33" s="1"/>
      <c r="Q33" s="1"/>
      <c r="R33" s="1"/>
      <c r="S33" s="1"/>
    </row>
    <row r="34" spans="1:19" s="2" customFormat="1" x14ac:dyDescent="0.2">
      <c r="A34" s="1"/>
      <c r="B34" s="11"/>
      <c r="C34" s="12"/>
      <c r="D34" s="1" t="s">
        <v>17</v>
      </c>
      <c r="E34" s="1"/>
      <c r="F34" s="1"/>
      <c r="G34" s="1"/>
      <c r="H34" s="1"/>
      <c r="I34" s="1"/>
      <c r="J34" s="1"/>
      <c r="K34" s="1"/>
      <c r="L34" s="1"/>
      <c r="M34" s="1"/>
      <c r="N34" s="1"/>
      <c r="O34" s="1"/>
      <c r="P34" s="1"/>
      <c r="Q34" s="1"/>
      <c r="R34" s="1"/>
      <c r="S34" s="1"/>
    </row>
    <row r="35" spans="1:19" s="2" customFormat="1" ht="6" customHeight="1" x14ac:dyDescent="0.2">
      <c r="A35" s="1"/>
      <c r="B35" s="9"/>
      <c r="C35" s="13"/>
      <c r="D35" s="1"/>
      <c r="E35" s="1"/>
      <c r="F35" s="1"/>
      <c r="G35" s="1"/>
      <c r="H35" s="1"/>
      <c r="I35" s="1"/>
      <c r="J35" s="1"/>
      <c r="K35" s="1"/>
      <c r="L35" s="1"/>
      <c r="M35" s="1"/>
      <c r="N35" s="1"/>
      <c r="O35" s="1"/>
      <c r="P35" s="1"/>
      <c r="Q35" s="1"/>
      <c r="R35" s="1"/>
      <c r="S35" s="1"/>
    </row>
    <row r="36" spans="1:19" s="2" customFormat="1" x14ac:dyDescent="0.2">
      <c r="A36" s="1"/>
      <c r="B36" s="14"/>
      <c r="C36" s="15"/>
      <c r="D36" s="1" t="s">
        <v>18</v>
      </c>
      <c r="E36" s="1"/>
      <c r="F36" s="1"/>
      <c r="G36" s="1"/>
      <c r="H36" s="1"/>
      <c r="I36" s="1"/>
      <c r="J36" s="1"/>
      <c r="K36" s="1"/>
      <c r="L36" s="1"/>
      <c r="M36" s="1"/>
      <c r="N36" s="1"/>
      <c r="O36" s="1"/>
      <c r="P36" s="1"/>
      <c r="Q36" s="1"/>
      <c r="R36" s="1"/>
      <c r="S36" s="1"/>
    </row>
    <row r="37" spans="1:19" s="2" customFormat="1" ht="6" customHeight="1" x14ac:dyDescent="0.2">
      <c r="A37" s="1"/>
      <c r="B37" s="9"/>
      <c r="C37" s="16"/>
      <c r="D37" s="1"/>
      <c r="E37" s="1"/>
      <c r="F37" s="1"/>
      <c r="G37" s="1"/>
      <c r="H37" s="1"/>
      <c r="I37" s="1"/>
      <c r="J37" s="1"/>
      <c r="K37" s="1"/>
      <c r="L37" s="1"/>
      <c r="M37" s="1"/>
      <c r="N37" s="1"/>
      <c r="O37" s="1"/>
      <c r="P37" s="1"/>
      <c r="Q37" s="1"/>
      <c r="R37" s="1"/>
      <c r="S37" s="1"/>
    </row>
    <row r="38" spans="1:19" s="2" customFormat="1" ht="12" hidden="1" customHeight="1" x14ac:dyDescent="0.2">
      <c r="A38" s="1"/>
      <c r="B38" s="450"/>
      <c r="C38" s="450"/>
      <c r="D38" s="1" t="s">
        <v>19</v>
      </c>
      <c r="E38" s="1"/>
      <c r="F38" s="1"/>
      <c r="G38" s="1"/>
      <c r="H38" s="1"/>
      <c r="I38" s="1"/>
      <c r="J38" s="1"/>
      <c r="K38" s="1"/>
      <c r="L38" s="1"/>
      <c r="M38" s="1"/>
      <c r="N38" s="1"/>
      <c r="O38" s="1"/>
      <c r="P38" s="1"/>
      <c r="Q38" s="1"/>
      <c r="R38" s="1"/>
      <c r="S38" s="1"/>
    </row>
    <row r="39" spans="1:19" s="2" customFormat="1" x14ac:dyDescent="0.2">
      <c r="A39" s="6"/>
      <c r="B39" s="6"/>
      <c r="C39" s="1"/>
      <c r="D39" s="1"/>
      <c r="E39" s="1"/>
      <c r="F39" s="1"/>
      <c r="G39" s="1"/>
      <c r="H39" s="1"/>
      <c r="I39" s="1"/>
      <c r="J39" s="1"/>
      <c r="K39" s="1"/>
      <c r="L39" s="1"/>
      <c r="M39" s="1"/>
      <c r="N39" s="1"/>
      <c r="O39" s="1"/>
      <c r="P39" s="1"/>
      <c r="Q39" s="1"/>
      <c r="R39" s="1"/>
      <c r="S39" s="1"/>
    </row>
    <row r="40" spans="1:19" s="2" customFormat="1" x14ac:dyDescent="0.2">
      <c r="A40" s="6"/>
      <c r="B40" s="6"/>
      <c r="C40" s="1"/>
      <c r="D40" s="17"/>
      <c r="E40" s="1"/>
      <c r="F40" s="1"/>
      <c r="G40" s="1"/>
      <c r="H40" s="1"/>
      <c r="I40" s="1"/>
      <c r="J40" s="1"/>
      <c r="K40" s="1"/>
      <c r="L40" s="1"/>
      <c r="M40" s="1"/>
      <c r="N40" s="1"/>
      <c r="O40" s="1"/>
      <c r="P40" s="1"/>
      <c r="Q40" s="1"/>
      <c r="R40" s="1"/>
      <c r="S40" s="1"/>
    </row>
    <row r="41" spans="1:19" s="2" customFormat="1" x14ac:dyDescent="0.2">
      <c r="A41" s="1"/>
      <c r="B41" s="1"/>
      <c r="C41" s="1"/>
      <c r="D41" s="1"/>
      <c r="E41" s="1"/>
      <c r="F41" s="1"/>
      <c r="G41" s="1"/>
      <c r="H41" s="1"/>
      <c r="I41" s="1"/>
      <c r="J41" s="1"/>
      <c r="K41" s="1"/>
      <c r="L41" s="1"/>
      <c r="M41" s="1"/>
      <c r="N41" s="1"/>
      <c r="O41" s="1"/>
      <c r="P41" s="1"/>
      <c r="Q41" s="1"/>
      <c r="R41" s="1"/>
      <c r="S41" s="1"/>
    </row>
    <row r="42" spans="1:19" s="2" customFormat="1" x14ac:dyDescent="0.2">
      <c r="A42" s="1"/>
      <c r="B42" s="1"/>
      <c r="C42" s="1"/>
      <c r="D42" s="1"/>
      <c r="E42" s="1"/>
      <c r="F42" s="1"/>
      <c r="G42" s="1"/>
      <c r="H42" s="1"/>
      <c r="I42" s="1"/>
      <c r="J42" s="1"/>
      <c r="K42" s="1"/>
      <c r="L42" s="1"/>
      <c r="M42" s="1"/>
      <c r="N42" s="1"/>
      <c r="O42" s="1"/>
      <c r="P42" s="1"/>
      <c r="Q42" s="1"/>
      <c r="R42" s="1"/>
      <c r="S42" s="1"/>
    </row>
    <row r="43" spans="1:19" s="2" customFormat="1" x14ac:dyDescent="0.2">
      <c r="A43" s="1"/>
      <c r="B43" s="1"/>
      <c r="C43" s="1"/>
      <c r="D43" s="1"/>
      <c r="E43" s="1"/>
      <c r="F43" s="1"/>
      <c r="G43" s="1"/>
      <c r="H43" s="1"/>
      <c r="I43" s="1"/>
      <c r="J43" s="1"/>
      <c r="K43" s="1"/>
      <c r="L43" s="1"/>
      <c r="M43" s="1"/>
      <c r="N43" s="1"/>
      <c r="O43" s="1"/>
      <c r="P43" s="1"/>
      <c r="Q43" s="1"/>
      <c r="R43" s="1"/>
      <c r="S43" s="1"/>
    </row>
    <row r="44" spans="1:19" s="2" customFormat="1" x14ac:dyDescent="0.2">
      <c r="A44" s="1"/>
      <c r="B44" s="1"/>
      <c r="C44" s="1"/>
      <c r="D44" s="1"/>
      <c r="E44" s="1"/>
      <c r="F44" s="1"/>
      <c r="G44" s="1"/>
      <c r="H44" s="1"/>
      <c r="I44" s="1"/>
      <c r="J44" s="1"/>
      <c r="K44" s="1"/>
      <c r="L44" s="1"/>
      <c r="M44" s="1"/>
      <c r="N44" s="1"/>
      <c r="O44" s="1"/>
      <c r="P44" s="1"/>
      <c r="Q44" s="1"/>
      <c r="R44" s="1"/>
      <c r="S44" s="1"/>
    </row>
    <row r="45" spans="1:19" x14ac:dyDescent="0.2"/>
    <row r="46" spans="1:19" s="2" customFormat="1" x14ac:dyDescent="0.2">
      <c r="A46" s="1"/>
      <c r="B46" s="1"/>
      <c r="C46" s="1"/>
      <c r="D46" s="1"/>
      <c r="E46" s="1"/>
      <c r="F46" s="1"/>
      <c r="G46" s="1"/>
      <c r="H46" s="1"/>
      <c r="I46" s="1"/>
      <c r="J46" s="1"/>
      <c r="K46" s="1"/>
      <c r="L46" s="1"/>
      <c r="M46" s="1"/>
      <c r="N46" s="1"/>
      <c r="O46" s="1"/>
      <c r="P46" s="1"/>
      <c r="Q46" s="1"/>
      <c r="R46" s="1"/>
      <c r="S46" s="1"/>
    </row>
    <row r="47" spans="1:19" s="2" customFormat="1" x14ac:dyDescent="0.2">
      <c r="A47" s="1"/>
      <c r="B47" s="1"/>
      <c r="C47" s="1"/>
      <c r="D47" s="1"/>
      <c r="E47" s="1"/>
      <c r="F47" s="1"/>
      <c r="G47" s="1"/>
      <c r="H47" s="1"/>
      <c r="I47" s="1"/>
      <c r="J47" s="1"/>
      <c r="K47" s="1"/>
      <c r="L47" s="1"/>
      <c r="M47" s="1"/>
      <c r="N47" s="1"/>
      <c r="O47" s="1"/>
      <c r="P47" s="1"/>
      <c r="Q47" s="1"/>
      <c r="R47" s="1"/>
      <c r="S47" s="1"/>
    </row>
    <row r="48" spans="1:19" s="2" customFormat="1" x14ac:dyDescent="0.2">
      <c r="A48" s="1"/>
      <c r="B48" s="1"/>
      <c r="C48" s="1"/>
      <c r="D48" s="1"/>
      <c r="E48" s="1"/>
      <c r="F48" s="1"/>
      <c r="G48" s="1"/>
      <c r="H48" s="1"/>
      <c r="I48" s="1"/>
      <c r="J48" s="1"/>
      <c r="K48" s="1"/>
      <c r="L48" s="1"/>
      <c r="M48" s="1"/>
      <c r="N48" s="1"/>
      <c r="O48" s="1"/>
      <c r="P48" s="1"/>
      <c r="Q48" s="1"/>
      <c r="R48" s="1"/>
      <c r="S48" s="1"/>
    </row>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ht="11.25" customHeight="1" x14ac:dyDescent="0.2"/>
    <row r="76" ht="11.25" customHeight="1" x14ac:dyDescent="0.2"/>
    <row r="77" ht="11.25" customHeight="1" x14ac:dyDescent="0.2"/>
    <row r="78" ht="11.25" customHeight="1" x14ac:dyDescent="0.2"/>
    <row r="79" ht="11.25" customHeight="1" x14ac:dyDescent="0.2"/>
    <row r="80" ht="11.25" customHeight="1" x14ac:dyDescent="0.2"/>
    <row r="81" ht="11.25" customHeight="1" x14ac:dyDescent="0.2"/>
    <row r="82" ht="11.25" customHeight="1" x14ac:dyDescent="0.2"/>
    <row r="83" ht="11.25" customHeight="1" x14ac:dyDescent="0.2"/>
    <row r="84" ht="11.25" customHeight="1" x14ac:dyDescent="0.2"/>
    <row r="85" ht="11.25" customHeight="1" x14ac:dyDescent="0.2"/>
    <row r="86" ht="11.25" customHeight="1" x14ac:dyDescent="0.2"/>
    <row r="1048569" x14ac:dyDescent="0.2"/>
    <row r="1048570" x14ac:dyDescent="0.2"/>
    <row r="1048571" x14ac:dyDescent="0.2"/>
    <row r="1048572" x14ac:dyDescent="0.2"/>
    <row r="1048573" x14ac:dyDescent="0.2"/>
    <row r="1048574" x14ac:dyDescent="0.2"/>
    <row r="1048575" x14ac:dyDescent="0.2"/>
    <row r="1048576" x14ac:dyDescent="0.2"/>
  </sheetData>
  <mergeCells count="1">
    <mergeCell ref="B38:C38"/>
  </mergeCells>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FC196"/>
  <sheetViews>
    <sheetView topLeftCell="A5" zoomScale="90" zoomScaleNormal="90" workbookViewId="0">
      <selection activeCell="L16" sqref="L16"/>
    </sheetView>
  </sheetViews>
  <sheetFormatPr defaultColWidth="10.28515625" defaultRowHeight="11.25" x14ac:dyDescent="0.2"/>
  <cols>
    <col min="1" max="1" width="55.42578125" style="18" customWidth="1"/>
    <col min="2" max="2" width="12.7109375" style="18" customWidth="1"/>
    <col min="3" max="4" width="11.140625" style="18" customWidth="1"/>
    <col min="5" max="5" width="11.42578125" style="18" customWidth="1"/>
    <col min="6" max="6" width="11.5703125" style="18" customWidth="1"/>
    <col min="7" max="10" width="11.140625" style="18" customWidth="1"/>
    <col min="11" max="11" width="1.85546875" style="18" customWidth="1"/>
    <col min="12" max="12" width="51.7109375" style="18" customWidth="1"/>
    <col min="13" max="13" width="10.5703125" style="18" customWidth="1"/>
    <col min="14" max="14" width="4.140625" style="18" customWidth="1"/>
    <col min="15" max="16383" width="10.28515625" style="18" hidden="1"/>
    <col min="16384" max="16384" width="13.7109375" style="18" customWidth="1"/>
  </cols>
  <sheetData>
    <row r="1" spans="1:15" s="20" customFormat="1" ht="15.75" customHeight="1" thickBot="1" x14ac:dyDescent="0.25">
      <c r="A1" s="19"/>
      <c r="B1" s="19"/>
      <c r="C1" s="19"/>
      <c r="D1" s="19"/>
      <c r="E1" s="19"/>
      <c r="F1" s="18"/>
      <c r="G1" s="18"/>
      <c r="H1" s="18"/>
      <c r="I1" s="19"/>
      <c r="J1" s="19"/>
    </row>
    <row r="2" spans="1:15" s="20" customFormat="1" ht="18" customHeight="1" thickBot="1" x14ac:dyDescent="0.25">
      <c r="A2" s="410" t="s">
        <v>380</v>
      </c>
      <c r="B2" s="410"/>
      <c r="C2" s="410"/>
      <c r="D2" s="410"/>
      <c r="E2" s="410"/>
      <c r="F2" s="410"/>
      <c r="G2" s="410"/>
      <c r="H2" s="410"/>
      <c r="I2" s="410"/>
      <c r="J2" s="410"/>
      <c r="K2" s="410"/>
    </row>
    <row r="3" spans="1:15" s="20" customFormat="1" ht="18.75" customHeight="1" x14ac:dyDescent="0.2">
      <c r="A3" s="19"/>
      <c r="B3" s="19"/>
      <c r="C3" s="419"/>
      <c r="D3" s="419"/>
      <c r="E3" s="419"/>
      <c r="F3" s="417"/>
      <c r="G3" s="417"/>
      <c r="H3" s="417"/>
      <c r="I3" s="452"/>
      <c r="J3" s="452"/>
    </row>
    <row r="4" spans="1:15" s="21" customFormat="1" ht="20.25" customHeight="1" x14ac:dyDescent="0.25">
      <c r="A4" s="418" t="s">
        <v>361</v>
      </c>
      <c r="B4" s="408" t="s">
        <v>20</v>
      </c>
      <c r="C4" s="419"/>
      <c r="D4" s="419"/>
      <c r="E4" s="419"/>
      <c r="F4" s="417"/>
      <c r="G4" s="417"/>
      <c r="H4" s="417"/>
      <c r="I4" s="452"/>
      <c r="J4" s="452"/>
      <c r="K4" s="18"/>
      <c r="L4" s="18"/>
      <c r="M4" s="18"/>
      <c r="N4" s="18"/>
      <c r="O4" s="18"/>
    </row>
    <row r="5" spans="1:15" s="21" customFormat="1" ht="15.75" x14ac:dyDescent="0.25">
      <c r="A5" s="418" t="s">
        <v>21</v>
      </c>
      <c r="B5" s="408"/>
      <c r="C5" s="22"/>
      <c r="D5" s="18"/>
      <c r="E5" s="19"/>
      <c r="F5" s="23"/>
      <c r="G5" s="23"/>
      <c r="H5" s="23"/>
      <c r="I5" s="19"/>
      <c r="J5" s="19"/>
      <c r="K5" s="18"/>
      <c r="L5" s="18"/>
      <c r="M5" s="18"/>
      <c r="N5" s="18"/>
      <c r="O5" s="18"/>
    </row>
    <row r="6" spans="1:15" s="21" customFormat="1" ht="14.25" customHeight="1" x14ac:dyDescent="0.2">
      <c r="A6" s="24"/>
      <c r="B6" s="24"/>
      <c r="D6" s="18"/>
      <c r="E6" s="19"/>
      <c r="F6" s="23"/>
      <c r="G6" s="23"/>
      <c r="H6" s="23"/>
      <c r="I6" s="19"/>
      <c r="J6" s="19"/>
      <c r="K6" s="18"/>
      <c r="L6" s="18"/>
      <c r="M6" s="18"/>
      <c r="N6" s="18"/>
      <c r="O6" s="18"/>
    </row>
    <row r="7" spans="1:15" s="21" customFormat="1" hidden="1" x14ac:dyDescent="0.2">
      <c r="B7" s="19"/>
      <c r="C7" s="25"/>
      <c r="D7" s="25"/>
      <c r="E7" s="25"/>
      <c r="F7" s="25"/>
      <c r="G7" s="25">
        <f>IF(ISERR(IF(G34="DD/MM/YY","",ROUND((G34-F34)/30,0))),"",IF(G34="DD/MM/YY","",ROUND((G34-F34)/30,0)))</f>
        <v>12</v>
      </c>
      <c r="H7" s="25"/>
      <c r="I7" s="25"/>
      <c r="J7" s="25"/>
      <c r="K7" s="18"/>
      <c r="L7" s="18"/>
      <c r="M7" s="18"/>
      <c r="N7" s="18"/>
      <c r="O7" s="18"/>
    </row>
    <row r="8" spans="1:15" s="21" customFormat="1" ht="20.25" customHeight="1" x14ac:dyDescent="0.2">
      <c r="A8" s="24"/>
      <c r="B8" s="18"/>
      <c r="C8" s="18"/>
      <c r="D8" s="18"/>
      <c r="E8" s="18"/>
      <c r="F8" s="18"/>
      <c r="G8" s="18"/>
      <c r="H8" s="18"/>
      <c r="I8" s="18"/>
      <c r="J8" s="18"/>
      <c r="K8" s="18"/>
      <c r="L8" s="18"/>
      <c r="M8" s="18"/>
      <c r="N8" s="18"/>
      <c r="O8" s="18"/>
    </row>
    <row r="9" spans="1:15" s="21" customFormat="1" ht="18" customHeight="1" x14ac:dyDescent="0.2">
      <c r="A9" s="24"/>
      <c r="C9" s="18"/>
      <c r="D9" s="18"/>
      <c r="E9" s="18"/>
      <c r="F9" s="18"/>
      <c r="G9" s="18"/>
      <c r="H9" s="18"/>
      <c r="I9" s="18"/>
      <c r="J9" s="18"/>
      <c r="K9" s="18"/>
      <c r="L9" s="18"/>
      <c r="M9" s="18"/>
      <c r="N9" s="18"/>
      <c r="O9" s="18"/>
    </row>
    <row r="10" spans="1:15" s="21" customFormat="1" ht="10.5" customHeight="1" x14ac:dyDescent="0.2">
      <c r="A10" s="26"/>
      <c r="B10" s="18"/>
      <c r="C10" s="18"/>
      <c r="D10" s="18"/>
      <c r="E10" s="18"/>
      <c r="F10" s="18"/>
      <c r="G10" s="18"/>
      <c r="H10" s="18"/>
      <c r="I10" s="18"/>
      <c r="J10" s="18"/>
      <c r="K10" s="18"/>
      <c r="L10" s="18"/>
      <c r="M10" s="18"/>
      <c r="N10" s="18"/>
      <c r="O10" s="18"/>
    </row>
    <row r="11" spans="1:15" s="21" customFormat="1" ht="10.5" customHeight="1" x14ac:dyDescent="0.2">
      <c r="A11" s="410" t="s">
        <v>22</v>
      </c>
      <c r="B11" s="411"/>
      <c r="C11" s="411"/>
      <c r="D11" s="412"/>
      <c r="E11" s="412"/>
      <c r="F11" s="412"/>
      <c r="G11" s="412"/>
      <c r="H11" s="412"/>
      <c r="I11" s="412"/>
      <c r="J11" s="412"/>
      <c r="K11" s="413"/>
      <c r="L11" s="18"/>
      <c r="M11" s="18"/>
      <c r="N11" s="18"/>
      <c r="O11" s="18"/>
    </row>
    <row r="12" spans="1:15" ht="10.5" customHeight="1" x14ac:dyDescent="0.2">
      <c r="A12" s="31"/>
      <c r="B12" s="32" t="s">
        <v>23</v>
      </c>
      <c r="C12" s="32" t="s">
        <v>24</v>
      </c>
      <c r="D12" s="32" t="s">
        <v>25</v>
      </c>
      <c r="E12" s="32" t="s">
        <v>26</v>
      </c>
      <c r="F12" s="32" t="s">
        <v>27</v>
      </c>
      <c r="G12" s="32" t="s">
        <v>28</v>
      </c>
      <c r="H12" s="32" t="s">
        <v>29</v>
      </c>
      <c r="I12" s="32" t="s">
        <v>30</v>
      </c>
      <c r="J12" s="32"/>
      <c r="K12" s="33"/>
      <c r="L12" s="451"/>
    </row>
    <row r="13" spans="1:15" s="21" customFormat="1" ht="10.5" customHeight="1" x14ac:dyDescent="0.2">
      <c r="A13" s="34" t="s">
        <v>31</v>
      </c>
      <c r="B13" s="409">
        <f>C13-365</f>
        <v>43465</v>
      </c>
      <c r="C13" s="409">
        <f>D13-366</f>
        <v>43830</v>
      </c>
      <c r="D13" s="409">
        <v>44196</v>
      </c>
      <c r="E13" s="409">
        <v>44561</v>
      </c>
      <c r="F13" s="409">
        <f t="shared" ref="F13:H13" si="0">E13+365</f>
        <v>44926</v>
      </c>
      <c r="G13" s="409">
        <f>F13+365</f>
        <v>45291</v>
      </c>
      <c r="H13" s="409">
        <f t="shared" si="0"/>
        <v>45656</v>
      </c>
      <c r="I13" s="409">
        <f>H13+366</f>
        <v>46022</v>
      </c>
      <c r="J13" s="35"/>
      <c r="K13" s="33"/>
      <c r="L13" s="451"/>
      <c r="M13" s="18"/>
      <c r="N13" s="18"/>
      <c r="O13" s="18"/>
    </row>
    <row r="14" spans="1:15" s="21" customFormat="1" ht="10.5" customHeight="1" x14ac:dyDescent="0.2">
      <c r="A14" s="36" t="s">
        <v>32</v>
      </c>
      <c r="B14" s="18">
        <f>B15+B16</f>
        <v>21</v>
      </c>
      <c r="C14" s="18">
        <f>C15+C16</f>
        <v>32</v>
      </c>
      <c r="D14" s="18">
        <f t="shared" ref="D14:I14" si="1">D15+D16</f>
        <v>34</v>
      </c>
      <c r="E14" s="18">
        <f t="shared" si="1"/>
        <v>38</v>
      </c>
      <c r="F14" s="18">
        <f t="shared" si="1"/>
        <v>44</v>
      </c>
      <c r="G14" s="18">
        <f t="shared" si="1"/>
        <v>67</v>
      </c>
      <c r="H14" s="18">
        <f t="shared" si="1"/>
        <v>67</v>
      </c>
      <c r="I14" s="18">
        <f t="shared" si="1"/>
        <v>67</v>
      </c>
      <c r="J14" s="37"/>
      <c r="K14" s="33"/>
      <c r="L14" s="451"/>
      <c r="M14" s="18"/>
      <c r="N14" s="18"/>
      <c r="O14" s="18"/>
    </row>
    <row r="15" spans="1:15" s="21" customFormat="1" ht="10.5" customHeight="1" x14ac:dyDescent="0.2">
      <c r="A15" s="36" t="s">
        <v>33</v>
      </c>
      <c r="B15" s="18">
        <v>16</v>
      </c>
      <c r="C15" s="18">
        <v>18</v>
      </c>
      <c r="D15" s="18">
        <v>18</v>
      </c>
      <c r="E15" s="18">
        <v>22</v>
      </c>
      <c r="F15" s="18">
        <v>28</v>
      </c>
      <c r="G15" s="18">
        <v>50</v>
      </c>
      <c r="H15" s="18">
        <f t="shared" ref="H15:I29" si="2">G15</f>
        <v>50</v>
      </c>
      <c r="I15" s="18">
        <f t="shared" si="2"/>
        <v>50</v>
      </c>
      <c r="J15" s="37"/>
      <c r="K15" s="33"/>
      <c r="L15" s="451"/>
      <c r="M15" s="18"/>
      <c r="N15" s="18"/>
      <c r="O15" s="18"/>
    </row>
    <row r="16" spans="1:15" s="21" customFormat="1" ht="10.5" customHeight="1" x14ac:dyDescent="0.2">
      <c r="A16" s="36" t="s">
        <v>34</v>
      </c>
      <c r="B16" s="18">
        <v>5</v>
      </c>
      <c r="C16" s="18">
        <v>14</v>
      </c>
      <c r="D16" s="18">
        <v>16</v>
      </c>
      <c r="E16" s="18">
        <v>16</v>
      </c>
      <c r="F16" s="18">
        <v>16</v>
      </c>
      <c r="G16" s="18">
        <v>17</v>
      </c>
      <c r="H16" s="18">
        <f t="shared" si="2"/>
        <v>17</v>
      </c>
      <c r="I16" s="18">
        <f t="shared" si="2"/>
        <v>17</v>
      </c>
      <c r="J16" s="37"/>
      <c r="K16" s="33"/>
      <c r="L16" s="63">
        <f>'Cash flow'!D13</f>
        <v>0</v>
      </c>
      <c r="M16" s="18"/>
      <c r="N16" s="18"/>
      <c r="O16" s="18"/>
    </row>
    <row r="17" spans="1:15" s="21" customFormat="1" ht="10.5" customHeight="1" x14ac:dyDescent="0.2">
      <c r="A17" s="36" t="s">
        <v>35</v>
      </c>
      <c r="B17" s="18"/>
      <c r="C17" s="18"/>
      <c r="D17" s="18"/>
      <c r="E17" s="18"/>
      <c r="F17" s="18"/>
      <c r="G17" s="18"/>
      <c r="H17" s="18">
        <f t="shared" si="2"/>
        <v>0</v>
      </c>
      <c r="I17" s="18">
        <f t="shared" si="2"/>
        <v>0</v>
      </c>
      <c r="J17" s="37"/>
      <c r="K17" s="33"/>
      <c r="L17" s="18"/>
      <c r="M17" s="18"/>
      <c r="N17" s="18"/>
      <c r="O17" s="18"/>
    </row>
    <row r="18" spans="1:15" s="21" customFormat="1" ht="10.5" customHeight="1" x14ac:dyDescent="0.2">
      <c r="A18" s="36" t="s">
        <v>36</v>
      </c>
      <c r="B18" s="18">
        <f>B43+B51</f>
        <v>1059.45</v>
      </c>
      <c r="C18" s="18">
        <f t="shared" ref="C18:G18" si="3">C43+C51</f>
        <v>1185</v>
      </c>
      <c r="D18" s="18">
        <f t="shared" si="3"/>
        <v>1311</v>
      </c>
      <c r="E18" s="18">
        <f t="shared" si="3"/>
        <v>1432</v>
      </c>
      <c r="F18" s="18">
        <f t="shared" si="3"/>
        <v>1567</v>
      </c>
      <c r="G18" s="18">
        <f t="shared" si="3"/>
        <v>1615</v>
      </c>
      <c r="H18" s="18">
        <f t="shared" si="2"/>
        <v>1615</v>
      </c>
      <c r="I18" s="18">
        <f t="shared" si="2"/>
        <v>1615</v>
      </c>
      <c r="J18" s="37"/>
      <c r="K18" s="33"/>
      <c r="L18" s="18"/>
      <c r="M18" s="18"/>
      <c r="N18" s="18"/>
      <c r="O18" s="18"/>
    </row>
    <row r="19" spans="1:15" s="21" customFormat="1" ht="10.5" hidden="1" customHeight="1" x14ac:dyDescent="0.2">
      <c r="A19" s="38" t="s">
        <v>37</v>
      </c>
      <c r="B19" s="18"/>
      <c r="C19" s="18"/>
      <c r="D19" s="18"/>
      <c r="E19" s="18"/>
      <c r="F19" s="18"/>
      <c r="G19" s="18"/>
      <c r="H19" s="18">
        <f t="shared" si="2"/>
        <v>0</v>
      </c>
      <c r="I19" s="18">
        <f t="shared" si="2"/>
        <v>0</v>
      </c>
      <c r="J19" s="37"/>
      <c r="K19" s="33"/>
      <c r="L19" s="18"/>
      <c r="M19" s="18"/>
      <c r="N19" s="18"/>
      <c r="O19" s="18"/>
    </row>
    <row r="20" spans="1:15" s="21" customFormat="1" ht="10.5" customHeight="1" x14ac:dyDescent="0.2">
      <c r="A20" s="36" t="s">
        <v>38</v>
      </c>
      <c r="B20" s="18">
        <v>262</v>
      </c>
      <c r="C20" s="18">
        <v>334</v>
      </c>
      <c r="D20" s="18">
        <v>536</v>
      </c>
      <c r="E20" s="18">
        <v>692</v>
      </c>
      <c r="F20" s="18">
        <v>660</v>
      </c>
      <c r="G20" s="18">
        <v>803</v>
      </c>
      <c r="H20" s="18">
        <f t="shared" si="2"/>
        <v>803</v>
      </c>
      <c r="I20" s="18">
        <f t="shared" si="2"/>
        <v>803</v>
      </c>
      <c r="J20" s="37"/>
      <c r="K20" s="33"/>
      <c r="L20" s="18"/>
      <c r="M20" s="18"/>
      <c r="N20" s="18"/>
      <c r="O20" s="18"/>
    </row>
    <row r="21" spans="1:15" s="21" customFormat="1" ht="10.5" customHeight="1" x14ac:dyDescent="0.2">
      <c r="A21" s="36" t="s">
        <v>39</v>
      </c>
      <c r="B21" s="18"/>
      <c r="C21" s="18"/>
      <c r="D21" s="18"/>
      <c r="E21" s="18"/>
      <c r="F21" s="18"/>
      <c r="G21" s="18"/>
      <c r="H21" s="18">
        <f t="shared" si="2"/>
        <v>0</v>
      </c>
      <c r="I21" s="18">
        <f t="shared" si="2"/>
        <v>0</v>
      </c>
      <c r="J21" s="37"/>
      <c r="K21" s="33"/>
      <c r="L21" s="18"/>
      <c r="M21" s="18"/>
      <c r="N21" s="18"/>
      <c r="O21" s="18"/>
    </row>
    <row r="22" spans="1:15" s="21" customFormat="1" ht="10.5" hidden="1" customHeight="1" x14ac:dyDescent="0.2">
      <c r="A22" s="38" t="s">
        <v>40</v>
      </c>
      <c r="B22" s="18"/>
      <c r="C22" s="18"/>
      <c r="D22" s="18"/>
      <c r="E22" s="18"/>
      <c r="F22" s="18"/>
      <c r="G22" s="18"/>
      <c r="H22" s="18">
        <f t="shared" si="2"/>
        <v>0</v>
      </c>
      <c r="I22" s="18">
        <f t="shared" si="2"/>
        <v>0</v>
      </c>
      <c r="J22" s="37"/>
      <c r="K22" s="33"/>
      <c r="L22" s="18"/>
      <c r="M22" s="18"/>
      <c r="N22" s="18"/>
      <c r="O22" s="18"/>
    </row>
    <row r="23" spans="1:15" s="21" customFormat="1" ht="10.5" hidden="1" customHeight="1" x14ac:dyDescent="0.2">
      <c r="A23" s="38" t="s">
        <v>41</v>
      </c>
      <c r="B23" s="18"/>
      <c r="C23" s="18"/>
      <c r="D23" s="18"/>
      <c r="E23" s="18"/>
      <c r="F23" s="18"/>
      <c r="G23" s="18"/>
      <c r="H23" s="18">
        <f t="shared" si="2"/>
        <v>0</v>
      </c>
      <c r="I23" s="18">
        <f t="shared" si="2"/>
        <v>0</v>
      </c>
      <c r="J23" s="37"/>
      <c r="K23" s="33"/>
      <c r="L23" s="18"/>
      <c r="M23" s="18"/>
      <c r="N23" s="18"/>
      <c r="O23" s="18"/>
    </row>
    <row r="24" spans="1:15" s="21" customFormat="1" ht="10.5" hidden="1" customHeight="1" x14ac:dyDescent="0.2">
      <c r="A24" s="38" t="s">
        <v>42</v>
      </c>
      <c r="B24" s="18"/>
      <c r="C24" s="18"/>
      <c r="D24" s="18"/>
      <c r="E24" s="18"/>
      <c r="F24" s="18"/>
      <c r="G24" s="18"/>
      <c r="H24" s="18">
        <f t="shared" si="2"/>
        <v>0</v>
      </c>
      <c r="I24" s="18">
        <f t="shared" si="2"/>
        <v>0</v>
      </c>
      <c r="J24" s="37"/>
      <c r="K24" s="33"/>
      <c r="L24" s="18"/>
      <c r="M24" s="18"/>
      <c r="N24" s="18"/>
      <c r="O24" s="18"/>
    </row>
    <row r="25" spans="1:15" s="21" customFormat="1" ht="10.5" hidden="1" customHeight="1" x14ac:dyDescent="0.2">
      <c r="A25" s="38" t="s">
        <v>43</v>
      </c>
      <c r="B25" s="18"/>
      <c r="C25" s="18"/>
      <c r="D25" s="18"/>
      <c r="E25" s="18">
        <v>29.5</v>
      </c>
      <c r="F25" s="18">
        <v>30</v>
      </c>
      <c r="G25" s="18">
        <v>29.5</v>
      </c>
      <c r="H25" s="18">
        <f t="shared" si="2"/>
        <v>29.5</v>
      </c>
      <c r="I25" s="18">
        <f t="shared" si="2"/>
        <v>29.5</v>
      </c>
      <c r="J25" s="37"/>
      <c r="K25" s="33"/>
      <c r="L25" s="18"/>
      <c r="M25" s="18"/>
      <c r="N25" s="18"/>
      <c r="O25" s="18"/>
    </row>
    <row r="26" spans="1:15" s="21" customFormat="1" ht="10.5" hidden="1" customHeight="1" x14ac:dyDescent="0.2">
      <c r="A26" s="38" t="s">
        <v>44</v>
      </c>
      <c r="B26" s="18"/>
      <c r="C26" s="18"/>
      <c r="D26" s="18"/>
      <c r="E26" s="18"/>
      <c r="F26" s="18"/>
      <c r="G26" s="18"/>
      <c r="H26" s="18">
        <f t="shared" si="2"/>
        <v>0</v>
      </c>
      <c r="I26" s="18">
        <f t="shared" si="2"/>
        <v>0</v>
      </c>
      <c r="J26" s="37"/>
      <c r="K26" s="33"/>
      <c r="L26" s="18"/>
      <c r="M26" s="18"/>
      <c r="N26" s="18"/>
      <c r="O26" s="18"/>
    </row>
    <row r="27" spans="1:15" s="21" customFormat="1" ht="10.5" customHeight="1" x14ac:dyDescent="0.2">
      <c r="A27" s="36" t="s">
        <v>45</v>
      </c>
      <c r="B27" s="18"/>
      <c r="C27" s="18"/>
      <c r="D27" s="18"/>
      <c r="E27" s="18"/>
      <c r="F27" s="18"/>
      <c r="G27" s="18"/>
      <c r="H27" s="18">
        <f t="shared" si="2"/>
        <v>0</v>
      </c>
      <c r="I27" s="18">
        <f t="shared" si="2"/>
        <v>0</v>
      </c>
      <c r="J27" s="37"/>
      <c r="K27" s="33"/>
      <c r="L27" s="18"/>
      <c r="M27" s="18"/>
      <c r="N27" s="18"/>
      <c r="O27" s="18"/>
    </row>
    <row r="28" spans="1:15" s="21" customFormat="1" ht="10.5" customHeight="1" x14ac:dyDescent="0.2">
      <c r="A28" s="36" t="s">
        <v>46</v>
      </c>
      <c r="B28" s="18"/>
      <c r="C28" s="18"/>
      <c r="D28" s="18"/>
      <c r="E28" s="18"/>
      <c r="F28" s="18"/>
      <c r="G28" s="18"/>
      <c r="H28" s="18">
        <f t="shared" si="2"/>
        <v>0</v>
      </c>
      <c r="I28" s="18">
        <f t="shared" si="2"/>
        <v>0</v>
      </c>
      <c r="J28" s="37"/>
      <c r="K28" s="33"/>
      <c r="L28" s="18"/>
      <c r="M28" s="18"/>
      <c r="N28" s="18"/>
      <c r="O28" s="18"/>
    </row>
    <row r="29" spans="1:15" s="21" customFormat="1" ht="10.5" customHeight="1" x14ac:dyDescent="0.2">
      <c r="A29" s="36" t="s">
        <v>47</v>
      </c>
      <c r="B29" s="18"/>
      <c r="C29" s="18"/>
      <c r="D29" s="18"/>
      <c r="E29" s="18"/>
      <c r="F29" s="18"/>
      <c r="G29" s="18"/>
      <c r="H29" s="18">
        <f>G29</f>
        <v>0</v>
      </c>
      <c r="I29" s="18">
        <f t="shared" si="2"/>
        <v>0</v>
      </c>
      <c r="J29" s="37"/>
      <c r="K29" s="33"/>
      <c r="L29" s="18"/>
      <c r="M29" s="18"/>
      <c r="N29" s="18"/>
      <c r="O29" s="18"/>
    </row>
    <row r="30" spans="1:15" s="21" customFormat="1" ht="10.5" customHeight="1" thickBot="1" x14ac:dyDescent="0.25">
      <c r="A30" s="415" t="s">
        <v>48</v>
      </c>
      <c r="B30" s="416"/>
      <c r="C30" s="416"/>
      <c r="D30" s="416"/>
      <c r="E30" s="416"/>
      <c r="F30" s="416"/>
      <c r="G30" s="416"/>
      <c r="H30" s="416"/>
      <c r="I30" s="416"/>
      <c r="J30" s="416"/>
      <c r="K30" s="39"/>
      <c r="L30" s="18"/>
      <c r="M30" s="18"/>
      <c r="N30" s="18"/>
      <c r="O30" s="18"/>
    </row>
    <row r="31" spans="1:15" s="21" customFormat="1" ht="10.5" customHeight="1" x14ac:dyDescent="0.2">
      <c r="A31" s="26"/>
      <c r="B31" s="18"/>
      <c r="C31" s="18"/>
      <c r="D31" s="18"/>
      <c r="E31" s="18"/>
      <c r="F31" s="18"/>
      <c r="G31" s="18"/>
      <c r="H31" s="18"/>
      <c r="I31" s="18"/>
      <c r="J31" s="18"/>
      <c r="K31" s="18"/>
      <c r="L31" s="18"/>
      <c r="M31" s="18"/>
      <c r="N31" s="18"/>
      <c r="O31" s="18"/>
    </row>
    <row r="32" spans="1:15" s="21" customFormat="1" ht="10.5" customHeight="1" x14ac:dyDescent="0.2">
      <c r="A32" s="26"/>
      <c r="B32" s="18"/>
      <c r="C32" s="18"/>
      <c r="D32" s="18"/>
      <c r="E32" s="18"/>
      <c r="F32" s="18"/>
      <c r="G32" s="18"/>
      <c r="H32" s="18"/>
      <c r="I32" s="18"/>
      <c r="J32" s="18"/>
      <c r="K32" s="18"/>
      <c r="L32" s="18"/>
      <c r="M32" s="18"/>
      <c r="N32" s="18"/>
      <c r="O32" s="18"/>
    </row>
    <row r="33" spans="1:15" s="21" customFormat="1" x14ac:dyDescent="0.2">
      <c r="A33" s="410" t="s">
        <v>49</v>
      </c>
      <c r="B33" s="412"/>
      <c r="C33" s="412"/>
      <c r="D33" s="412"/>
      <c r="E33" s="412"/>
      <c r="F33" s="412"/>
      <c r="G33" s="412"/>
      <c r="H33" s="412"/>
      <c r="I33" s="412"/>
      <c r="J33" s="412"/>
      <c r="K33" s="414"/>
      <c r="L33" s="18"/>
      <c r="M33" s="18"/>
      <c r="N33" s="18"/>
      <c r="O33" s="18"/>
    </row>
    <row r="34" spans="1:15" s="21" customFormat="1" ht="11.25" customHeight="1" x14ac:dyDescent="0.2">
      <c r="A34" s="41" t="s">
        <v>31</v>
      </c>
      <c r="B34" s="42">
        <f t="shared" ref="B34:I34" si="4">B13</f>
        <v>43465</v>
      </c>
      <c r="C34" s="43">
        <f t="shared" si="4"/>
        <v>43830</v>
      </c>
      <c r="D34" s="43">
        <f t="shared" si="4"/>
        <v>44196</v>
      </c>
      <c r="E34" s="43">
        <f t="shared" si="4"/>
        <v>44561</v>
      </c>
      <c r="F34" s="43">
        <f t="shared" si="4"/>
        <v>44926</v>
      </c>
      <c r="G34" s="43">
        <f t="shared" si="4"/>
        <v>45291</v>
      </c>
      <c r="H34" s="43">
        <f t="shared" si="4"/>
        <v>45656</v>
      </c>
      <c r="I34" s="43">
        <f t="shared" si="4"/>
        <v>46022</v>
      </c>
      <c r="J34" s="43"/>
      <c r="K34" s="44"/>
      <c r="L34" s="451"/>
      <c r="M34" s="18"/>
      <c r="N34" s="18"/>
      <c r="O34" s="18"/>
    </row>
    <row r="35" spans="1:15" s="21" customFormat="1" x14ac:dyDescent="0.2">
      <c r="A35" s="41" t="s">
        <v>50</v>
      </c>
      <c r="B35" s="45" t="s">
        <v>51</v>
      </c>
      <c r="C35" s="20" t="s">
        <v>51</v>
      </c>
      <c r="D35" s="20" t="s">
        <v>52</v>
      </c>
      <c r="E35" s="20" t="s">
        <v>53</v>
      </c>
      <c r="F35" s="20" t="s">
        <v>53</v>
      </c>
      <c r="G35" s="20" t="s">
        <v>53</v>
      </c>
      <c r="H35" s="20" t="s">
        <v>53</v>
      </c>
      <c r="I35" s="20" t="s">
        <v>53</v>
      </c>
      <c r="J35" s="20"/>
      <c r="K35" s="33"/>
      <c r="L35" s="451"/>
      <c r="M35" s="18"/>
      <c r="N35" s="18"/>
      <c r="O35" s="18"/>
    </row>
    <row r="36" spans="1:15" s="21" customFormat="1" x14ac:dyDescent="0.2">
      <c r="A36" s="34" t="s">
        <v>54</v>
      </c>
      <c r="B36" s="46" t="s">
        <v>55</v>
      </c>
      <c r="C36" s="47" t="s">
        <v>55</v>
      </c>
      <c r="D36" s="47" t="s">
        <v>55</v>
      </c>
      <c r="E36" s="47" t="s">
        <v>55</v>
      </c>
      <c r="F36" s="47" t="s">
        <v>55</v>
      </c>
      <c r="G36" s="47" t="s">
        <v>55</v>
      </c>
      <c r="H36" s="47" t="s">
        <v>55</v>
      </c>
      <c r="I36" s="47" t="s">
        <v>55</v>
      </c>
      <c r="J36" s="47"/>
      <c r="K36" s="33"/>
      <c r="L36" s="451"/>
      <c r="M36" s="18"/>
      <c r="N36" s="18"/>
      <c r="O36" s="18"/>
    </row>
    <row r="37" spans="1:15" s="21" customFormat="1" x14ac:dyDescent="0.2">
      <c r="A37" s="36" t="s">
        <v>56</v>
      </c>
      <c r="B37" s="37">
        <v>334</v>
      </c>
      <c r="C37" s="37">
        <v>639</v>
      </c>
      <c r="D37" s="37">
        <v>811</v>
      </c>
      <c r="E37" s="37">
        <v>1082</v>
      </c>
      <c r="F37" s="37">
        <v>1100</v>
      </c>
      <c r="G37" s="37">
        <v>1202</v>
      </c>
      <c r="H37" s="37">
        <f>G37</f>
        <v>1202</v>
      </c>
      <c r="I37" s="37">
        <f>H37</f>
        <v>1202</v>
      </c>
      <c r="J37" s="37"/>
      <c r="K37" s="33"/>
      <c r="L37" s="451"/>
      <c r="M37" s="18"/>
      <c r="N37" s="18"/>
      <c r="O37" s="18"/>
    </row>
    <row r="38" spans="1:15" s="21" customFormat="1" x14ac:dyDescent="0.2">
      <c r="A38" s="36" t="s">
        <v>57</v>
      </c>
      <c r="B38" s="37">
        <v>0</v>
      </c>
      <c r="C38" s="37">
        <v>0</v>
      </c>
      <c r="D38" s="37"/>
      <c r="E38" s="37"/>
      <c r="F38" s="37"/>
      <c r="G38" s="37"/>
      <c r="H38" s="37">
        <f t="shared" ref="H38:I40" si="5">G38</f>
        <v>0</v>
      </c>
      <c r="I38" s="37">
        <f t="shared" si="5"/>
        <v>0</v>
      </c>
      <c r="J38" s="37"/>
      <c r="K38" s="33"/>
      <c r="L38" s="18"/>
      <c r="M38" s="18"/>
      <c r="N38" s="18"/>
      <c r="O38" s="18"/>
    </row>
    <row r="39" spans="1:15" s="21" customFormat="1" x14ac:dyDescent="0.2">
      <c r="A39" s="36" t="s">
        <v>58</v>
      </c>
      <c r="B39" s="37">
        <v>2751</v>
      </c>
      <c r="C39" s="37">
        <v>3343</v>
      </c>
      <c r="D39" s="37">
        <v>2405</v>
      </c>
      <c r="E39" s="37">
        <v>1635</v>
      </c>
      <c r="F39" s="37">
        <v>2439</v>
      </c>
      <c r="G39" s="37">
        <v>2608</v>
      </c>
      <c r="H39" s="37">
        <f t="shared" si="5"/>
        <v>2608</v>
      </c>
      <c r="I39" s="37">
        <f t="shared" si="5"/>
        <v>2608</v>
      </c>
      <c r="J39" s="37"/>
      <c r="K39" s="33"/>
      <c r="L39" s="18"/>
      <c r="M39" s="18"/>
      <c r="N39" s="18"/>
      <c r="O39" s="18"/>
    </row>
    <row r="40" spans="1:15" s="21" customFormat="1" x14ac:dyDescent="0.2">
      <c r="A40" s="36" t="s">
        <v>59</v>
      </c>
      <c r="B40" s="37">
        <v>32</v>
      </c>
      <c r="C40" s="37">
        <v>1</v>
      </c>
      <c r="D40" s="37">
        <v>2</v>
      </c>
      <c r="E40" s="37">
        <v>1</v>
      </c>
      <c r="F40" s="37">
        <v>1</v>
      </c>
      <c r="G40" s="37">
        <v>1</v>
      </c>
      <c r="H40" s="37">
        <f t="shared" si="5"/>
        <v>1</v>
      </c>
      <c r="I40" s="37">
        <f t="shared" si="5"/>
        <v>1</v>
      </c>
      <c r="J40" s="37"/>
      <c r="K40" s="33"/>
      <c r="L40" s="18"/>
      <c r="M40" s="18"/>
      <c r="N40" s="18"/>
      <c r="O40" s="18"/>
    </row>
    <row r="41" spans="1:15" s="21" customFormat="1" ht="10.5" customHeight="1" thickBot="1" x14ac:dyDescent="0.25">
      <c r="A41" s="34" t="s">
        <v>60</v>
      </c>
      <c r="B41" s="48">
        <f t="shared" ref="B41:G41" si="6">SUM(B37:B40)</f>
        <v>3117</v>
      </c>
      <c r="C41" s="48">
        <f t="shared" si="6"/>
        <v>3983</v>
      </c>
      <c r="D41" s="48">
        <f t="shared" si="6"/>
        <v>3218</v>
      </c>
      <c r="E41" s="48">
        <f t="shared" si="6"/>
        <v>2718</v>
      </c>
      <c r="F41" s="48">
        <f t="shared" si="6"/>
        <v>3540</v>
      </c>
      <c r="G41" s="48">
        <f t="shared" si="6"/>
        <v>3811</v>
      </c>
      <c r="H41" s="48">
        <f>SUM(H37:H40)</f>
        <v>3811</v>
      </c>
      <c r="I41" s="48">
        <f>SUM(I37:I40)</f>
        <v>3811</v>
      </c>
      <c r="J41" s="48"/>
      <c r="K41" s="33"/>
      <c r="L41" s="18"/>
      <c r="M41" s="18"/>
      <c r="N41" s="18"/>
      <c r="O41" s="18"/>
    </row>
    <row r="42" spans="1:15" s="21" customFormat="1" ht="3.75" customHeight="1" thickTop="1" x14ac:dyDescent="0.2">
      <c r="A42" s="49"/>
      <c r="B42" s="37"/>
      <c r="C42" s="37"/>
      <c r="D42" s="37"/>
      <c r="E42" s="37"/>
      <c r="F42" s="37"/>
      <c r="G42" s="37"/>
      <c r="H42" s="37"/>
      <c r="I42" s="37"/>
      <c r="J42" s="37"/>
      <c r="K42" s="33"/>
      <c r="L42" s="18"/>
      <c r="M42" s="18"/>
      <c r="N42" s="18"/>
      <c r="O42" s="18"/>
    </row>
    <row r="43" spans="1:15" s="21" customFormat="1" x14ac:dyDescent="0.2">
      <c r="A43" s="36" t="s">
        <v>61</v>
      </c>
      <c r="B43" s="37">
        <v>709.45</v>
      </c>
      <c r="C43" s="37">
        <v>801</v>
      </c>
      <c r="D43" s="37">
        <v>971</v>
      </c>
      <c r="E43" s="37">
        <v>1020</v>
      </c>
      <c r="F43" s="37">
        <v>1144</v>
      </c>
      <c r="G43" s="37">
        <v>1180</v>
      </c>
      <c r="H43" s="37">
        <f>G43</f>
        <v>1180</v>
      </c>
      <c r="I43" s="37">
        <f>H43</f>
        <v>1180</v>
      </c>
      <c r="J43" s="37"/>
      <c r="K43" s="33"/>
      <c r="L43" s="18"/>
      <c r="M43" s="18"/>
      <c r="N43" s="18"/>
      <c r="O43" s="18"/>
    </row>
    <row r="44" spans="1:15" s="21" customFormat="1" x14ac:dyDescent="0.2">
      <c r="A44" s="36" t="s">
        <v>62</v>
      </c>
      <c r="B44" s="37">
        <v>1160.45</v>
      </c>
      <c r="C44" s="37">
        <v>1269</v>
      </c>
      <c r="D44" s="37">
        <v>1204</v>
      </c>
      <c r="E44" s="37">
        <v>1022.45</v>
      </c>
      <c r="F44" s="37">
        <v>1286</v>
      </c>
      <c r="G44" s="37">
        <v>1410</v>
      </c>
      <c r="H44" s="37">
        <f t="shared" ref="H44:I45" si="7">G44</f>
        <v>1410</v>
      </c>
      <c r="I44" s="37">
        <f t="shared" si="7"/>
        <v>1410</v>
      </c>
      <c r="J44" s="37"/>
      <c r="K44" s="33"/>
      <c r="L44" s="18"/>
      <c r="M44" s="18"/>
      <c r="N44" s="18"/>
      <c r="O44" s="18"/>
    </row>
    <row r="45" spans="1:15" s="21" customFormat="1" x14ac:dyDescent="0.2">
      <c r="A45" s="36" t="s">
        <v>63</v>
      </c>
      <c r="B45" s="50">
        <v>216</v>
      </c>
      <c r="C45" s="50">
        <v>96</v>
      </c>
      <c r="D45" s="50">
        <v>13.7</v>
      </c>
      <c r="E45" s="50">
        <v>12</v>
      </c>
      <c r="F45" s="50">
        <v>12</v>
      </c>
      <c r="G45" s="50">
        <v>12</v>
      </c>
      <c r="H45" s="50">
        <f t="shared" si="7"/>
        <v>12</v>
      </c>
      <c r="I45" s="50">
        <f t="shared" si="7"/>
        <v>12</v>
      </c>
      <c r="J45" s="50"/>
      <c r="K45" s="33"/>
      <c r="L45" s="18"/>
      <c r="M45" s="18"/>
      <c r="N45" s="18"/>
      <c r="O45" s="18"/>
    </row>
    <row r="46" spans="1:15" s="21" customFormat="1" ht="12" thickBot="1" x14ac:dyDescent="0.25">
      <c r="A46" s="34" t="s">
        <v>64</v>
      </c>
      <c r="B46" s="48">
        <f t="shared" ref="B46:G46" si="8">SUM(B43:B45)</f>
        <v>2085.9</v>
      </c>
      <c r="C46" s="48">
        <f t="shared" si="8"/>
        <v>2166</v>
      </c>
      <c r="D46" s="48">
        <f t="shared" si="8"/>
        <v>2188.6999999999998</v>
      </c>
      <c r="E46" s="48">
        <f t="shared" si="8"/>
        <v>2054.4499999999998</v>
      </c>
      <c r="F46" s="48">
        <f t="shared" si="8"/>
        <v>2442</v>
      </c>
      <c r="G46" s="48">
        <f t="shared" si="8"/>
        <v>2602</v>
      </c>
      <c r="H46" s="48">
        <f>SUM(H43:H45)</f>
        <v>2602</v>
      </c>
      <c r="I46" s="48">
        <f>SUM(I43:I45)</f>
        <v>2602</v>
      </c>
      <c r="J46" s="48"/>
      <c r="K46" s="33"/>
      <c r="L46" s="18"/>
      <c r="M46" s="18"/>
      <c r="N46" s="18"/>
      <c r="O46" s="18"/>
    </row>
    <row r="47" spans="1:15" s="21" customFormat="1" ht="12" thickTop="1" x14ac:dyDescent="0.2">
      <c r="A47" s="49"/>
      <c r="B47" s="37"/>
      <c r="C47" s="37"/>
      <c r="D47" s="37"/>
      <c r="E47" s="37"/>
      <c r="F47" s="37"/>
      <c r="G47" s="37"/>
      <c r="H47" s="37"/>
      <c r="I47" s="37"/>
      <c r="J47" s="37"/>
      <c r="K47" s="33"/>
      <c r="L47" s="18"/>
      <c r="M47" s="18"/>
      <c r="N47" s="18"/>
      <c r="O47" s="18"/>
    </row>
    <row r="48" spans="1:15" s="21" customFormat="1" ht="12" thickBot="1" x14ac:dyDescent="0.25">
      <c r="A48" s="34" t="s">
        <v>65</v>
      </c>
      <c r="B48" s="51">
        <f t="shared" ref="B48:I48" si="9">B41-B46</f>
        <v>1031.0999999999999</v>
      </c>
      <c r="C48" s="51">
        <f t="shared" si="9"/>
        <v>1817</v>
      </c>
      <c r="D48" s="51">
        <f t="shared" si="9"/>
        <v>1029.3000000000002</v>
      </c>
      <c r="E48" s="51">
        <f t="shared" si="9"/>
        <v>663.55000000000018</v>
      </c>
      <c r="F48" s="51">
        <f t="shared" si="9"/>
        <v>1098</v>
      </c>
      <c r="G48" s="51">
        <f t="shared" si="9"/>
        <v>1209</v>
      </c>
      <c r="H48" s="51">
        <f t="shared" si="9"/>
        <v>1209</v>
      </c>
      <c r="I48" s="51">
        <f t="shared" si="9"/>
        <v>1209</v>
      </c>
      <c r="J48" s="51"/>
      <c r="K48" s="33"/>
      <c r="L48" s="18"/>
      <c r="M48" s="18"/>
      <c r="N48" s="18"/>
      <c r="O48" s="18"/>
    </row>
    <row r="49" spans="1:15" s="21" customFormat="1" ht="6" customHeight="1" thickTop="1" x14ac:dyDescent="0.2">
      <c r="A49" s="49"/>
      <c r="B49" s="37"/>
      <c r="C49" s="37"/>
      <c r="D49" s="37"/>
      <c r="E49" s="37"/>
      <c r="F49" s="37"/>
      <c r="G49" s="37"/>
      <c r="H49" s="37"/>
      <c r="I49" s="37"/>
      <c r="J49" s="37"/>
      <c r="K49" s="33"/>
      <c r="L49" s="18"/>
      <c r="M49" s="18"/>
      <c r="N49" s="18"/>
      <c r="O49" s="18"/>
    </row>
    <row r="50" spans="1:15" s="21" customFormat="1" x14ac:dyDescent="0.2">
      <c r="A50" s="36" t="s">
        <v>66</v>
      </c>
      <c r="B50" s="37">
        <v>512</v>
      </c>
      <c r="C50" s="37">
        <v>501</v>
      </c>
      <c r="D50" s="37">
        <f>487-137</f>
        <v>350</v>
      </c>
      <c r="E50" s="37">
        <v>514</v>
      </c>
      <c r="F50" s="37">
        <v>542</v>
      </c>
      <c r="G50" s="37">
        <v>569.6</v>
      </c>
      <c r="H50" s="37">
        <f>G50</f>
        <v>569.6</v>
      </c>
      <c r="I50" s="37">
        <f>H50</f>
        <v>569.6</v>
      </c>
      <c r="J50" s="37"/>
      <c r="K50" s="33"/>
      <c r="L50" s="18"/>
      <c r="M50" s="18"/>
      <c r="N50" s="18"/>
      <c r="O50" s="18"/>
    </row>
    <row r="51" spans="1:15" s="21" customFormat="1" x14ac:dyDescent="0.2">
      <c r="A51" s="36" t="s">
        <v>67</v>
      </c>
      <c r="B51" s="37">
        <v>350</v>
      </c>
      <c r="C51" s="37">
        <v>384</v>
      </c>
      <c r="D51" s="37">
        <v>340</v>
      </c>
      <c r="E51" s="37">
        <v>412</v>
      </c>
      <c r="F51" s="37">
        <v>423</v>
      </c>
      <c r="G51" s="37">
        <v>435</v>
      </c>
      <c r="H51" s="37">
        <f t="shared" ref="H51:I53" si="10">G51</f>
        <v>435</v>
      </c>
      <c r="I51" s="37">
        <f t="shared" si="10"/>
        <v>435</v>
      </c>
      <c r="J51" s="37"/>
      <c r="K51" s="33"/>
      <c r="L51" s="18"/>
      <c r="M51" s="18"/>
      <c r="N51" s="18"/>
      <c r="O51" s="18"/>
    </row>
    <row r="52" spans="1:15" s="21" customFormat="1" ht="3" customHeight="1" x14ac:dyDescent="0.2">
      <c r="A52" s="36"/>
      <c r="B52" s="37"/>
      <c r="C52" s="37"/>
      <c r="D52" s="37"/>
      <c r="E52" s="37"/>
      <c r="F52" s="37"/>
      <c r="G52" s="37"/>
      <c r="H52" s="37">
        <f t="shared" si="10"/>
        <v>0</v>
      </c>
      <c r="I52" s="37">
        <f t="shared" si="10"/>
        <v>0</v>
      </c>
      <c r="J52" s="37"/>
      <c r="K52" s="33"/>
      <c r="L52" s="18"/>
      <c r="M52" s="18"/>
      <c r="N52" s="18"/>
      <c r="O52" s="18"/>
    </row>
    <row r="53" spans="1:15" s="21" customFormat="1" x14ac:dyDescent="0.2">
      <c r="A53" s="36" t="s">
        <v>68</v>
      </c>
      <c r="B53" s="37"/>
      <c r="C53" s="37"/>
      <c r="D53" s="37"/>
      <c r="E53" s="37"/>
      <c r="F53" s="37"/>
      <c r="G53" s="37"/>
      <c r="H53" s="37">
        <f t="shared" si="10"/>
        <v>0</v>
      </c>
      <c r="I53" s="37">
        <f t="shared" si="10"/>
        <v>0</v>
      </c>
      <c r="J53" s="37"/>
      <c r="K53" s="33"/>
      <c r="L53" s="18"/>
      <c r="M53" s="18"/>
      <c r="N53" s="18"/>
      <c r="O53" s="18"/>
    </row>
    <row r="54" spans="1:15" s="21" customFormat="1" x14ac:dyDescent="0.2">
      <c r="A54" s="36" t="s">
        <v>69</v>
      </c>
      <c r="B54" s="37">
        <f t="shared" ref="B54:G54" si="11">SUM(B52:B53)</f>
        <v>0</v>
      </c>
      <c r="C54" s="37">
        <f>SUM(C52:C53)</f>
        <v>0</v>
      </c>
      <c r="D54" s="37">
        <f t="shared" si="11"/>
        <v>0</v>
      </c>
      <c r="E54" s="37">
        <f t="shared" si="11"/>
        <v>0</v>
      </c>
      <c r="F54" s="37">
        <f t="shared" si="11"/>
        <v>0</v>
      </c>
      <c r="G54" s="37">
        <f t="shared" si="11"/>
        <v>0</v>
      </c>
      <c r="H54" s="37">
        <f>SUM(H52:H53)</f>
        <v>0</v>
      </c>
      <c r="I54" s="37">
        <f>SUM(I52:I53)</f>
        <v>0</v>
      </c>
      <c r="J54" s="37"/>
      <c r="K54" s="33"/>
      <c r="L54" s="18"/>
      <c r="M54" s="18"/>
      <c r="N54" s="18"/>
      <c r="O54" s="18"/>
    </row>
    <row r="55" spans="1:15" s="21" customFormat="1" x14ac:dyDescent="0.2">
      <c r="A55" s="36" t="s">
        <v>70</v>
      </c>
      <c r="B55" s="52"/>
      <c r="C55" s="52"/>
      <c r="D55" s="52"/>
      <c r="E55" s="52"/>
      <c r="F55" s="52"/>
      <c r="G55" s="52"/>
      <c r="H55" s="52"/>
      <c r="I55" s="52"/>
      <c r="J55" s="52"/>
      <c r="K55" s="33"/>
      <c r="L55" s="18"/>
      <c r="M55" s="18"/>
      <c r="N55" s="18"/>
      <c r="O55" s="18"/>
    </row>
    <row r="56" spans="1:15" s="21" customFormat="1" ht="3" customHeight="1" x14ac:dyDescent="0.2">
      <c r="A56" s="36"/>
      <c r="B56" s="37"/>
      <c r="C56" s="37"/>
      <c r="D56" s="37"/>
      <c r="E56" s="37"/>
      <c r="F56" s="37"/>
      <c r="G56" s="37"/>
      <c r="H56" s="37">
        <v>0</v>
      </c>
      <c r="I56" s="37">
        <v>0</v>
      </c>
      <c r="J56" s="37"/>
      <c r="K56" s="33"/>
      <c r="L56" s="18"/>
      <c r="M56" s="18"/>
      <c r="N56" s="18"/>
      <c r="O56" s="18"/>
    </row>
    <row r="57" spans="1:15" s="21" customFormat="1" x14ac:dyDescent="0.2">
      <c r="A57" s="36" t="s">
        <v>71</v>
      </c>
      <c r="B57" s="37">
        <f t="shared" ref="B57:I57" si="12">SUM(B50:B56)-B54</f>
        <v>862</v>
      </c>
      <c r="C57" s="37">
        <f t="shared" si="12"/>
        <v>885</v>
      </c>
      <c r="D57" s="37">
        <f t="shared" si="12"/>
        <v>690</v>
      </c>
      <c r="E57" s="37">
        <f t="shared" si="12"/>
        <v>926</v>
      </c>
      <c r="F57" s="37">
        <f t="shared" si="12"/>
        <v>965</v>
      </c>
      <c r="G57" s="37">
        <f t="shared" si="12"/>
        <v>1004.6</v>
      </c>
      <c r="H57" s="37">
        <f t="shared" si="12"/>
        <v>1004.6</v>
      </c>
      <c r="I57" s="37">
        <f t="shared" si="12"/>
        <v>1004.6</v>
      </c>
      <c r="J57" s="37"/>
      <c r="K57" s="33"/>
      <c r="L57" s="18"/>
      <c r="M57" s="18"/>
      <c r="N57" s="18"/>
      <c r="O57" s="18"/>
    </row>
    <row r="58" spans="1:15" s="21" customFormat="1" ht="12" thickBot="1" x14ac:dyDescent="0.25">
      <c r="A58" s="34" t="s">
        <v>72</v>
      </c>
      <c r="B58" s="51"/>
      <c r="C58" s="51"/>
      <c r="D58" s="51"/>
      <c r="E58" s="51"/>
      <c r="F58" s="51"/>
      <c r="G58" s="51"/>
      <c r="H58" s="51"/>
      <c r="I58" s="51"/>
      <c r="J58" s="51"/>
      <c r="K58" s="33"/>
      <c r="L58" s="18"/>
      <c r="M58" s="18"/>
      <c r="N58" s="18"/>
      <c r="O58" s="18"/>
    </row>
    <row r="59" spans="1:15" s="21" customFormat="1" ht="12" thickTop="1" x14ac:dyDescent="0.2">
      <c r="A59" s="49"/>
      <c r="B59" s="37">
        <f t="shared" ref="B59:I59" si="13">+B48-B57</f>
        <v>169.09999999999991</v>
      </c>
      <c r="C59" s="37">
        <f t="shared" si="13"/>
        <v>932</v>
      </c>
      <c r="D59" s="37">
        <f t="shared" si="13"/>
        <v>339.30000000000018</v>
      </c>
      <c r="E59" s="37">
        <f t="shared" si="13"/>
        <v>-262.44999999999982</v>
      </c>
      <c r="F59" s="37">
        <f t="shared" si="13"/>
        <v>133</v>
      </c>
      <c r="G59" s="37">
        <f t="shared" si="13"/>
        <v>204.39999999999998</v>
      </c>
      <c r="H59" s="37">
        <f t="shared" si="13"/>
        <v>204.39999999999998</v>
      </c>
      <c r="I59" s="37">
        <f t="shared" si="13"/>
        <v>204.39999999999998</v>
      </c>
      <c r="J59" s="37"/>
      <c r="K59" s="33"/>
      <c r="L59" s="18"/>
      <c r="M59" s="18"/>
      <c r="N59" s="18"/>
      <c r="O59" s="18"/>
    </row>
    <row r="60" spans="1:15" s="21" customFormat="1" ht="12" thickBot="1" x14ac:dyDescent="0.25">
      <c r="A60" s="34" t="s">
        <v>73</v>
      </c>
      <c r="B60" s="51"/>
      <c r="C60" s="51"/>
      <c r="D60" s="51"/>
      <c r="E60" s="51"/>
      <c r="F60" s="51"/>
      <c r="G60" s="51"/>
      <c r="H60" s="51"/>
      <c r="I60" s="51"/>
      <c r="J60" s="51"/>
      <c r="K60" s="33"/>
      <c r="L60" s="18"/>
      <c r="M60" s="18"/>
      <c r="N60" s="18"/>
      <c r="O60" s="18"/>
    </row>
    <row r="61" spans="1:15" s="21" customFormat="1" ht="6" customHeight="1" thickTop="1" x14ac:dyDescent="0.2">
      <c r="A61" s="34"/>
      <c r="B61" s="53"/>
      <c r="C61" s="53"/>
      <c r="D61" s="53"/>
      <c r="E61" s="53">
        <f>'[1]EI DA Input Sheet'!E46</f>
        <v>0</v>
      </c>
      <c r="F61" s="53">
        <f>'[1]EI DA Input Sheet'!F46</f>
        <v>0</v>
      </c>
      <c r="G61" s="53">
        <f>'[1]EI DA Input Sheet'!G46</f>
        <v>0</v>
      </c>
      <c r="H61" s="53">
        <f>'[1]EI DA Input Sheet'!H46</f>
        <v>0</v>
      </c>
      <c r="I61" s="53">
        <f>'[1]EI DA Input Sheet'!I46</f>
        <v>0</v>
      </c>
      <c r="J61" s="53"/>
      <c r="K61" s="33"/>
      <c r="L61" s="18"/>
      <c r="M61" s="18"/>
      <c r="N61" s="18"/>
      <c r="O61" s="18"/>
    </row>
    <row r="62" spans="1:15" s="21" customFormat="1" x14ac:dyDescent="0.2">
      <c r="A62" s="36" t="s">
        <v>74</v>
      </c>
      <c r="B62" s="37"/>
      <c r="C62" s="37"/>
      <c r="D62" s="37">
        <v>7</v>
      </c>
      <c r="E62" s="37">
        <v>7</v>
      </c>
      <c r="F62" s="37">
        <v>7</v>
      </c>
      <c r="G62" s="37">
        <v>6</v>
      </c>
      <c r="H62" s="37">
        <f>G62</f>
        <v>6</v>
      </c>
      <c r="I62" s="37">
        <f>H62</f>
        <v>6</v>
      </c>
      <c r="J62" s="37"/>
      <c r="K62" s="33"/>
      <c r="L62" s="18"/>
      <c r="M62" s="18"/>
      <c r="N62" s="18"/>
      <c r="O62" s="18"/>
    </row>
    <row r="63" spans="1:15" s="21" customFormat="1" x14ac:dyDescent="0.2">
      <c r="A63" s="36" t="s">
        <v>75</v>
      </c>
      <c r="B63" s="37">
        <v>0</v>
      </c>
      <c r="C63" s="37">
        <v>0</v>
      </c>
      <c r="D63" s="37"/>
      <c r="E63" s="37"/>
      <c r="F63" s="37"/>
      <c r="G63" s="37"/>
      <c r="H63" s="37">
        <f t="shared" ref="H63:I65" si="14">G63</f>
        <v>0</v>
      </c>
      <c r="I63" s="37">
        <f t="shared" si="14"/>
        <v>0</v>
      </c>
      <c r="J63" s="37"/>
      <c r="K63" s="33"/>
      <c r="L63" s="18"/>
      <c r="M63" s="18"/>
      <c r="N63" s="18"/>
      <c r="O63" s="18"/>
    </row>
    <row r="64" spans="1:15" s="21" customFormat="1" x14ac:dyDescent="0.2">
      <c r="A64" s="36" t="s">
        <v>76</v>
      </c>
      <c r="B64" s="37">
        <v>36</v>
      </c>
      <c r="C64" s="37">
        <v>138.4</v>
      </c>
      <c r="D64" s="37">
        <v>173</v>
      </c>
      <c r="E64" s="37">
        <v>122.7</v>
      </c>
      <c r="F64" s="37">
        <v>112</v>
      </c>
      <c r="G64" s="37">
        <v>103</v>
      </c>
      <c r="H64" s="37">
        <f t="shared" si="14"/>
        <v>103</v>
      </c>
      <c r="I64" s="37">
        <f t="shared" si="14"/>
        <v>103</v>
      </c>
      <c r="J64" s="37"/>
      <c r="K64" s="33"/>
      <c r="L64" s="18"/>
      <c r="M64" s="18"/>
      <c r="N64" s="18"/>
      <c r="O64" s="18"/>
    </row>
    <row r="65" spans="1:15" s="21" customFormat="1" x14ac:dyDescent="0.2">
      <c r="A65" s="36" t="s">
        <v>77</v>
      </c>
      <c r="B65" s="37"/>
      <c r="C65" s="37"/>
      <c r="D65" s="37"/>
      <c r="E65" s="37"/>
      <c r="F65" s="37"/>
      <c r="G65" s="37"/>
      <c r="H65" s="37">
        <f t="shared" si="14"/>
        <v>0</v>
      </c>
      <c r="I65" s="37">
        <f t="shared" si="14"/>
        <v>0</v>
      </c>
      <c r="J65" s="37"/>
      <c r="K65" s="33"/>
      <c r="L65" s="18"/>
      <c r="M65" s="18"/>
      <c r="N65" s="18"/>
      <c r="O65" s="18"/>
    </row>
    <row r="66" spans="1:15" s="21" customFormat="1" x14ac:dyDescent="0.2">
      <c r="A66" s="36" t="s">
        <v>78</v>
      </c>
      <c r="B66" s="54"/>
      <c r="C66" s="54"/>
      <c r="D66" s="54"/>
      <c r="E66" s="54">
        <f>-SUM('[1]EI DA Input Sheet'!D31:E31)/5</f>
        <v>0</v>
      </c>
      <c r="F66" s="54">
        <f>-SUM('[1]EI DA Input Sheet'!E31:F31)/5</f>
        <v>0</v>
      </c>
      <c r="G66" s="54">
        <f>-SUM('[1]EI DA Input Sheet'!E31:G31)/5</f>
        <v>0</v>
      </c>
      <c r="H66" s="54">
        <f>-SUM('[1]EI DA Input Sheet'!E31:H31)/5</f>
        <v>0</v>
      </c>
      <c r="I66" s="54">
        <f>-SUM('[1]EI DA Input Sheet'!E31:I31)/5</f>
        <v>0</v>
      </c>
      <c r="J66" s="54"/>
      <c r="K66" s="33"/>
      <c r="L66" s="18"/>
      <c r="M66" s="18"/>
      <c r="N66" s="18"/>
      <c r="O66" s="18"/>
    </row>
    <row r="67" spans="1:15" s="21" customFormat="1" x14ac:dyDescent="0.2">
      <c r="A67" s="36" t="s">
        <v>79</v>
      </c>
      <c r="B67" s="37"/>
      <c r="C67" s="37"/>
      <c r="D67" s="37"/>
      <c r="E67" s="37"/>
      <c r="F67" s="37"/>
      <c r="G67" s="37"/>
      <c r="H67" s="37">
        <f>G67</f>
        <v>0</v>
      </c>
      <c r="I67" s="37">
        <f>H67</f>
        <v>0</v>
      </c>
      <c r="J67" s="37"/>
      <c r="K67" s="33"/>
      <c r="L67" s="18"/>
      <c r="M67" s="18"/>
      <c r="N67" s="18"/>
      <c r="O67" s="18"/>
    </row>
    <row r="68" spans="1:15" s="21" customFormat="1" x14ac:dyDescent="0.2">
      <c r="A68" s="36" t="s">
        <v>80</v>
      </c>
      <c r="B68" s="37">
        <v>-8</v>
      </c>
      <c r="C68" s="37">
        <v>-43.5</v>
      </c>
      <c r="D68" s="37">
        <v>-77.5</v>
      </c>
      <c r="E68" s="37">
        <v>-53</v>
      </c>
      <c r="F68" s="37">
        <v>-34</v>
      </c>
      <c r="G68" s="37">
        <v>-34.4</v>
      </c>
      <c r="H68" s="37">
        <f>G68</f>
        <v>-34.4</v>
      </c>
      <c r="I68" s="37">
        <f>H68</f>
        <v>-34.4</v>
      </c>
      <c r="J68" s="37"/>
      <c r="K68" s="33"/>
      <c r="L68" s="18"/>
      <c r="M68" s="18"/>
      <c r="N68" s="18"/>
      <c r="O68" s="18"/>
    </row>
    <row r="69" spans="1:15" s="21" customFormat="1" ht="12" thickBot="1" x14ac:dyDescent="0.25">
      <c r="A69" s="34" t="s">
        <v>81</v>
      </c>
      <c r="B69" s="55">
        <f t="shared" ref="B69:I69" si="15">B59-SUM(B61:B68)</f>
        <v>141.09999999999991</v>
      </c>
      <c r="C69" s="55">
        <f t="shared" si="15"/>
        <v>837.1</v>
      </c>
      <c r="D69" s="55">
        <f t="shared" si="15"/>
        <v>236.80000000000018</v>
      </c>
      <c r="E69" s="55">
        <f>E59-SUM(E61:E68)</f>
        <v>-339.14999999999981</v>
      </c>
      <c r="F69" s="55">
        <f>F59-SUM(F61:F68)</f>
        <v>48</v>
      </c>
      <c r="G69" s="55">
        <f>G59-SUM(G61:G68)</f>
        <v>129.79999999999998</v>
      </c>
      <c r="H69" s="55">
        <f t="shared" si="15"/>
        <v>129.79999999999998</v>
      </c>
      <c r="I69" s="55">
        <f t="shared" si="15"/>
        <v>129.79999999999998</v>
      </c>
      <c r="J69" s="55"/>
      <c r="K69" s="33"/>
      <c r="L69" s="18"/>
      <c r="M69" s="18"/>
      <c r="N69" s="18"/>
      <c r="O69" s="18"/>
    </row>
    <row r="70" spans="1:15" s="21" customFormat="1" ht="6" customHeight="1" thickTop="1" x14ac:dyDescent="0.2">
      <c r="A70" s="34"/>
      <c r="B70" s="56"/>
      <c r="C70" s="56"/>
      <c r="D70" s="56"/>
      <c r="E70" s="56"/>
      <c r="F70" s="56"/>
      <c r="G70" s="56"/>
      <c r="H70" s="56"/>
      <c r="I70" s="56"/>
      <c r="J70" s="56"/>
      <c r="K70" s="33"/>
      <c r="L70" s="18"/>
      <c r="M70" s="18"/>
      <c r="N70" s="18"/>
      <c r="O70" s="18"/>
    </row>
    <row r="71" spans="1:15" s="21" customFormat="1" x14ac:dyDescent="0.2">
      <c r="A71" s="36" t="s">
        <v>82</v>
      </c>
      <c r="B71" s="37">
        <v>19</v>
      </c>
      <c r="C71" s="37">
        <v>107</v>
      </c>
      <c r="D71" s="37">
        <v>29</v>
      </c>
      <c r="E71" s="37">
        <v>-43</v>
      </c>
      <c r="F71" s="37">
        <v>6</v>
      </c>
      <c r="G71" s="37">
        <v>16</v>
      </c>
      <c r="H71" s="37">
        <f>G71</f>
        <v>16</v>
      </c>
      <c r="I71" s="37">
        <f>H71</f>
        <v>16</v>
      </c>
      <c r="J71" s="37"/>
      <c r="K71" s="33"/>
      <c r="L71" s="18"/>
      <c r="M71" s="18"/>
      <c r="N71" s="18"/>
      <c r="O71" s="18"/>
    </row>
    <row r="72" spans="1:15" s="21" customFormat="1" ht="12" thickBot="1" x14ac:dyDescent="0.25">
      <c r="A72" s="34" t="s">
        <v>83</v>
      </c>
      <c r="B72" s="55">
        <f t="shared" ref="B72:I72" si="16">B69-B71</f>
        <v>122.09999999999991</v>
      </c>
      <c r="C72" s="55">
        <f t="shared" si="16"/>
        <v>730.1</v>
      </c>
      <c r="D72" s="55">
        <f t="shared" si="16"/>
        <v>207.80000000000018</v>
      </c>
      <c r="E72" s="55">
        <f t="shared" si="16"/>
        <v>-296.14999999999981</v>
      </c>
      <c r="F72" s="55">
        <f t="shared" si="16"/>
        <v>42</v>
      </c>
      <c r="G72" s="55">
        <f t="shared" si="16"/>
        <v>113.79999999999998</v>
      </c>
      <c r="H72" s="55">
        <f t="shared" si="16"/>
        <v>113.79999999999998</v>
      </c>
      <c r="I72" s="55">
        <f t="shared" si="16"/>
        <v>113.79999999999998</v>
      </c>
      <c r="J72" s="55"/>
      <c r="K72" s="33"/>
      <c r="L72" s="18"/>
      <c r="M72" s="18"/>
      <c r="N72" s="18"/>
      <c r="O72" s="18"/>
    </row>
    <row r="73" spans="1:15" s="21" customFormat="1" ht="6" customHeight="1" thickTop="1" x14ac:dyDescent="0.2">
      <c r="A73" s="34"/>
      <c r="B73" s="53"/>
      <c r="C73" s="53"/>
      <c r="D73" s="53"/>
      <c r="E73" s="53"/>
      <c r="F73" s="53"/>
      <c r="G73" s="53"/>
      <c r="H73" s="53"/>
      <c r="I73" s="53"/>
      <c r="J73" s="53"/>
      <c r="K73" s="33"/>
      <c r="L73" s="18"/>
      <c r="M73" s="18"/>
      <c r="N73" s="18"/>
      <c r="O73" s="18"/>
    </row>
    <row r="74" spans="1:15" s="21" customFormat="1" x14ac:dyDescent="0.2">
      <c r="A74" s="36" t="s">
        <v>84</v>
      </c>
      <c r="B74" s="52"/>
      <c r="C74" s="52"/>
      <c r="D74" s="52"/>
      <c r="E74" s="52"/>
      <c r="F74" s="52"/>
      <c r="G74" s="52"/>
      <c r="H74" s="52">
        <f>G74</f>
        <v>0</v>
      </c>
      <c r="I74" s="52">
        <f>H74</f>
        <v>0</v>
      </c>
      <c r="J74" s="52"/>
      <c r="K74" s="33"/>
      <c r="L74" s="18"/>
      <c r="M74" s="18"/>
      <c r="N74" s="18"/>
      <c r="O74" s="18"/>
    </row>
    <row r="75" spans="1:15" s="21" customFormat="1" ht="12" thickBot="1" x14ac:dyDescent="0.25">
      <c r="A75" s="34" t="s">
        <v>85</v>
      </c>
      <c r="B75" s="51">
        <f t="shared" ref="B75:I75" si="17">B72-B74</f>
        <v>122.09999999999991</v>
      </c>
      <c r="C75" s="51">
        <f t="shared" si="17"/>
        <v>730.1</v>
      </c>
      <c r="D75" s="51">
        <f t="shared" si="17"/>
        <v>207.80000000000018</v>
      </c>
      <c r="E75" s="51">
        <f t="shared" si="17"/>
        <v>-296.14999999999981</v>
      </c>
      <c r="F75" s="51">
        <f t="shared" si="17"/>
        <v>42</v>
      </c>
      <c r="G75" s="51">
        <f t="shared" si="17"/>
        <v>113.79999999999998</v>
      </c>
      <c r="H75" s="51">
        <f t="shared" si="17"/>
        <v>113.79999999999998</v>
      </c>
      <c r="I75" s="51">
        <f t="shared" si="17"/>
        <v>113.79999999999998</v>
      </c>
      <c r="J75" s="51"/>
      <c r="K75" s="33"/>
      <c r="L75" s="18"/>
      <c r="M75" s="18"/>
      <c r="N75" s="18"/>
      <c r="O75" s="18"/>
    </row>
    <row r="76" spans="1:15" s="21" customFormat="1" ht="6" customHeight="1" thickTop="1" thickBot="1" x14ac:dyDescent="0.25">
      <c r="A76" s="57"/>
      <c r="B76" s="58"/>
      <c r="C76" s="59"/>
      <c r="D76" s="59"/>
      <c r="E76" s="59"/>
      <c r="F76" s="59"/>
      <c r="G76" s="59"/>
      <c r="H76" s="59"/>
      <c r="I76" s="59"/>
      <c r="J76" s="59"/>
      <c r="K76" s="39"/>
      <c r="L76" s="18"/>
      <c r="M76" s="18"/>
      <c r="N76" s="18"/>
      <c r="O76" s="18"/>
    </row>
    <row r="77" spans="1:15" s="21" customFormat="1" ht="12.75" customHeight="1" x14ac:dyDescent="0.2">
      <c r="A77" s="60"/>
      <c r="B77" s="18"/>
      <c r="C77" s="18"/>
      <c r="D77" s="18"/>
      <c r="E77" s="18"/>
      <c r="F77" s="18"/>
      <c r="G77" s="18"/>
      <c r="H77" s="18"/>
      <c r="I77" s="18"/>
      <c r="J77" s="18"/>
      <c r="K77" s="18"/>
      <c r="L77" s="18"/>
      <c r="M77" s="18"/>
      <c r="N77" s="18"/>
      <c r="O77" s="18"/>
    </row>
    <row r="78" spans="1:15" s="21" customFormat="1" x14ac:dyDescent="0.2">
      <c r="A78" s="18"/>
      <c r="B78" s="18"/>
      <c r="C78" s="18"/>
      <c r="D78" s="18"/>
      <c r="E78" s="18"/>
      <c r="F78" s="18"/>
      <c r="G78" s="18"/>
      <c r="H78" s="18"/>
      <c r="I78" s="18"/>
      <c r="J78" s="18"/>
      <c r="K78" s="18"/>
      <c r="L78" s="18"/>
      <c r="M78" s="18"/>
      <c r="N78" s="18"/>
      <c r="O78" s="18"/>
    </row>
    <row r="79" spans="1:15" s="21" customFormat="1" ht="6" customHeight="1" x14ac:dyDescent="0.2">
      <c r="A79" s="18"/>
      <c r="B79" s="37"/>
      <c r="C79" s="37"/>
      <c r="D79" s="37"/>
      <c r="E79" s="37"/>
      <c r="F79" s="37"/>
      <c r="G79" s="37"/>
      <c r="H79" s="37"/>
      <c r="I79" s="37"/>
      <c r="J79" s="37"/>
      <c r="K79" s="18"/>
      <c r="L79" s="18"/>
      <c r="M79" s="18"/>
      <c r="N79" s="18"/>
      <c r="O79" s="18"/>
    </row>
    <row r="80" spans="1:15" s="21" customFormat="1" x14ac:dyDescent="0.2">
      <c r="A80" s="410" t="s">
        <v>86</v>
      </c>
      <c r="B80" s="410"/>
      <c r="C80" s="410"/>
      <c r="D80" s="410"/>
      <c r="E80" s="410"/>
      <c r="F80" s="410"/>
      <c r="G80" s="410"/>
      <c r="H80" s="410"/>
      <c r="I80" s="410"/>
      <c r="J80" s="410"/>
      <c r="K80" s="410"/>
      <c r="L80" s="18"/>
      <c r="M80" s="18"/>
      <c r="N80" s="18"/>
      <c r="O80" s="18"/>
    </row>
    <row r="81" spans="1:15" s="21" customFormat="1" x14ac:dyDescent="0.2">
      <c r="A81" s="34" t="s">
        <v>31</v>
      </c>
      <c r="B81" s="61">
        <f t="shared" ref="B81:I81" si="18">B34</f>
        <v>43465</v>
      </c>
      <c r="C81" s="62">
        <f t="shared" si="18"/>
        <v>43830</v>
      </c>
      <c r="D81" s="62">
        <f t="shared" si="18"/>
        <v>44196</v>
      </c>
      <c r="E81" s="62">
        <f t="shared" si="18"/>
        <v>44561</v>
      </c>
      <c r="F81" s="62">
        <f t="shared" si="18"/>
        <v>44926</v>
      </c>
      <c r="G81" s="62">
        <f t="shared" si="18"/>
        <v>45291</v>
      </c>
      <c r="H81" s="62">
        <f t="shared" si="18"/>
        <v>45656</v>
      </c>
      <c r="I81" s="62">
        <f t="shared" si="18"/>
        <v>46022</v>
      </c>
      <c r="J81" s="62"/>
      <c r="K81" s="33"/>
      <c r="L81" s="18"/>
      <c r="M81" s="18"/>
      <c r="N81" s="18"/>
      <c r="O81" s="18"/>
    </row>
    <row r="82" spans="1:15" s="21" customFormat="1" x14ac:dyDescent="0.2">
      <c r="A82" s="34"/>
      <c r="B82" s="46" t="s">
        <v>55</v>
      </c>
      <c r="C82" s="47" t="s">
        <v>55</v>
      </c>
      <c r="D82" s="47" t="s">
        <v>55</v>
      </c>
      <c r="E82" s="47" t="s">
        <v>55</v>
      </c>
      <c r="F82" s="47" t="s">
        <v>55</v>
      </c>
      <c r="G82" s="47" t="s">
        <v>55</v>
      </c>
      <c r="H82" s="47" t="s">
        <v>55</v>
      </c>
      <c r="I82" s="47" t="s">
        <v>55</v>
      </c>
      <c r="J82" s="47"/>
      <c r="K82" s="33"/>
      <c r="L82" s="18"/>
      <c r="M82" s="18"/>
      <c r="N82" s="18"/>
      <c r="O82" s="18"/>
    </row>
    <row r="83" spans="1:15" s="21" customFormat="1" x14ac:dyDescent="0.2">
      <c r="A83" s="34" t="s">
        <v>87</v>
      </c>
      <c r="B83" s="63"/>
      <c r="C83" s="63"/>
      <c r="D83" s="63"/>
      <c r="E83" s="63"/>
      <c r="F83" s="63"/>
      <c r="G83" s="63"/>
      <c r="H83" s="63"/>
      <c r="I83" s="63"/>
      <c r="J83" s="63"/>
      <c r="K83" s="33"/>
      <c r="L83" s="18"/>
      <c r="M83" s="18"/>
      <c r="N83" s="18"/>
      <c r="O83" s="18"/>
    </row>
    <row r="84" spans="1:15" s="21" customFormat="1" x14ac:dyDescent="0.2">
      <c r="A84" s="49" t="s">
        <v>88</v>
      </c>
      <c r="B84" s="56"/>
      <c r="C84" s="56"/>
      <c r="D84" s="56"/>
      <c r="E84" s="56">
        <f>+D84-E65+E26+E19</f>
        <v>0</v>
      </c>
      <c r="F84" s="56">
        <f>+E84-F65+F26+F19</f>
        <v>0</v>
      </c>
      <c r="G84" s="56">
        <f>+F84-G65+G26+G19</f>
        <v>0</v>
      </c>
      <c r="H84" s="56">
        <f>+G84-H65+H26+H19</f>
        <v>0</v>
      </c>
      <c r="I84" s="56">
        <f>+H84-I65+I26+I19</f>
        <v>0</v>
      </c>
      <c r="J84" s="56"/>
      <c r="K84" s="33"/>
      <c r="L84" s="37"/>
      <c r="M84" s="37"/>
      <c r="N84" s="37"/>
      <c r="O84" s="18"/>
    </row>
    <row r="85" spans="1:15" s="21" customFormat="1" x14ac:dyDescent="0.2">
      <c r="A85" s="49" t="s">
        <v>89</v>
      </c>
      <c r="B85" s="56">
        <v>823</v>
      </c>
      <c r="C85" s="56">
        <v>1403</v>
      </c>
      <c r="D85" s="56">
        <v>1381</v>
      </c>
      <c r="E85" s="56">
        <f>+D85-E64+SUM(E23:E25)</f>
        <v>1287.8</v>
      </c>
      <c r="F85" s="56">
        <f>+E85-F64+SUM(F23:F25)</f>
        <v>1205.8</v>
      </c>
      <c r="G85" s="56">
        <f>+F85-G64+SUM(G23:G25)</f>
        <v>1132.3</v>
      </c>
      <c r="H85" s="56">
        <f>+G85-H64+SUM(H23:H25)</f>
        <v>1058.8</v>
      </c>
      <c r="I85" s="56">
        <f>+H85-I64+SUM(I23:I25)</f>
        <v>985.3</v>
      </c>
      <c r="J85" s="56"/>
      <c r="K85" s="33"/>
      <c r="L85" s="37"/>
      <c r="M85" s="37"/>
      <c r="N85" s="37"/>
      <c r="O85" s="18"/>
    </row>
    <row r="86" spans="1:15" s="21" customFormat="1" x14ac:dyDescent="0.2">
      <c r="A86" s="49" t="s">
        <v>90</v>
      </c>
      <c r="B86" s="56"/>
      <c r="C86" s="56"/>
      <c r="D86" s="56"/>
      <c r="E86" s="56"/>
      <c r="F86" s="56"/>
      <c r="G86" s="56"/>
      <c r="H86" s="56">
        <f>G86</f>
        <v>0</v>
      </c>
      <c r="I86" s="56">
        <f>H86</f>
        <v>0</v>
      </c>
      <c r="J86" s="56"/>
      <c r="K86" s="33"/>
      <c r="L86" s="37"/>
      <c r="M86" s="37"/>
      <c r="N86" s="37"/>
      <c r="O86" s="18"/>
    </row>
    <row r="87" spans="1:15" s="21" customFormat="1" ht="12" thickBot="1" x14ac:dyDescent="0.25">
      <c r="A87" s="34" t="s">
        <v>91</v>
      </c>
      <c r="B87" s="48">
        <f t="shared" ref="B87:G87" si="19">SUM(B84:B86)</f>
        <v>823</v>
      </c>
      <c r="C87" s="48">
        <f t="shared" si="19"/>
        <v>1403</v>
      </c>
      <c r="D87" s="48">
        <f t="shared" si="19"/>
        <v>1381</v>
      </c>
      <c r="E87" s="48">
        <f t="shared" si="19"/>
        <v>1287.8</v>
      </c>
      <c r="F87" s="48">
        <f t="shared" si="19"/>
        <v>1205.8</v>
      </c>
      <c r="G87" s="48">
        <f t="shared" si="19"/>
        <v>1132.3</v>
      </c>
      <c r="H87" s="48">
        <f>SUM(H84:H86)</f>
        <v>1058.8</v>
      </c>
      <c r="I87" s="48">
        <f>SUM(I84:I86)</f>
        <v>985.3</v>
      </c>
      <c r="J87" s="48"/>
      <c r="K87" s="33"/>
      <c r="L87" s="37"/>
      <c r="M87" s="37"/>
      <c r="N87" s="37"/>
      <c r="O87" s="18"/>
    </row>
    <row r="88" spans="1:15" s="21" customFormat="1" ht="6" customHeight="1" thickTop="1" x14ac:dyDescent="0.2">
      <c r="A88" s="49"/>
      <c r="B88" s="37"/>
      <c r="C88" s="37"/>
      <c r="D88" s="37"/>
      <c r="E88" s="37"/>
      <c r="F88" s="37"/>
      <c r="G88" s="37"/>
      <c r="H88" s="37"/>
      <c r="I88" s="37"/>
      <c r="J88" s="37"/>
      <c r="K88" s="33"/>
      <c r="L88" s="37"/>
      <c r="M88" s="37"/>
      <c r="N88" s="37"/>
      <c r="O88" s="18"/>
    </row>
    <row r="89" spans="1:15" s="21" customFormat="1" x14ac:dyDescent="0.2">
      <c r="A89" s="34" t="s">
        <v>92</v>
      </c>
      <c r="B89" s="37"/>
      <c r="C89" s="37"/>
      <c r="D89" s="37"/>
      <c r="E89" s="37"/>
      <c r="F89" s="37"/>
      <c r="G89" s="37"/>
      <c r="H89" s="37"/>
      <c r="I89" s="37"/>
      <c r="J89" s="37"/>
      <c r="K89" s="33"/>
      <c r="L89" s="37"/>
      <c r="M89" s="37"/>
      <c r="N89" s="37"/>
      <c r="O89" s="18"/>
    </row>
    <row r="90" spans="1:15" s="21" customFormat="1" x14ac:dyDescent="0.2">
      <c r="A90" s="49" t="s">
        <v>93</v>
      </c>
      <c r="B90" s="37">
        <v>202</v>
      </c>
      <c r="C90" s="37">
        <v>198</v>
      </c>
      <c r="D90" s="37">
        <v>197.5</v>
      </c>
      <c r="E90" s="37">
        <v>197.5</v>
      </c>
      <c r="F90" s="37">
        <v>197</v>
      </c>
      <c r="G90" s="37">
        <v>197</v>
      </c>
      <c r="H90" s="37">
        <f>G90</f>
        <v>197</v>
      </c>
      <c r="I90" s="37">
        <f>H90</f>
        <v>197</v>
      </c>
      <c r="J90" s="37"/>
      <c r="K90" s="33"/>
      <c r="L90" s="37"/>
      <c r="M90" s="37"/>
      <c r="N90" s="37"/>
      <c r="O90" s="18"/>
    </row>
    <row r="91" spans="1:15" s="21" customFormat="1" x14ac:dyDescent="0.2">
      <c r="A91" s="49" t="s">
        <v>94</v>
      </c>
      <c r="B91" s="56">
        <v>493</v>
      </c>
      <c r="C91" s="56">
        <v>684</v>
      </c>
      <c r="D91" s="56">
        <f>617-91</f>
        <v>526</v>
      </c>
      <c r="E91" s="56">
        <f>521-91</f>
        <v>430</v>
      </c>
      <c r="F91" s="56">
        <v>587.5</v>
      </c>
      <c r="G91" s="56">
        <f>730.5-90.9</f>
        <v>639.6</v>
      </c>
      <c r="H91" s="56">
        <f>G91</f>
        <v>639.6</v>
      </c>
      <c r="I91" s="56">
        <f>H91</f>
        <v>639.6</v>
      </c>
      <c r="J91" s="56"/>
      <c r="K91" s="33"/>
      <c r="L91" s="37"/>
      <c r="M91" s="37"/>
      <c r="N91" s="37"/>
      <c r="O91" s="18"/>
    </row>
    <row r="92" spans="1:15" s="21" customFormat="1" x14ac:dyDescent="0.2">
      <c r="A92" s="49" t="s">
        <v>95</v>
      </c>
      <c r="B92" s="64">
        <v>302</v>
      </c>
      <c r="C92" s="64">
        <v>272</v>
      </c>
      <c r="D92" s="64">
        <v>542</v>
      </c>
      <c r="E92" s="64">
        <f>E193</f>
        <v>0</v>
      </c>
      <c r="F92" s="64">
        <f t="shared" ref="F92:I92" si="20">F193</f>
        <v>0</v>
      </c>
      <c r="G92" s="64">
        <f t="shared" si="20"/>
        <v>0</v>
      </c>
      <c r="H92" s="64">
        <f t="shared" si="20"/>
        <v>0</v>
      </c>
      <c r="I92" s="64">
        <f t="shared" si="20"/>
        <v>0</v>
      </c>
      <c r="J92" s="64"/>
      <c r="K92" s="33"/>
      <c r="L92" s="37"/>
      <c r="M92" s="37"/>
      <c r="N92" s="37"/>
      <c r="O92" s="18"/>
    </row>
    <row r="93" spans="1:15" s="21" customFormat="1" x14ac:dyDescent="0.2">
      <c r="A93" s="49" t="s">
        <v>96</v>
      </c>
      <c r="B93" s="37"/>
      <c r="C93" s="37"/>
      <c r="D93" s="37"/>
      <c r="E93" s="37"/>
      <c r="F93" s="37"/>
      <c r="G93" s="37">
        <v>0</v>
      </c>
      <c r="H93" s="37">
        <f>G93</f>
        <v>0</v>
      </c>
      <c r="I93" s="37">
        <f>H93</f>
        <v>0</v>
      </c>
      <c r="J93" s="37"/>
      <c r="K93" s="33"/>
      <c r="L93" s="37"/>
      <c r="M93" s="37"/>
      <c r="N93" s="37"/>
      <c r="O93" s="18"/>
    </row>
    <row r="94" spans="1:15" s="21" customFormat="1" x14ac:dyDescent="0.2">
      <c r="A94" s="49" t="s">
        <v>97</v>
      </c>
      <c r="B94" s="37">
        <v>155</v>
      </c>
      <c r="C94" s="37">
        <v>247</v>
      </c>
      <c r="D94" s="37">
        <v>120</v>
      </c>
      <c r="E94" s="37">
        <v>120.4</v>
      </c>
      <c r="F94" s="37">
        <v>110</v>
      </c>
      <c r="G94" s="37">
        <v>100</v>
      </c>
      <c r="H94" s="37">
        <f>G94</f>
        <v>100</v>
      </c>
      <c r="I94" s="37">
        <f>H94</f>
        <v>100</v>
      </c>
      <c r="J94" s="37"/>
      <c r="K94" s="33"/>
      <c r="L94" s="37"/>
      <c r="M94" s="37"/>
      <c r="N94" s="37"/>
      <c r="O94" s="18"/>
    </row>
    <row r="95" spans="1:15" s="21" customFormat="1" ht="12" thickBot="1" x14ac:dyDescent="0.25">
      <c r="A95" s="34" t="s">
        <v>98</v>
      </c>
      <c r="B95" s="48">
        <f t="shared" ref="B95:G95" si="21">SUM(B90:B94)</f>
        <v>1152</v>
      </c>
      <c r="C95" s="48">
        <f t="shared" si="21"/>
        <v>1401</v>
      </c>
      <c r="D95" s="48">
        <f t="shared" si="21"/>
        <v>1385.5</v>
      </c>
      <c r="E95" s="48">
        <f t="shared" si="21"/>
        <v>747.9</v>
      </c>
      <c r="F95" s="48">
        <f t="shared" si="21"/>
        <v>894.5</v>
      </c>
      <c r="G95" s="48">
        <f t="shared" si="21"/>
        <v>936.6</v>
      </c>
      <c r="H95" s="48">
        <f>SUM(H90:H94)</f>
        <v>936.6</v>
      </c>
      <c r="I95" s="48">
        <f>SUM(I90:I94)</f>
        <v>936.6</v>
      </c>
      <c r="J95" s="48"/>
      <c r="K95" s="33"/>
      <c r="L95" s="37"/>
      <c r="M95" s="37"/>
      <c r="N95" s="37"/>
      <c r="O95" s="18"/>
    </row>
    <row r="96" spans="1:15" s="21" customFormat="1" ht="6" customHeight="1" thickTop="1" x14ac:dyDescent="0.2">
      <c r="A96" s="49"/>
      <c r="B96" s="37"/>
      <c r="C96" s="37"/>
      <c r="D96" s="37"/>
      <c r="E96" s="37"/>
      <c r="F96" s="37"/>
      <c r="G96" s="37"/>
      <c r="H96" s="37"/>
      <c r="I96" s="37"/>
      <c r="J96" s="37"/>
      <c r="K96" s="33"/>
      <c r="L96" s="37"/>
      <c r="M96" s="37"/>
      <c r="N96" s="37"/>
      <c r="O96" s="18"/>
    </row>
    <row r="97" spans="1:15" s="21" customFormat="1" x14ac:dyDescent="0.2">
      <c r="A97" s="34" t="s">
        <v>99</v>
      </c>
      <c r="B97" s="37"/>
      <c r="C97" s="37"/>
      <c r="D97" s="37"/>
      <c r="E97" s="37"/>
      <c r="F97" s="37"/>
      <c r="G97" s="37"/>
      <c r="H97" s="37"/>
      <c r="I97" s="37"/>
      <c r="J97" s="37"/>
      <c r="K97" s="33"/>
      <c r="L97" s="37"/>
      <c r="M97" s="37"/>
      <c r="N97" s="37"/>
      <c r="O97" s="18"/>
    </row>
    <row r="98" spans="1:15" s="21" customFormat="1" x14ac:dyDescent="0.2">
      <c r="A98" s="49" t="s">
        <v>100</v>
      </c>
      <c r="B98" s="56">
        <v>0</v>
      </c>
      <c r="C98" s="56">
        <v>0</v>
      </c>
      <c r="D98" s="56">
        <v>0</v>
      </c>
      <c r="E98" s="56">
        <f t="shared" ref="E98:I99" si="22">+E21</f>
        <v>0</v>
      </c>
      <c r="F98" s="56">
        <f t="shared" si="22"/>
        <v>0</v>
      </c>
      <c r="G98" s="56">
        <f t="shared" si="22"/>
        <v>0</v>
      </c>
      <c r="H98" s="56">
        <f t="shared" si="22"/>
        <v>0</v>
      </c>
      <c r="I98" s="56">
        <f t="shared" si="22"/>
        <v>0</v>
      </c>
      <c r="J98" s="56"/>
      <c r="K98" s="33"/>
      <c r="L98" s="37"/>
      <c r="M98" s="37"/>
      <c r="N98" s="37"/>
      <c r="O98" s="18"/>
    </row>
    <row r="99" spans="1:15" s="21" customFormat="1" x14ac:dyDescent="0.2">
      <c r="A99" s="49" t="s">
        <v>101</v>
      </c>
      <c r="B99" s="56">
        <v>0</v>
      </c>
      <c r="C99" s="56">
        <v>0</v>
      </c>
      <c r="D99" s="56">
        <v>0</v>
      </c>
      <c r="E99" s="56">
        <f t="shared" si="22"/>
        <v>0</v>
      </c>
      <c r="F99" s="56">
        <f t="shared" si="22"/>
        <v>0</v>
      </c>
      <c r="G99" s="56">
        <f t="shared" si="22"/>
        <v>0</v>
      </c>
      <c r="H99" s="56">
        <f t="shared" si="22"/>
        <v>0</v>
      </c>
      <c r="I99" s="56">
        <f t="shared" si="22"/>
        <v>0</v>
      </c>
      <c r="J99" s="56"/>
      <c r="K99" s="33"/>
      <c r="L99" s="37"/>
      <c r="M99" s="37"/>
      <c r="N99" s="37"/>
      <c r="O99" s="18"/>
    </row>
    <row r="100" spans="1:15" s="21" customFormat="1" x14ac:dyDescent="0.2">
      <c r="A100" s="49" t="s">
        <v>102</v>
      </c>
      <c r="B100" s="56">
        <v>10</v>
      </c>
      <c r="C100" s="56">
        <v>11</v>
      </c>
      <c r="D100" s="56">
        <f>10+34+98.45-88</f>
        <v>54.449999999999989</v>
      </c>
      <c r="E100" s="56">
        <v>53.5</v>
      </c>
      <c r="F100" s="56">
        <v>42</v>
      </c>
      <c r="G100" s="56">
        <v>22</v>
      </c>
      <c r="H100" s="56">
        <f>G100</f>
        <v>22</v>
      </c>
      <c r="I100" s="56">
        <f>H100</f>
        <v>22</v>
      </c>
      <c r="J100" s="56"/>
      <c r="K100" s="33"/>
      <c r="L100" s="37"/>
      <c r="M100" s="37"/>
      <c r="N100" s="37"/>
      <c r="O100" s="18"/>
    </row>
    <row r="101" spans="1:15" s="21" customFormat="1" x14ac:dyDescent="0.2">
      <c r="A101" s="49" t="s">
        <v>103</v>
      </c>
      <c r="B101" s="56">
        <v>252</v>
      </c>
      <c r="C101" s="56">
        <v>396</v>
      </c>
      <c r="D101" s="56">
        <v>109</v>
      </c>
      <c r="E101" s="56">
        <v>133.6</v>
      </c>
      <c r="F101" s="56">
        <v>189</v>
      </c>
      <c r="G101" s="56">
        <v>207.5</v>
      </c>
      <c r="H101" s="56">
        <f t="shared" ref="H101:I102" si="23">G101</f>
        <v>207.5</v>
      </c>
      <c r="I101" s="56">
        <f t="shared" si="23"/>
        <v>207.5</v>
      </c>
      <c r="J101" s="56"/>
      <c r="K101" s="33"/>
      <c r="L101" s="37"/>
      <c r="M101" s="37"/>
      <c r="N101" s="37"/>
      <c r="O101" s="18"/>
    </row>
    <row r="102" spans="1:15" s="21" customFormat="1" x14ac:dyDescent="0.2">
      <c r="A102" s="49" t="s">
        <v>104</v>
      </c>
      <c r="B102" s="56">
        <v>330</v>
      </c>
      <c r="C102" s="56">
        <f>125+160+1</f>
        <v>286</v>
      </c>
      <c r="D102" s="56">
        <f>42+4+152</f>
        <v>198</v>
      </c>
      <c r="E102" s="56">
        <f>37+124</f>
        <v>161</v>
      </c>
      <c r="F102" s="56">
        <f>51.3+95.8</f>
        <v>147.1</v>
      </c>
      <c r="G102" s="56">
        <f>49.2+67.4</f>
        <v>116.60000000000001</v>
      </c>
      <c r="H102" s="56">
        <f t="shared" si="23"/>
        <v>116.60000000000001</v>
      </c>
      <c r="I102" s="56">
        <f t="shared" si="23"/>
        <v>116.60000000000001</v>
      </c>
      <c r="J102" s="56"/>
      <c r="K102" s="33"/>
      <c r="L102" s="18"/>
      <c r="M102" s="18"/>
      <c r="N102" s="37"/>
      <c r="O102" s="18"/>
    </row>
    <row r="103" spans="1:15" s="21" customFormat="1" ht="12" thickBot="1" x14ac:dyDescent="0.25">
      <c r="A103" s="34" t="s">
        <v>105</v>
      </c>
      <c r="B103" s="48">
        <f t="shared" ref="B103:G103" si="24">SUM(B98:B102)</f>
        <v>592</v>
      </c>
      <c r="C103" s="48">
        <f t="shared" si="24"/>
        <v>693</v>
      </c>
      <c r="D103" s="48">
        <f t="shared" si="24"/>
        <v>361.45</v>
      </c>
      <c r="E103" s="48">
        <f t="shared" si="24"/>
        <v>348.1</v>
      </c>
      <c r="F103" s="48">
        <f t="shared" si="24"/>
        <v>378.1</v>
      </c>
      <c r="G103" s="48">
        <f t="shared" si="24"/>
        <v>346.1</v>
      </c>
      <c r="H103" s="48">
        <f>SUM(H98:H102)</f>
        <v>346.1</v>
      </c>
      <c r="I103" s="48">
        <f>SUM(I98:I102)</f>
        <v>346.1</v>
      </c>
      <c r="J103" s="48"/>
      <c r="K103" s="33"/>
      <c r="L103" s="18"/>
      <c r="M103" s="18"/>
      <c r="N103" s="37"/>
      <c r="O103" s="18"/>
    </row>
    <row r="104" spans="1:15" s="21" customFormat="1" ht="6" customHeight="1" thickTop="1" x14ac:dyDescent="0.2">
      <c r="A104" s="49"/>
      <c r="B104" s="37"/>
      <c r="C104" s="37"/>
      <c r="D104" s="37"/>
      <c r="E104" s="37"/>
      <c r="F104" s="37"/>
      <c r="G104" s="37"/>
      <c r="H104" s="37"/>
      <c r="I104" s="37"/>
      <c r="J104" s="37"/>
      <c r="K104" s="33"/>
      <c r="L104" s="18"/>
      <c r="M104" s="18"/>
      <c r="N104" s="37"/>
      <c r="O104" s="18"/>
    </row>
    <row r="105" spans="1:15" s="21" customFormat="1" ht="12" thickBot="1" x14ac:dyDescent="0.25">
      <c r="A105" s="34" t="s">
        <v>106</v>
      </c>
      <c r="B105" s="48">
        <f t="shared" ref="B105:I105" si="25">+B95-B103</f>
        <v>560</v>
      </c>
      <c r="C105" s="48">
        <f t="shared" si="25"/>
        <v>708</v>
      </c>
      <c r="D105" s="48">
        <f t="shared" si="25"/>
        <v>1024.05</v>
      </c>
      <c r="E105" s="48">
        <f t="shared" si="25"/>
        <v>399.79999999999995</v>
      </c>
      <c r="F105" s="48">
        <f t="shared" si="25"/>
        <v>516.4</v>
      </c>
      <c r="G105" s="48">
        <f t="shared" si="25"/>
        <v>590.5</v>
      </c>
      <c r="H105" s="48">
        <f t="shared" si="25"/>
        <v>590.5</v>
      </c>
      <c r="I105" s="48">
        <f t="shared" si="25"/>
        <v>590.5</v>
      </c>
      <c r="J105" s="48"/>
      <c r="K105" s="33"/>
      <c r="L105" s="18"/>
      <c r="M105" s="18"/>
      <c r="N105" s="37"/>
      <c r="O105" s="18"/>
    </row>
    <row r="106" spans="1:15" s="21" customFormat="1" ht="6" customHeight="1" thickTop="1" x14ac:dyDescent="0.2">
      <c r="A106" s="34"/>
      <c r="B106" s="65"/>
      <c r="C106" s="65"/>
      <c r="D106" s="65"/>
      <c r="E106" s="65"/>
      <c r="F106" s="65"/>
      <c r="G106" s="65"/>
      <c r="H106" s="65"/>
      <c r="I106" s="65"/>
      <c r="J106" s="65"/>
      <c r="K106" s="33"/>
      <c r="L106" s="18"/>
      <c r="M106" s="18"/>
      <c r="N106" s="37"/>
      <c r="O106" s="18"/>
    </row>
    <row r="107" spans="1:15" s="21" customFormat="1" x14ac:dyDescent="0.2">
      <c r="A107" s="34" t="s">
        <v>107</v>
      </c>
      <c r="B107" s="37"/>
      <c r="C107" s="37"/>
      <c r="D107" s="37"/>
      <c r="E107" s="37"/>
      <c r="F107" s="37"/>
      <c r="G107" s="37"/>
      <c r="H107" s="37"/>
      <c r="I107" s="37"/>
      <c r="J107" s="37"/>
      <c r="K107" s="33"/>
      <c r="L107" s="18"/>
      <c r="M107" s="18"/>
      <c r="N107" s="37"/>
      <c r="O107" s="18"/>
    </row>
    <row r="108" spans="1:15" s="21" customFormat="1" x14ac:dyDescent="0.2">
      <c r="A108" s="49" t="s">
        <v>108</v>
      </c>
      <c r="B108" s="56"/>
      <c r="C108" s="56"/>
      <c r="D108" s="56">
        <v>88</v>
      </c>
      <c r="E108" s="56">
        <v>43.5</v>
      </c>
      <c r="F108" s="56">
        <v>12</v>
      </c>
      <c r="G108" s="56">
        <v>0</v>
      </c>
      <c r="H108" s="56">
        <f>G108</f>
        <v>0</v>
      </c>
      <c r="I108" s="56">
        <f>H108</f>
        <v>0</v>
      </c>
      <c r="J108" s="56"/>
      <c r="K108" s="33"/>
      <c r="L108" s="18"/>
      <c r="M108" s="18"/>
      <c r="N108" s="37"/>
      <c r="O108" s="18"/>
    </row>
    <row r="109" spans="1:15" s="21" customFormat="1" x14ac:dyDescent="0.2">
      <c r="A109" s="49" t="s">
        <v>109</v>
      </c>
      <c r="B109" s="56"/>
      <c r="C109" s="56"/>
      <c r="D109" s="56"/>
      <c r="E109" s="56"/>
      <c r="F109" s="56"/>
      <c r="G109" s="56"/>
      <c r="H109" s="56">
        <f t="shared" ref="H109:I111" si="26">G109</f>
        <v>0</v>
      </c>
      <c r="I109" s="56">
        <f t="shared" si="26"/>
        <v>0</v>
      </c>
      <c r="J109" s="56"/>
      <c r="K109" s="33"/>
      <c r="L109" s="18"/>
      <c r="M109" s="18"/>
      <c r="N109" s="37"/>
      <c r="O109" s="18"/>
    </row>
    <row r="110" spans="1:15" s="21" customFormat="1" x14ac:dyDescent="0.2">
      <c r="A110" s="49" t="s">
        <v>110</v>
      </c>
      <c r="B110" s="56"/>
      <c r="C110" s="56"/>
      <c r="D110" s="56"/>
      <c r="E110" s="56"/>
      <c r="F110" s="56"/>
      <c r="G110" s="56"/>
      <c r="H110" s="56">
        <f t="shared" si="26"/>
        <v>0</v>
      </c>
      <c r="I110" s="56">
        <f t="shared" si="26"/>
        <v>0</v>
      </c>
      <c r="J110" s="56"/>
      <c r="K110" s="33"/>
      <c r="L110" s="18"/>
      <c r="M110" s="18"/>
      <c r="N110" s="37"/>
      <c r="O110" s="18"/>
    </row>
    <row r="111" spans="1:15" s="21" customFormat="1" x14ac:dyDescent="0.2">
      <c r="A111" s="49" t="s">
        <v>111</v>
      </c>
      <c r="B111" s="56"/>
      <c r="C111" s="56"/>
      <c r="D111" s="56"/>
      <c r="E111" s="56"/>
      <c r="F111" s="56"/>
      <c r="G111" s="56"/>
      <c r="H111" s="56">
        <f t="shared" si="26"/>
        <v>0</v>
      </c>
      <c r="I111" s="56">
        <f t="shared" si="26"/>
        <v>0</v>
      </c>
      <c r="J111" s="56"/>
      <c r="K111" s="33"/>
      <c r="L111" s="18"/>
      <c r="M111" s="18"/>
      <c r="N111" s="37"/>
      <c r="O111" s="18"/>
    </row>
    <row r="112" spans="1:15" s="21" customFormat="1" x14ac:dyDescent="0.2">
      <c r="A112" s="49" t="s">
        <v>112</v>
      </c>
      <c r="B112" s="37"/>
      <c r="C112" s="37"/>
      <c r="D112" s="37"/>
      <c r="E112" s="37">
        <f>'[1]EI DA Input Sheet'!E31+E66</f>
        <v>0</v>
      </c>
      <c r="F112" s="37">
        <f>+SUM('[1]EI DA Input Sheet'!E31:F31)+SUM($E$66:F66)</f>
        <v>0</v>
      </c>
      <c r="G112" s="37">
        <f>+SUM('[1]EI DA Input Sheet'!E31:G31)+SUM($E$66:G66)</f>
        <v>0</v>
      </c>
      <c r="H112" s="37">
        <f>+SUM('[1]EI DA Input Sheet'!E31:H31)+SUM($E$66:H66)</f>
        <v>0</v>
      </c>
      <c r="I112" s="37">
        <f>+SUM('[1]EI DA Input Sheet'!E31:I31)+SUM($E$66:I66)</f>
        <v>0</v>
      </c>
      <c r="J112" s="37"/>
      <c r="K112" s="33"/>
      <c r="L112" s="18"/>
      <c r="M112" s="18"/>
      <c r="N112" s="37"/>
      <c r="O112" s="18"/>
    </row>
    <row r="113" spans="1:15" s="21" customFormat="1" x14ac:dyDescent="0.2">
      <c r="A113" s="66" t="s">
        <v>113</v>
      </c>
      <c r="B113" s="56"/>
      <c r="C113" s="56"/>
      <c r="D113" s="56"/>
      <c r="E113" s="56">
        <f>'[1]EI DA Input Sheet'!E35+E61</f>
        <v>0</v>
      </c>
      <c r="F113" s="56">
        <f>E113+F61+'[1]EI DA Input Sheet'!F35</f>
        <v>0</v>
      </c>
      <c r="G113" s="56">
        <f>F113+G61+'[1]EI DA Input Sheet'!G35</f>
        <v>0</v>
      </c>
      <c r="H113" s="56">
        <f>G113*50%+H61</f>
        <v>0</v>
      </c>
      <c r="I113" s="56">
        <f>0</f>
        <v>0</v>
      </c>
      <c r="J113" s="56"/>
      <c r="K113" s="33"/>
      <c r="L113" s="18"/>
      <c r="M113" s="18"/>
      <c r="N113" s="37"/>
      <c r="O113" s="18"/>
    </row>
    <row r="114" spans="1:15" s="21" customFormat="1" ht="12" thickBot="1" x14ac:dyDescent="0.25">
      <c r="A114" s="34" t="s">
        <v>114</v>
      </c>
      <c r="B114" s="48">
        <f>SUM(B107:B113)</f>
        <v>0</v>
      </c>
      <c r="C114" s="48">
        <f t="shared" ref="C114:I114" si="27">SUM(C107:C113)</f>
        <v>0</v>
      </c>
      <c r="D114" s="48">
        <f t="shared" si="27"/>
        <v>88</v>
      </c>
      <c r="E114" s="48">
        <f t="shared" si="27"/>
        <v>43.5</v>
      </c>
      <c r="F114" s="48">
        <f t="shared" si="27"/>
        <v>12</v>
      </c>
      <c r="G114" s="48">
        <f t="shared" si="27"/>
        <v>0</v>
      </c>
      <c r="H114" s="48">
        <f t="shared" si="27"/>
        <v>0</v>
      </c>
      <c r="I114" s="48">
        <f t="shared" si="27"/>
        <v>0</v>
      </c>
      <c r="J114" s="48"/>
      <c r="K114" s="33"/>
      <c r="L114" s="18"/>
      <c r="M114" s="18"/>
      <c r="N114" s="37"/>
      <c r="O114" s="18"/>
    </row>
    <row r="115" spans="1:15" s="21" customFormat="1" ht="6" customHeight="1" thickTop="1" x14ac:dyDescent="0.2">
      <c r="A115" s="49"/>
      <c r="B115" s="37"/>
      <c r="C115" s="37"/>
      <c r="D115" s="37"/>
      <c r="E115" s="37"/>
      <c r="F115" s="37"/>
      <c r="G115" s="37"/>
      <c r="H115" s="37"/>
      <c r="I115" s="37"/>
      <c r="J115" s="37"/>
      <c r="K115" s="33"/>
      <c r="L115" s="18"/>
      <c r="M115" s="18"/>
      <c r="N115" s="37"/>
      <c r="O115" s="18"/>
    </row>
    <row r="116" spans="1:15" s="21" customFormat="1" ht="12" thickBot="1" x14ac:dyDescent="0.25">
      <c r="A116" s="34" t="s">
        <v>115</v>
      </c>
      <c r="B116" s="51">
        <f>ROUND(B$87+B$105-B$115,0)</f>
        <v>1383</v>
      </c>
      <c r="C116" s="51">
        <f t="shared" ref="C116:I116" si="28">ROUND(C$87+C$105-C$115,0)</f>
        <v>2111</v>
      </c>
      <c r="D116" s="51">
        <f t="shared" si="28"/>
        <v>2405</v>
      </c>
      <c r="E116" s="51">
        <f t="shared" si="28"/>
        <v>1688</v>
      </c>
      <c r="F116" s="51">
        <f t="shared" si="28"/>
        <v>1722</v>
      </c>
      <c r="G116" s="51">
        <f t="shared" si="28"/>
        <v>1723</v>
      </c>
      <c r="H116" s="51">
        <f t="shared" si="28"/>
        <v>1649</v>
      </c>
      <c r="I116" s="51">
        <f t="shared" si="28"/>
        <v>1576</v>
      </c>
      <c r="J116" s="51"/>
      <c r="K116" s="33"/>
      <c r="L116" s="37"/>
      <c r="M116" s="37"/>
      <c r="N116" s="37"/>
      <c r="O116" s="18"/>
    </row>
    <row r="117" spans="1:15" s="21" customFormat="1" ht="12" thickTop="1" x14ac:dyDescent="0.2">
      <c r="A117" s="34"/>
      <c r="B117" s="37"/>
      <c r="C117" s="37"/>
      <c r="D117" s="37"/>
      <c r="E117" s="37"/>
      <c r="F117" s="37"/>
      <c r="G117" s="37"/>
      <c r="H117" s="37"/>
      <c r="I117" s="37"/>
      <c r="J117" s="37"/>
      <c r="K117" s="33"/>
      <c r="L117" s="18"/>
      <c r="M117" s="18"/>
      <c r="N117" s="37"/>
      <c r="O117" s="18"/>
    </row>
    <row r="118" spans="1:15" s="21" customFormat="1" x14ac:dyDescent="0.2">
      <c r="A118" s="34" t="s">
        <v>116</v>
      </c>
      <c r="B118" s="37"/>
      <c r="C118" s="37"/>
      <c r="D118" s="37"/>
      <c r="E118" s="37"/>
      <c r="F118" s="37"/>
      <c r="G118" s="37"/>
      <c r="H118" s="37"/>
      <c r="I118" s="37"/>
      <c r="J118" s="37"/>
      <c r="K118" s="33"/>
      <c r="L118" s="18"/>
      <c r="M118" s="18"/>
      <c r="N118" s="37"/>
      <c r="O118" s="18"/>
    </row>
    <row r="119" spans="1:15" s="21" customFormat="1" x14ac:dyDescent="0.2">
      <c r="A119" s="49" t="s">
        <v>117</v>
      </c>
      <c r="B119" s="37"/>
      <c r="C119" s="37"/>
      <c r="D119" s="37"/>
      <c r="E119" s="37"/>
      <c r="F119" s="37"/>
      <c r="G119" s="37"/>
      <c r="H119" s="37"/>
      <c r="I119" s="37"/>
      <c r="J119" s="37"/>
      <c r="K119" s="33"/>
      <c r="L119" s="18"/>
      <c r="M119" s="18"/>
      <c r="N119" s="37"/>
      <c r="O119" s="18"/>
    </row>
    <row r="120" spans="1:15" s="21" customFormat="1" x14ac:dyDescent="0.2">
      <c r="A120" s="49" t="s">
        <v>118</v>
      </c>
      <c r="B120" s="37"/>
      <c r="C120" s="37"/>
      <c r="D120" s="37"/>
      <c r="E120" s="37"/>
      <c r="F120" s="37"/>
      <c r="G120" s="37"/>
      <c r="H120" s="37">
        <f>G120</f>
        <v>0</v>
      </c>
      <c r="I120" s="37">
        <f>H120</f>
        <v>0</v>
      </c>
      <c r="J120" s="37"/>
      <c r="K120" s="33"/>
      <c r="L120" s="18"/>
      <c r="M120" s="18"/>
      <c r="N120" s="37"/>
      <c r="O120" s="18"/>
    </row>
    <row r="121" spans="1:15" s="21" customFormat="1" x14ac:dyDescent="0.2">
      <c r="A121" s="49" t="s">
        <v>119</v>
      </c>
      <c r="B121" s="37"/>
      <c r="C121" s="37"/>
      <c r="D121" s="37"/>
      <c r="E121" s="37">
        <f>+SUM('[1]EI DA Input Sheet'!D41:E41)</f>
        <v>0</v>
      </c>
      <c r="F121" s="37">
        <f>+SUM('[1]EI DA Input Sheet'!E41:F41)</f>
        <v>0</v>
      </c>
      <c r="G121" s="37">
        <f>+SUM('[1]EI DA Input Sheet'!E41:G41)</f>
        <v>0</v>
      </c>
      <c r="H121" s="37">
        <f>+SUM('[1]EI DA Input Sheet'!E41:H41)</f>
        <v>0</v>
      </c>
      <c r="I121" s="37">
        <f>+SUM('[1]EI DA Input Sheet'!E41:I41)</f>
        <v>0</v>
      </c>
      <c r="J121" s="37"/>
      <c r="K121" s="33"/>
      <c r="L121" s="18"/>
      <c r="M121" s="18"/>
      <c r="N121" s="37"/>
      <c r="O121" s="18"/>
    </row>
    <row r="122" spans="1:15" s="21" customFormat="1" x14ac:dyDescent="0.2">
      <c r="A122" s="49" t="s">
        <v>120</v>
      </c>
      <c r="B122" s="37">
        <v>0</v>
      </c>
      <c r="C122" s="37"/>
      <c r="D122" s="37"/>
      <c r="E122" s="37">
        <f>+D122+E27+E28</f>
        <v>0</v>
      </c>
      <c r="F122" s="37">
        <f>+E122+F27+F28</f>
        <v>0</v>
      </c>
      <c r="G122" s="37">
        <f>+F122+G27+G28</f>
        <v>0</v>
      </c>
      <c r="H122" s="37">
        <f>+G122+H27+H28</f>
        <v>0</v>
      </c>
      <c r="I122" s="37">
        <f>+H122+I27+I28</f>
        <v>0</v>
      </c>
      <c r="J122" s="37"/>
      <c r="K122" s="33"/>
      <c r="L122" s="18"/>
      <c r="M122" s="18"/>
      <c r="N122" s="37"/>
      <c r="O122" s="18"/>
    </row>
    <row r="123" spans="1:15" s="21" customFormat="1" ht="12" thickBot="1" x14ac:dyDescent="0.25">
      <c r="A123" s="49" t="s">
        <v>121</v>
      </c>
      <c r="B123" s="51">
        <v>1383</v>
      </c>
      <c r="C123" s="51">
        <f t="shared" ref="C123" si="29">B123+C74</f>
        <v>1383</v>
      </c>
      <c r="D123" s="51">
        <f t="shared" ref="D123" si="30">C123+D74</f>
        <v>1383</v>
      </c>
      <c r="E123" s="51">
        <f t="shared" ref="E123" si="31">D123+E74</f>
        <v>1383</v>
      </c>
      <c r="F123" s="51">
        <f t="shared" ref="F123" si="32">E123+F74</f>
        <v>1383</v>
      </c>
      <c r="G123" s="51">
        <f t="shared" ref="G123" si="33">F123+G74</f>
        <v>1383</v>
      </c>
      <c r="H123" s="51">
        <f t="shared" ref="H123" si="34">G123+H74</f>
        <v>1383</v>
      </c>
      <c r="I123" s="51">
        <f t="shared" ref="I123" si="35">H123+I74</f>
        <v>1383</v>
      </c>
      <c r="J123" s="52"/>
      <c r="K123" s="33"/>
      <c r="L123" s="18"/>
      <c r="M123" s="37"/>
      <c r="N123" s="37"/>
      <c r="O123" s="18"/>
    </row>
    <row r="124" spans="1:15" s="21" customFormat="1" ht="12.75" thickTop="1" thickBot="1" x14ac:dyDescent="0.25">
      <c r="A124" s="34" t="s">
        <v>122</v>
      </c>
      <c r="B124" s="51">
        <f t="shared" ref="B124:B125" si="36">ROUND(SUM(B119:B123),0)</f>
        <v>1383</v>
      </c>
      <c r="C124" s="51">
        <f t="shared" ref="C124:I124" si="37">ROUND(SUM(C119:C123),0)</f>
        <v>1383</v>
      </c>
      <c r="D124" s="51">
        <f t="shared" si="37"/>
        <v>1383</v>
      </c>
      <c r="E124" s="51">
        <f t="shared" si="37"/>
        <v>1383</v>
      </c>
      <c r="F124" s="51">
        <f t="shared" si="37"/>
        <v>1383</v>
      </c>
      <c r="G124" s="51">
        <f t="shared" si="37"/>
        <v>1383</v>
      </c>
      <c r="H124" s="51">
        <f t="shared" si="37"/>
        <v>1383</v>
      </c>
      <c r="I124" s="51">
        <f t="shared" si="37"/>
        <v>1383</v>
      </c>
      <c r="J124" s="51"/>
      <c r="K124" s="33"/>
      <c r="L124" s="18"/>
      <c r="M124" s="68"/>
      <c r="N124" s="37"/>
      <c r="O124" s="18"/>
    </row>
    <row r="125" spans="1:15" s="21" customFormat="1" ht="4.5" customHeight="1" thickTop="1" x14ac:dyDescent="0.2">
      <c r="A125" s="34"/>
      <c r="B125" s="63">
        <f t="shared" si="36"/>
        <v>2766</v>
      </c>
      <c r="C125" s="63">
        <f t="shared" ref="C125:I125" si="38">ROUND(SUM(C120:C124),0)</f>
        <v>2766</v>
      </c>
      <c r="D125" s="63">
        <f t="shared" si="38"/>
        <v>2766</v>
      </c>
      <c r="E125" s="63">
        <f t="shared" si="38"/>
        <v>2766</v>
      </c>
      <c r="F125" s="63">
        <f t="shared" si="38"/>
        <v>2766</v>
      </c>
      <c r="G125" s="63">
        <f t="shared" si="38"/>
        <v>2766</v>
      </c>
      <c r="H125" s="63">
        <f t="shared" si="38"/>
        <v>2766</v>
      </c>
      <c r="I125" s="63">
        <f t="shared" si="38"/>
        <v>2766</v>
      </c>
      <c r="J125" s="63"/>
      <c r="K125" s="33"/>
      <c r="L125" s="18"/>
      <c r="M125" s="68"/>
      <c r="N125" s="37"/>
      <c r="O125" s="18"/>
    </row>
    <row r="126" spans="1:15" s="21" customFormat="1" ht="9.75" customHeight="1" x14ac:dyDescent="0.2">
      <c r="A126" s="34"/>
      <c r="B126" s="63"/>
      <c r="C126" s="63"/>
      <c r="D126" s="63"/>
      <c r="E126" s="63"/>
      <c r="F126" s="63"/>
      <c r="G126" s="63"/>
      <c r="H126" s="63"/>
      <c r="I126" s="63"/>
      <c r="J126" s="63"/>
      <c r="K126" s="33"/>
      <c r="L126" s="68"/>
      <c r="M126" s="68"/>
      <c r="N126" s="37"/>
      <c r="O126" s="18"/>
    </row>
    <row r="127" spans="1:15" s="21" customFormat="1" ht="4.5" customHeight="1" x14ac:dyDescent="0.2">
      <c r="A127" s="34"/>
      <c r="B127" s="63"/>
      <c r="C127" s="63"/>
      <c r="D127" s="63"/>
      <c r="E127" s="63"/>
      <c r="F127" s="63"/>
      <c r="G127" s="63"/>
      <c r="H127" s="63"/>
      <c r="I127" s="63"/>
      <c r="J127" s="63"/>
      <c r="K127" s="33"/>
      <c r="L127" s="68"/>
      <c r="M127" s="68"/>
      <c r="N127" s="37"/>
      <c r="O127" s="18"/>
    </row>
    <row r="128" spans="1:15" s="21" customFormat="1" ht="6" customHeight="1" x14ac:dyDescent="0.2">
      <c r="A128" s="34"/>
      <c r="B128" s="63"/>
      <c r="C128" s="63"/>
      <c r="D128" s="63"/>
      <c r="E128" s="63"/>
      <c r="F128" s="63"/>
      <c r="G128" s="63"/>
      <c r="H128" s="63"/>
      <c r="I128" s="63"/>
      <c r="J128" s="63"/>
      <c r="K128" s="33"/>
      <c r="L128" s="68"/>
      <c r="M128" s="68"/>
      <c r="N128" s="37"/>
      <c r="O128" s="18"/>
    </row>
    <row r="129" spans="1:15" s="21" customFormat="1" ht="3" customHeight="1" thickBot="1" x14ac:dyDescent="0.25">
      <c r="A129" s="69"/>
      <c r="B129" s="63"/>
      <c r="C129" s="63"/>
      <c r="D129" s="63"/>
      <c r="E129" s="63"/>
      <c r="F129" s="63"/>
      <c r="G129" s="63"/>
      <c r="H129" s="63"/>
      <c r="I129" s="63"/>
      <c r="J129" s="70"/>
      <c r="K129" s="39"/>
      <c r="L129" s="18"/>
      <c r="M129" s="18"/>
      <c r="N129" s="18"/>
      <c r="O129" s="18"/>
    </row>
    <row r="130" spans="1:15" ht="12" thickBot="1" x14ac:dyDescent="0.25">
      <c r="A130" s="410" t="s">
        <v>123</v>
      </c>
      <c r="B130" s="410"/>
      <c r="C130" s="410"/>
      <c r="D130" s="410"/>
      <c r="E130" s="410"/>
      <c r="F130" s="410"/>
      <c r="G130" s="410"/>
      <c r="H130" s="410"/>
      <c r="I130" s="410"/>
      <c r="J130" s="410"/>
      <c r="K130" s="410"/>
    </row>
    <row r="131" spans="1:15" x14ac:dyDescent="0.2">
      <c r="A131" s="74"/>
      <c r="B131" s="74" t="s">
        <v>23</v>
      </c>
      <c r="C131" s="74" t="s">
        <v>24</v>
      </c>
      <c r="D131" s="74" t="s">
        <v>25</v>
      </c>
      <c r="E131" s="74" t="s">
        <v>229</v>
      </c>
      <c r="F131" s="74" t="s">
        <v>27</v>
      </c>
      <c r="G131" s="74" t="s">
        <v>28</v>
      </c>
      <c r="H131" s="74" t="s">
        <v>29</v>
      </c>
      <c r="I131" s="74" t="s">
        <v>30</v>
      </c>
      <c r="J131" s="74"/>
      <c r="K131" s="75"/>
    </row>
    <row r="132" spans="1:15" x14ac:dyDescent="0.2">
      <c r="A132" s="421"/>
      <c r="B132" s="422" t="s">
        <v>55</v>
      </c>
      <c r="C132" s="422" t="s">
        <v>55</v>
      </c>
      <c r="D132" s="422" t="s">
        <v>55</v>
      </c>
      <c r="E132" s="422" t="s">
        <v>55</v>
      </c>
      <c r="F132" s="422" t="s">
        <v>55</v>
      </c>
      <c r="G132" s="422" t="s">
        <v>55</v>
      </c>
      <c r="H132" s="422" t="s">
        <v>55</v>
      </c>
      <c r="I132" s="422" t="s">
        <v>55</v>
      </c>
      <c r="J132" s="420"/>
      <c r="K132" s="77"/>
    </row>
    <row r="133" spans="1:15" x14ac:dyDescent="0.2">
      <c r="A133" s="421"/>
      <c r="B133" s="423"/>
      <c r="C133" s="423"/>
      <c r="D133" s="424"/>
      <c r="E133" s="424"/>
      <c r="F133" s="424"/>
      <c r="G133" s="424"/>
      <c r="H133" s="425"/>
      <c r="I133" s="425"/>
      <c r="J133" s="47"/>
      <c r="K133" s="77"/>
    </row>
    <row r="134" spans="1:15" x14ac:dyDescent="0.2">
      <c r="A134" s="426" t="s">
        <v>124</v>
      </c>
      <c r="B134" s="423"/>
      <c r="C134" s="423"/>
      <c r="D134" s="424"/>
      <c r="E134" s="424"/>
      <c r="F134" s="424"/>
      <c r="G134" s="424"/>
      <c r="H134" s="425"/>
      <c r="I134" s="425"/>
      <c r="J134" s="78"/>
      <c r="K134" s="77"/>
    </row>
    <row r="135" spans="1:15" x14ac:dyDescent="0.2">
      <c r="A135" s="427" t="s">
        <v>85</v>
      </c>
      <c r="B135" s="423"/>
      <c r="C135" s="428">
        <f t="shared" ref="C135:D135" si="39">C75</f>
        <v>730.1</v>
      </c>
      <c r="D135" s="428">
        <f t="shared" si="39"/>
        <v>207.80000000000018</v>
      </c>
      <c r="E135" s="428">
        <f>E75</f>
        <v>-296.14999999999981</v>
      </c>
      <c r="F135" s="428">
        <f>F75</f>
        <v>42</v>
      </c>
      <c r="G135" s="428">
        <f>G75</f>
        <v>113.79999999999998</v>
      </c>
      <c r="H135" s="429">
        <f>H75</f>
        <v>113.79999999999998</v>
      </c>
      <c r="I135" s="429">
        <f>I75</f>
        <v>113.79999999999998</v>
      </c>
      <c r="J135" s="78"/>
      <c r="K135" s="77"/>
    </row>
    <row r="136" spans="1:15" x14ac:dyDescent="0.2">
      <c r="A136" s="421"/>
      <c r="B136" s="423"/>
      <c r="C136" s="424"/>
      <c r="D136" s="424"/>
      <c r="E136" s="424"/>
      <c r="F136" s="424"/>
      <c r="G136" s="424"/>
      <c r="H136" s="430"/>
      <c r="I136" s="430"/>
      <c r="J136" s="81"/>
      <c r="K136" s="77"/>
    </row>
    <row r="137" spans="1:15" x14ac:dyDescent="0.2">
      <c r="A137" s="427" t="s">
        <v>125</v>
      </c>
      <c r="B137" s="423"/>
      <c r="C137" s="428">
        <f t="shared" ref="C137:D137" si="40">C64+C65+C66</f>
        <v>138.4</v>
      </c>
      <c r="D137" s="428">
        <f t="shared" si="40"/>
        <v>173</v>
      </c>
      <c r="E137" s="428">
        <f>E64+E65+E66</f>
        <v>122.7</v>
      </c>
      <c r="F137" s="428">
        <f>F64+F65+F66</f>
        <v>112</v>
      </c>
      <c r="G137" s="428">
        <f>G64+G65+G66</f>
        <v>103</v>
      </c>
      <c r="H137" s="429">
        <f>H64+H65+H66</f>
        <v>103</v>
      </c>
      <c r="I137" s="429">
        <f>I64+I65+I66</f>
        <v>103</v>
      </c>
      <c r="J137" s="78"/>
      <c r="K137" s="77"/>
    </row>
    <row r="138" spans="1:15" x14ac:dyDescent="0.2">
      <c r="A138" s="421"/>
      <c r="B138" s="423"/>
      <c r="C138" s="424"/>
      <c r="D138" s="424"/>
      <c r="E138" s="424"/>
      <c r="F138" s="424"/>
      <c r="G138" s="424"/>
      <c r="H138" s="430"/>
      <c r="I138" s="430"/>
      <c r="J138" s="81"/>
      <c r="K138" s="77"/>
    </row>
    <row r="139" spans="1:15" x14ac:dyDescent="0.2">
      <c r="A139" s="431" t="s">
        <v>126</v>
      </c>
      <c r="B139" s="423"/>
      <c r="C139" s="424"/>
      <c r="D139" s="424"/>
      <c r="E139" s="424"/>
      <c r="F139" s="424"/>
      <c r="G139" s="424"/>
      <c r="H139" s="430"/>
      <c r="I139" s="430"/>
      <c r="J139" s="78"/>
      <c r="K139" s="77"/>
      <c r="L139" s="68"/>
      <c r="M139" s="68"/>
    </row>
    <row r="140" spans="1:15" x14ac:dyDescent="0.2">
      <c r="A140" s="432" t="s">
        <v>127</v>
      </c>
      <c r="B140" s="423"/>
      <c r="C140" s="428">
        <f>B90-C90</f>
        <v>4</v>
      </c>
      <c r="D140" s="428">
        <f t="shared" ref="D140" si="41">C90-D90</f>
        <v>0.5</v>
      </c>
      <c r="E140" s="428">
        <f>D90-E90</f>
        <v>0</v>
      </c>
      <c r="F140" s="428">
        <f>E90-F90</f>
        <v>0.5</v>
      </c>
      <c r="G140" s="428">
        <f>F90-G90</f>
        <v>0</v>
      </c>
      <c r="H140" s="429">
        <f>G90-H90</f>
        <v>0</v>
      </c>
      <c r="I140" s="429">
        <f>H90-I90</f>
        <v>0</v>
      </c>
      <c r="J140" s="78"/>
      <c r="K140" s="77"/>
      <c r="L140" s="68"/>
      <c r="M140" s="68"/>
    </row>
    <row r="141" spans="1:15" x14ac:dyDescent="0.2">
      <c r="A141" s="432" t="s">
        <v>128</v>
      </c>
      <c r="B141" s="423"/>
      <c r="C141" s="428">
        <f>B91-C91</f>
        <v>-191</v>
      </c>
      <c r="D141" s="428">
        <f>C91-D91</f>
        <v>158</v>
      </c>
      <c r="E141" s="428">
        <f t="shared" ref="E141" si="42">D91-E91</f>
        <v>96</v>
      </c>
      <c r="F141" s="428">
        <f>E91-F91</f>
        <v>-157.5</v>
      </c>
      <c r="G141" s="428">
        <f>F91-G91</f>
        <v>-52.100000000000023</v>
      </c>
      <c r="H141" s="429">
        <f>G91-H91</f>
        <v>0</v>
      </c>
      <c r="I141" s="429">
        <f>H91-I91</f>
        <v>0</v>
      </c>
      <c r="J141" s="84"/>
      <c r="K141" s="77"/>
    </row>
    <row r="142" spans="1:15" x14ac:dyDescent="0.2">
      <c r="A142" s="433" t="s">
        <v>129</v>
      </c>
      <c r="B142" s="423"/>
      <c r="C142" s="428">
        <f t="shared" ref="C142:I142" si="43">B94-C94</f>
        <v>-92</v>
      </c>
      <c r="D142" s="428">
        <f t="shared" si="43"/>
        <v>127</v>
      </c>
      <c r="E142" s="428">
        <f t="shared" si="43"/>
        <v>-0.40000000000000568</v>
      </c>
      <c r="F142" s="428">
        <f t="shared" si="43"/>
        <v>10.400000000000006</v>
      </c>
      <c r="G142" s="428">
        <f t="shared" si="43"/>
        <v>10</v>
      </c>
      <c r="H142" s="429">
        <f t="shared" si="43"/>
        <v>0</v>
      </c>
      <c r="I142" s="429">
        <f t="shared" si="43"/>
        <v>0</v>
      </c>
      <c r="J142" s="84"/>
      <c r="K142" s="77"/>
    </row>
    <row r="143" spans="1:15" x14ac:dyDescent="0.2">
      <c r="A143" s="432" t="s">
        <v>130</v>
      </c>
      <c r="B143" s="423"/>
      <c r="C143" s="428">
        <f t="shared" ref="C143:I144" si="44">C101-B101</f>
        <v>144</v>
      </c>
      <c r="D143" s="428">
        <f t="shared" si="44"/>
        <v>-287</v>
      </c>
      <c r="E143" s="428">
        <f t="shared" si="44"/>
        <v>24.599999999999994</v>
      </c>
      <c r="F143" s="428">
        <f t="shared" si="44"/>
        <v>55.400000000000006</v>
      </c>
      <c r="G143" s="428">
        <f t="shared" si="44"/>
        <v>18.5</v>
      </c>
      <c r="H143" s="429">
        <f t="shared" si="44"/>
        <v>0</v>
      </c>
      <c r="I143" s="429">
        <f t="shared" si="44"/>
        <v>0</v>
      </c>
      <c r="J143" s="84"/>
      <c r="K143" s="77"/>
    </row>
    <row r="144" spans="1:15" x14ac:dyDescent="0.2">
      <c r="A144" s="433" t="s">
        <v>131</v>
      </c>
      <c r="B144" s="423"/>
      <c r="C144" s="428">
        <f t="shared" si="44"/>
        <v>-44</v>
      </c>
      <c r="D144" s="428">
        <f t="shared" si="44"/>
        <v>-88</v>
      </c>
      <c r="E144" s="428">
        <f t="shared" si="44"/>
        <v>-37</v>
      </c>
      <c r="F144" s="428">
        <f t="shared" si="44"/>
        <v>-13.900000000000006</v>
      </c>
      <c r="G144" s="428">
        <f t="shared" si="44"/>
        <v>-30.499999999999986</v>
      </c>
      <c r="H144" s="429">
        <f t="shared" si="44"/>
        <v>0</v>
      </c>
      <c r="I144" s="429">
        <f t="shared" si="44"/>
        <v>0</v>
      </c>
      <c r="J144" s="84"/>
      <c r="K144" s="77"/>
    </row>
    <row r="145" spans="1:13" ht="12" thickBot="1" x14ac:dyDescent="0.25">
      <c r="A145" s="426" t="s">
        <v>132</v>
      </c>
      <c r="B145" s="423"/>
      <c r="C145" s="434">
        <f t="shared" ref="C145:I145" si="45">SUM(C$140:C$144)</f>
        <v>-179</v>
      </c>
      <c r="D145" s="434">
        <f t="shared" si="45"/>
        <v>-89.5</v>
      </c>
      <c r="E145" s="434">
        <f t="shared" si="45"/>
        <v>83.199999999999989</v>
      </c>
      <c r="F145" s="434">
        <f t="shared" si="45"/>
        <v>-105.1</v>
      </c>
      <c r="G145" s="434">
        <f t="shared" si="45"/>
        <v>-54.100000000000009</v>
      </c>
      <c r="H145" s="435">
        <f t="shared" si="45"/>
        <v>0</v>
      </c>
      <c r="I145" s="435">
        <f t="shared" si="45"/>
        <v>0</v>
      </c>
      <c r="J145" s="84"/>
      <c r="K145" s="77"/>
    </row>
    <row r="146" spans="1:13" ht="12" thickTop="1" x14ac:dyDescent="0.2">
      <c r="A146" s="427"/>
      <c r="B146" s="423"/>
      <c r="C146" s="424"/>
      <c r="D146" s="424"/>
      <c r="E146" s="424"/>
      <c r="F146" s="424"/>
      <c r="G146" s="424"/>
      <c r="H146" s="430"/>
      <c r="I146" s="430"/>
      <c r="J146" s="87"/>
      <c r="K146" s="77"/>
    </row>
    <row r="147" spans="1:13" ht="12" thickBot="1" x14ac:dyDescent="0.25">
      <c r="A147" s="426" t="s">
        <v>133</v>
      </c>
      <c r="B147" s="423"/>
      <c r="C147" s="436">
        <f t="shared" ref="C147:I147" si="46">SUM(C$135,C$137,C$145)</f>
        <v>689.5</v>
      </c>
      <c r="D147" s="436">
        <f t="shared" si="46"/>
        <v>291.30000000000018</v>
      </c>
      <c r="E147" s="436">
        <f t="shared" si="46"/>
        <v>-90.249999999999829</v>
      </c>
      <c r="F147" s="436">
        <f t="shared" si="46"/>
        <v>48.900000000000006</v>
      </c>
      <c r="G147" s="436">
        <f t="shared" si="46"/>
        <v>162.69999999999999</v>
      </c>
      <c r="H147" s="437">
        <f t="shared" si="46"/>
        <v>216.79999999999998</v>
      </c>
      <c r="I147" s="437">
        <f t="shared" si="46"/>
        <v>216.79999999999998</v>
      </c>
      <c r="J147" s="78"/>
      <c r="K147" s="77"/>
    </row>
    <row r="148" spans="1:13" ht="12" thickTop="1" x14ac:dyDescent="0.2">
      <c r="A148" s="427"/>
      <c r="B148" s="423"/>
      <c r="C148" s="423"/>
      <c r="D148" s="424"/>
      <c r="E148" s="424"/>
      <c r="F148" s="424"/>
      <c r="G148" s="424"/>
      <c r="H148" s="438"/>
      <c r="I148" s="438"/>
      <c r="J148" s="87"/>
      <c r="K148" s="77"/>
    </row>
    <row r="149" spans="1:13" ht="10.5" customHeight="1" x14ac:dyDescent="0.2">
      <c r="A149" s="427" t="s">
        <v>134</v>
      </c>
      <c r="B149" s="423"/>
      <c r="C149" s="428">
        <f t="shared" ref="C149:I149" si="47">(C85-B85)*-1-C64</f>
        <v>-718.4</v>
      </c>
      <c r="D149" s="428">
        <f t="shared" si="47"/>
        <v>-151</v>
      </c>
      <c r="E149" s="428">
        <f t="shared" si="47"/>
        <v>-29.499999999999957</v>
      </c>
      <c r="F149" s="428">
        <f t="shared" si="47"/>
        <v>-30</v>
      </c>
      <c r="G149" s="428">
        <f t="shared" si="47"/>
        <v>-29.5</v>
      </c>
      <c r="H149" s="429">
        <f t="shared" si="47"/>
        <v>-29.5</v>
      </c>
      <c r="I149" s="429">
        <f t="shared" si="47"/>
        <v>-29.5</v>
      </c>
      <c r="J149" s="78"/>
      <c r="K149" s="77"/>
      <c r="L149" s="68"/>
      <c r="M149" s="68"/>
    </row>
    <row r="150" spans="1:13" x14ac:dyDescent="0.2">
      <c r="A150" s="427" t="s">
        <v>135</v>
      </c>
      <c r="B150" s="423"/>
      <c r="C150" s="428">
        <f>(C84-B84)*-1-C65</f>
        <v>0</v>
      </c>
      <c r="D150" s="428">
        <f t="shared" ref="D150:F150" si="48">(D84-C84)*-1-D65</f>
        <v>0</v>
      </c>
      <c r="E150" s="428">
        <f t="shared" si="48"/>
        <v>0</v>
      </c>
      <c r="F150" s="428">
        <f t="shared" si="48"/>
        <v>0</v>
      </c>
      <c r="G150" s="428">
        <f>(G84-F84)*-1-G65</f>
        <v>0</v>
      </c>
      <c r="H150" s="429">
        <f>(H84-G84)*-1-H65</f>
        <v>0</v>
      </c>
      <c r="I150" s="429">
        <f>(I84-H84)*-1-I65</f>
        <v>0</v>
      </c>
      <c r="J150" s="84"/>
      <c r="K150" s="77"/>
    </row>
    <row r="151" spans="1:13" x14ac:dyDescent="0.2">
      <c r="A151" s="426" t="s">
        <v>136</v>
      </c>
      <c r="B151" s="423"/>
      <c r="C151" s="439">
        <f>C149+C150</f>
        <v>-718.4</v>
      </c>
      <c r="D151" s="439">
        <f t="shared" ref="D151:G151" si="49">D149+D150</f>
        <v>-151</v>
      </c>
      <c r="E151" s="439">
        <f t="shared" si="49"/>
        <v>-29.499999999999957</v>
      </c>
      <c r="F151" s="439">
        <f t="shared" si="49"/>
        <v>-30</v>
      </c>
      <c r="G151" s="439">
        <f t="shared" si="49"/>
        <v>-29.5</v>
      </c>
      <c r="H151" s="440">
        <f>H149+H150</f>
        <v>-29.5</v>
      </c>
      <c r="I151" s="440">
        <f>I149+I150</f>
        <v>-29.5</v>
      </c>
      <c r="J151" s="84"/>
      <c r="K151" s="77"/>
    </row>
    <row r="152" spans="1:13" ht="12.75" customHeight="1" x14ac:dyDescent="0.2">
      <c r="A152" s="421"/>
      <c r="B152" s="423"/>
      <c r="C152" s="424"/>
      <c r="D152" s="424"/>
      <c r="E152" s="424"/>
      <c r="F152" s="424"/>
      <c r="G152" s="424"/>
      <c r="H152" s="430"/>
      <c r="I152" s="430"/>
      <c r="J152" s="87"/>
      <c r="K152" s="77"/>
    </row>
    <row r="153" spans="1:13" x14ac:dyDescent="0.2">
      <c r="A153" s="441" t="s">
        <v>362</v>
      </c>
      <c r="B153" s="423"/>
      <c r="C153" s="442">
        <f>C147+C151</f>
        <v>-28.899999999999977</v>
      </c>
      <c r="D153" s="442">
        <f t="shared" ref="D153:G153" si="50">D147+D151</f>
        <v>140.30000000000018</v>
      </c>
      <c r="E153" s="442">
        <f t="shared" si="50"/>
        <v>-119.74999999999979</v>
      </c>
      <c r="F153" s="442">
        <f t="shared" si="50"/>
        <v>18.900000000000006</v>
      </c>
      <c r="G153" s="442">
        <f t="shared" si="50"/>
        <v>133.19999999999999</v>
      </c>
      <c r="H153" s="443">
        <f>H147+H151</f>
        <v>187.29999999999998</v>
      </c>
      <c r="I153" s="443">
        <f>I147+I151</f>
        <v>187.29999999999998</v>
      </c>
      <c r="J153" s="78"/>
      <c r="K153" s="77"/>
    </row>
    <row r="154" spans="1:13" ht="18.75" customHeight="1" x14ac:dyDescent="0.2">
      <c r="A154" s="421"/>
      <c r="B154" s="423"/>
      <c r="C154" s="424"/>
      <c r="D154" s="424"/>
      <c r="E154" s="424"/>
      <c r="F154" s="424"/>
      <c r="G154" s="424"/>
      <c r="H154" s="430"/>
      <c r="I154" s="430"/>
      <c r="J154" s="78"/>
      <c r="K154" s="77"/>
    </row>
    <row r="155" spans="1:13" ht="8.25" customHeight="1" x14ac:dyDescent="0.2">
      <c r="A155" s="426" t="s">
        <v>363</v>
      </c>
      <c r="B155" s="423"/>
      <c r="C155" s="424"/>
      <c r="D155" s="424"/>
      <c r="E155" s="424"/>
      <c r="F155" s="424"/>
      <c r="G155" s="424"/>
      <c r="H155" s="430"/>
      <c r="I155" s="430"/>
      <c r="J155" s="84"/>
      <c r="K155" s="77"/>
    </row>
    <row r="156" spans="1:13" ht="10.5" customHeight="1" x14ac:dyDescent="0.2">
      <c r="A156" s="421" t="s">
        <v>364</v>
      </c>
      <c r="B156" s="423"/>
      <c r="C156" s="428">
        <f>IF(C98&lt;B98,C98-B98,0)</f>
        <v>0</v>
      </c>
      <c r="D156" s="428">
        <f t="shared" ref="D156:I158" si="51">IF(D98&lt;C98,D98-C98,0)</f>
        <v>0</v>
      </c>
      <c r="E156" s="428">
        <f t="shared" si="51"/>
        <v>0</v>
      </c>
      <c r="F156" s="428">
        <f t="shared" si="51"/>
        <v>0</v>
      </c>
      <c r="G156" s="428">
        <f t="shared" si="51"/>
        <v>0</v>
      </c>
      <c r="H156" s="429">
        <f t="shared" si="51"/>
        <v>0</v>
      </c>
      <c r="I156" s="429">
        <f t="shared" si="51"/>
        <v>0</v>
      </c>
      <c r="J156" s="84"/>
      <c r="K156" s="77"/>
    </row>
    <row r="157" spans="1:13" ht="22.5" customHeight="1" x14ac:dyDescent="0.2">
      <c r="A157" s="421" t="s">
        <v>365</v>
      </c>
      <c r="B157" s="423"/>
      <c r="C157" s="428">
        <f>IF(C99&lt;B99,C99-B99,0)</f>
        <v>0</v>
      </c>
      <c r="D157" s="428">
        <f t="shared" si="51"/>
        <v>0</v>
      </c>
      <c r="E157" s="428">
        <f t="shared" si="51"/>
        <v>0</v>
      </c>
      <c r="F157" s="428">
        <f t="shared" si="51"/>
        <v>0</v>
      </c>
      <c r="G157" s="428">
        <f t="shared" si="51"/>
        <v>0</v>
      </c>
      <c r="H157" s="429">
        <f t="shared" si="51"/>
        <v>0</v>
      </c>
      <c r="I157" s="429">
        <f t="shared" si="51"/>
        <v>0</v>
      </c>
      <c r="J157" s="84"/>
      <c r="K157" s="77"/>
    </row>
    <row r="158" spans="1:13" ht="10.5" customHeight="1" x14ac:dyDescent="0.2">
      <c r="A158" s="421" t="s">
        <v>366</v>
      </c>
      <c r="B158" s="423"/>
      <c r="C158" s="428">
        <f>IF(C100&lt;B100,C100-B100,0)</f>
        <v>0</v>
      </c>
      <c r="D158" s="428">
        <f t="shared" si="51"/>
        <v>0</v>
      </c>
      <c r="E158" s="428">
        <f t="shared" si="51"/>
        <v>-0.94999999999998863</v>
      </c>
      <c r="F158" s="428">
        <f t="shared" si="51"/>
        <v>-11.5</v>
      </c>
      <c r="G158" s="428">
        <f t="shared" si="51"/>
        <v>-20</v>
      </c>
      <c r="H158" s="429">
        <f t="shared" si="51"/>
        <v>0</v>
      </c>
      <c r="I158" s="429">
        <f t="shared" si="51"/>
        <v>0</v>
      </c>
      <c r="J158" s="84"/>
      <c r="K158" s="77"/>
    </row>
    <row r="159" spans="1:13" ht="14.25" customHeight="1" x14ac:dyDescent="0.2">
      <c r="A159" s="421" t="s">
        <v>367</v>
      </c>
      <c r="B159" s="423"/>
      <c r="C159" s="428">
        <f>IF(C108&lt;B108,C108-B108,0)</f>
        <v>0</v>
      </c>
      <c r="D159" s="428">
        <f t="shared" ref="D159:I160" si="52">IF(D108&lt;C108,D108-C108,0)</f>
        <v>0</v>
      </c>
      <c r="E159" s="428">
        <f t="shared" si="52"/>
        <v>-44.5</v>
      </c>
      <c r="F159" s="428">
        <f t="shared" si="52"/>
        <v>-31.5</v>
      </c>
      <c r="G159" s="428">
        <f t="shared" si="52"/>
        <v>-12</v>
      </c>
      <c r="H159" s="429">
        <f t="shared" si="52"/>
        <v>0</v>
      </c>
      <c r="I159" s="429">
        <f t="shared" si="52"/>
        <v>0</v>
      </c>
      <c r="J159" s="84"/>
      <c r="K159" s="77"/>
    </row>
    <row r="160" spans="1:13" x14ac:dyDescent="0.2">
      <c r="A160" s="421" t="s">
        <v>368</v>
      </c>
      <c r="B160" s="423"/>
      <c r="C160" s="428">
        <f>IF(C109&lt;B109,C109-B109,0)</f>
        <v>0</v>
      </c>
      <c r="D160" s="428">
        <f t="shared" si="52"/>
        <v>0</v>
      </c>
      <c r="E160" s="428">
        <f t="shared" si="52"/>
        <v>0</v>
      </c>
      <c r="F160" s="428">
        <f t="shared" si="52"/>
        <v>0</v>
      </c>
      <c r="G160" s="428">
        <f t="shared" si="52"/>
        <v>0</v>
      </c>
      <c r="H160" s="429">
        <f t="shared" si="52"/>
        <v>0</v>
      </c>
      <c r="I160" s="429">
        <f t="shared" si="52"/>
        <v>0</v>
      </c>
      <c r="J160" s="84"/>
      <c r="K160" s="77"/>
    </row>
    <row r="161" spans="1:11" x14ac:dyDescent="0.2">
      <c r="A161" s="421" t="s">
        <v>369</v>
      </c>
      <c r="B161" s="423"/>
      <c r="C161" s="444"/>
      <c r="D161" s="444"/>
      <c r="E161" s="428">
        <f t="shared" ref="E161:I161" si="53">IF(E113&lt;D113,E113-D113,0)</f>
        <v>0</v>
      </c>
      <c r="F161" s="428">
        <f t="shared" si="53"/>
        <v>0</v>
      </c>
      <c r="G161" s="428">
        <f t="shared" si="53"/>
        <v>0</v>
      </c>
      <c r="H161" s="429">
        <f t="shared" si="53"/>
        <v>0</v>
      </c>
      <c r="I161" s="429">
        <f t="shared" si="53"/>
        <v>0</v>
      </c>
      <c r="J161" s="84"/>
      <c r="K161" s="77"/>
    </row>
    <row r="162" spans="1:11" x14ac:dyDescent="0.2">
      <c r="A162" s="421" t="s">
        <v>370</v>
      </c>
      <c r="B162" s="423"/>
      <c r="C162" s="428">
        <f>IF(C110&lt;B110,C110-B110,0)+IF(C93&gt;B93,B93-C93,0)</f>
        <v>0</v>
      </c>
      <c r="D162" s="428">
        <f t="shared" ref="D162:I162" si="54">IF(D110&lt;C110,D110-C110,0)+IF(D93&gt;C93,C93-D93,0)</f>
        <v>0</v>
      </c>
      <c r="E162" s="428">
        <f t="shared" si="54"/>
        <v>0</v>
      </c>
      <c r="F162" s="428">
        <f t="shared" si="54"/>
        <v>0</v>
      </c>
      <c r="G162" s="428">
        <f t="shared" si="54"/>
        <v>0</v>
      </c>
      <c r="H162" s="428">
        <f t="shared" si="54"/>
        <v>0</v>
      </c>
      <c r="I162" s="428">
        <f t="shared" si="54"/>
        <v>0</v>
      </c>
      <c r="J162" s="84"/>
      <c r="K162" s="77"/>
    </row>
    <row r="163" spans="1:11" x14ac:dyDescent="0.2">
      <c r="A163" s="421" t="s">
        <v>371</v>
      </c>
      <c r="B163" s="423"/>
      <c r="C163" s="428">
        <f>IF(C111&lt;B111,C111-B111,0)</f>
        <v>0</v>
      </c>
      <c r="D163" s="428">
        <f t="shared" ref="D163:I163" si="55">IF(D111&lt;C111,D111-C111,0)</f>
        <v>0</v>
      </c>
      <c r="E163" s="428">
        <f t="shared" si="55"/>
        <v>0</v>
      </c>
      <c r="F163" s="428">
        <f t="shared" si="55"/>
        <v>0</v>
      </c>
      <c r="G163" s="428">
        <f t="shared" si="55"/>
        <v>0</v>
      </c>
      <c r="H163" s="429">
        <f t="shared" si="55"/>
        <v>0</v>
      </c>
      <c r="I163" s="429">
        <f t="shared" si="55"/>
        <v>0</v>
      </c>
      <c r="J163" s="84"/>
      <c r="K163" s="77"/>
    </row>
    <row r="164" spans="1:11" x14ac:dyDescent="0.2">
      <c r="A164" s="421" t="s">
        <v>372</v>
      </c>
      <c r="B164" s="423"/>
      <c r="C164" s="428">
        <f>IF(C114&lt;B114,C114-B114,0)</f>
        <v>0</v>
      </c>
      <c r="D164" s="428">
        <f t="shared" ref="D164:I164" si="56">IF(D114&lt;C114,D114-C114,0)</f>
        <v>0</v>
      </c>
      <c r="E164" s="428">
        <f t="shared" si="56"/>
        <v>-44.5</v>
      </c>
      <c r="F164" s="428">
        <f t="shared" si="56"/>
        <v>-31.5</v>
      </c>
      <c r="G164" s="428">
        <f t="shared" si="56"/>
        <v>-12</v>
      </c>
      <c r="H164" s="429">
        <f t="shared" si="56"/>
        <v>0</v>
      </c>
      <c r="I164" s="429">
        <f t="shared" si="56"/>
        <v>0</v>
      </c>
      <c r="J164" s="87"/>
      <c r="K164" s="77"/>
    </row>
    <row r="165" spans="1:11" x14ac:dyDescent="0.2">
      <c r="A165" s="421" t="s">
        <v>373</v>
      </c>
      <c r="B165" s="423"/>
      <c r="C165" s="428">
        <f t="shared" ref="C165:I165" si="57">IF(C120&lt;B120,C120-B120,0)+IF(C121&lt;B121,C121-B121,0)</f>
        <v>0</v>
      </c>
      <c r="D165" s="428">
        <f t="shared" si="57"/>
        <v>0</v>
      </c>
      <c r="E165" s="428">
        <f t="shared" si="57"/>
        <v>0</v>
      </c>
      <c r="F165" s="428">
        <f t="shared" si="57"/>
        <v>0</v>
      </c>
      <c r="G165" s="428">
        <f t="shared" si="57"/>
        <v>0</v>
      </c>
      <c r="H165" s="429">
        <f t="shared" si="57"/>
        <v>0</v>
      </c>
      <c r="I165" s="429">
        <f t="shared" si="57"/>
        <v>0</v>
      </c>
      <c r="J165" s="92"/>
      <c r="K165" s="77"/>
    </row>
    <row r="166" spans="1:11" x14ac:dyDescent="0.2">
      <c r="A166" s="421" t="s">
        <v>374</v>
      </c>
      <c r="B166" s="423"/>
      <c r="C166" s="428">
        <f>IF(C122&lt;B122,C122-B122,0)</f>
        <v>0</v>
      </c>
      <c r="D166" s="428">
        <f t="shared" ref="D166:I167" si="58">IF(D122&lt;C122,D122-C122,0)</f>
        <v>0</v>
      </c>
      <c r="E166" s="428">
        <f t="shared" si="58"/>
        <v>0</v>
      </c>
      <c r="F166" s="428">
        <f t="shared" si="58"/>
        <v>0</v>
      </c>
      <c r="G166" s="428">
        <f t="shared" si="58"/>
        <v>0</v>
      </c>
      <c r="H166" s="429">
        <f t="shared" si="58"/>
        <v>0</v>
      </c>
      <c r="I166" s="429">
        <f t="shared" si="58"/>
        <v>0</v>
      </c>
      <c r="J166" s="87"/>
      <c r="K166" s="77"/>
    </row>
    <row r="167" spans="1:11" x14ac:dyDescent="0.2">
      <c r="A167" s="425" t="s">
        <v>335</v>
      </c>
      <c r="B167" s="423"/>
      <c r="C167" s="428">
        <f>IF(C123&lt;B123,C123-B123,0)</f>
        <v>0</v>
      </c>
      <c r="D167" s="428">
        <f t="shared" si="58"/>
        <v>0</v>
      </c>
      <c r="E167" s="428">
        <f t="shared" si="58"/>
        <v>0</v>
      </c>
      <c r="F167" s="428">
        <f t="shared" si="58"/>
        <v>0</v>
      </c>
      <c r="G167" s="428">
        <f t="shared" si="58"/>
        <v>0</v>
      </c>
      <c r="H167" s="445">
        <f t="shared" si="58"/>
        <v>0</v>
      </c>
      <c r="I167" s="445">
        <f t="shared" si="58"/>
        <v>0</v>
      </c>
      <c r="J167" s="92"/>
      <c r="K167" s="77"/>
    </row>
    <row r="168" spans="1:11" x14ac:dyDescent="0.2">
      <c r="A168" s="441" t="s">
        <v>375</v>
      </c>
      <c r="B168" s="423"/>
      <c r="C168" s="446">
        <f>SUM(C156:C167)</f>
        <v>0</v>
      </c>
      <c r="D168" s="446">
        <f t="shared" ref="D168:I168" si="59">SUM(D156:D167)</f>
        <v>0</v>
      </c>
      <c r="E168" s="446">
        <f t="shared" si="59"/>
        <v>-89.949999999999989</v>
      </c>
      <c r="F168" s="446">
        <f t="shared" si="59"/>
        <v>-74.5</v>
      </c>
      <c r="G168" s="446">
        <f t="shared" si="59"/>
        <v>-44</v>
      </c>
      <c r="H168" s="440">
        <f t="shared" si="59"/>
        <v>0</v>
      </c>
      <c r="I168" s="440">
        <f t="shared" si="59"/>
        <v>0</v>
      </c>
      <c r="J168" s="87"/>
      <c r="K168" s="77"/>
    </row>
    <row r="169" spans="1:11" x14ac:dyDescent="0.2">
      <c r="A169" s="425"/>
      <c r="B169" s="423"/>
      <c r="C169" s="424"/>
      <c r="D169" s="424"/>
      <c r="E169" s="424"/>
      <c r="F169" s="424"/>
      <c r="G169" s="424"/>
      <c r="H169" s="430"/>
      <c r="I169" s="430"/>
      <c r="J169" s="78"/>
      <c r="K169" s="77"/>
    </row>
    <row r="170" spans="1:11" x14ac:dyDescent="0.2">
      <c r="A170" s="441" t="s">
        <v>376</v>
      </c>
      <c r="B170" s="423"/>
      <c r="C170" s="442">
        <f>C153+C168</f>
        <v>-28.899999999999977</v>
      </c>
      <c r="D170" s="442">
        <f t="shared" ref="D170:I170" si="60">D153+D168</f>
        <v>140.30000000000018</v>
      </c>
      <c r="E170" s="442">
        <f t="shared" si="60"/>
        <v>-209.69999999999976</v>
      </c>
      <c r="F170" s="442">
        <f t="shared" si="60"/>
        <v>-55.599999999999994</v>
      </c>
      <c r="G170" s="442">
        <f t="shared" si="60"/>
        <v>89.199999999999989</v>
      </c>
      <c r="H170" s="442">
        <f t="shared" si="60"/>
        <v>187.29999999999998</v>
      </c>
      <c r="I170" s="442">
        <f t="shared" si="60"/>
        <v>187.29999999999998</v>
      </c>
      <c r="J170" s="84"/>
      <c r="K170" s="77"/>
    </row>
    <row r="171" spans="1:11" x14ac:dyDescent="0.2">
      <c r="A171" s="425"/>
      <c r="B171" s="423"/>
      <c r="C171" s="423"/>
      <c r="D171" s="424"/>
      <c r="E171" s="424"/>
      <c r="F171" s="424"/>
      <c r="G171" s="424"/>
      <c r="H171" s="430"/>
      <c r="I171" s="430"/>
      <c r="J171" s="87"/>
      <c r="K171" s="77"/>
    </row>
    <row r="172" spans="1:11" x14ac:dyDescent="0.2">
      <c r="A172" s="426" t="s">
        <v>377</v>
      </c>
      <c r="B172" s="423"/>
      <c r="C172" s="423"/>
      <c r="D172" s="424"/>
      <c r="E172" s="424"/>
      <c r="F172" s="424"/>
      <c r="G172" s="424"/>
      <c r="H172" s="430"/>
      <c r="I172" s="430"/>
      <c r="J172" s="78"/>
      <c r="K172" s="77"/>
    </row>
    <row r="173" spans="1:11" x14ac:dyDescent="0.2">
      <c r="A173" s="421" t="s">
        <v>364</v>
      </c>
      <c r="B173" s="423"/>
      <c r="C173" s="428">
        <f>IF(C98&gt;B98,C98-B98,0)</f>
        <v>0</v>
      </c>
      <c r="D173" s="428">
        <f t="shared" ref="D173:I175" si="61">IF(D98&gt;C98,D98-C98,0)</f>
        <v>0</v>
      </c>
      <c r="E173" s="428">
        <f t="shared" si="61"/>
        <v>0</v>
      </c>
      <c r="F173" s="428">
        <f t="shared" si="61"/>
        <v>0</v>
      </c>
      <c r="G173" s="428">
        <f t="shared" si="61"/>
        <v>0</v>
      </c>
      <c r="H173" s="429">
        <f t="shared" si="61"/>
        <v>0</v>
      </c>
      <c r="I173" s="429">
        <f t="shared" si="61"/>
        <v>0</v>
      </c>
      <c r="J173" s="84"/>
      <c r="K173" s="77"/>
    </row>
    <row r="174" spans="1:11" x14ac:dyDescent="0.2">
      <c r="A174" s="421" t="s">
        <v>365</v>
      </c>
      <c r="B174" s="423"/>
      <c r="C174" s="428">
        <f>IF(C99&gt;B99,C99-B99,0)</f>
        <v>0</v>
      </c>
      <c r="D174" s="428">
        <f t="shared" si="61"/>
        <v>0</v>
      </c>
      <c r="E174" s="428">
        <f t="shared" si="61"/>
        <v>0</v>
      </c>
      <c r="F174" s="428">
        <f t="shared" si="61"/>
        <v>0</v>
      </c>
      <c r="G174" s="428">
        <f t="shared" si="61"/>
        <v>0</v>
      </c>
      <c r="H174" s="429">
        <f t="shared" si="61"/>
        <v>0</v>
      </c>
      <c r="I174" s="429">
        <f t="shared" si="61"/>
        <v>0</v>
      </c>
      <c r="J174" s="84"/>
      <c r="K174" s="77"/>
    </row>
    <row r="175" spans="1:11" x14ac:dyDescent="0.2">
      <c r="A175" s="421" t="s">
        <v>366</v>
      </c>
      <c r="B175" s="423"/>
      <c r="C175" s="428">
        <f>IF(C100&gt;B100,C100-B100,0)</f>
        <v>1</v>
      </c>
      <c r="D175" s="428">
        <f t="shared" si="61"/>
        <v>43.449999999999989</v>
      </c>
      <c r="E175" s="428">
        <f t="shared" si="61"/>
        <v>0</v>
      </c>
      <c r="F175" s="428">
        <f t="shared" si="61"/>
        <v>0</v>
      </c>
      <c r="G175" s="428">
        <f t="shared" si="61"/>
        <v>0</v>
      </c>
      <c r="H175" s="429">
        <f t="shared" si="61"/>
        <v>0</v>
      </c>
      <c r="I175" s="429">
        <f t="shared" si="61"/>
        <v>0</v>
      </c>
      <c r="J175" s="87"/>
      <c r="K175" s="77"/>
    </row>
    <row r="176" spans="1:11" ht="12" thickBot="1" x14ac:dyDescent="0.25">
      <c r="A176" s="421" t="s">
        <v>367</v>
      </c>
      <c r="B176" s="423"/>
      <c r="C176" s="428">
        <f>IF(C108&gt;B108,C108-B108,0)</f>
        <v>0</v>
      </c>
      <c r="D176" s="428">
        <f t="shared" ref="D176:I177" si="62">IF(D108&gt;C108,D108-C108,0)</f>
        <v>88</v>
      </c>
      <c r="E176" s="428">
        <f t="shared" si="62"/>
        <v>0</v>
      </c>
      <c r="F176" s="428">
        <f t="shared" si="62"/>
        <v>0</v>
      </c>
      <c r="G176" s="428">
        <f t="shared" si="62"/>
        <v>0</v>
      </c>
      <c r="H176" s="429">
        <f t="shared" si="62"/>
        <v>0</v>
      </c>
      <c r="I176" s="429">
        <f t="shared" si="62"/>
        <v>0</v>
      </c>
      <c r="J176" s="94"/>
      <c r="K176" s="95"/>
    </row>
    <row r="177" spans="1:9" x14ac:dyDescent="0.2">
      <c r="A177" s="421" t="s">
        <v>368</v>
      </c>
      <c r="B177" s="423"/>
      <c r="C177" s="428">
        <f>IF(C109&gt;B109,C109-B109,0)</f>
        <v>0</v>
      </c>
      <c r="D177" s="428">
        <f t="shared" si="62"/>
        <v>0</v>
      </c>
      <c r="E177" s="428">
        <f t="shared" si="62"/>
        <v>0</v>
      </c>
      <c r="F177" s="428">
        <f t="shared" si="62"/>
        <v>0</v>
      </c>
      <c r="G177" s="428">
        <f t="shared" si="62"/>
        <v>0</v>
      </c>
      <c r="H177" s="429">
        <f t="shared" si="62"/>
        <v>0</v>
      </c>
      <c r="I177" s="429">
        <f t="shared" si="62"/>
        <v>0</v>
      </c>
    </row>
    <row r="178" spans="1:9" x14ac:dyDescent="0.2">
      <c r="A178" s="421" t="s">
        <v>369</v>
      </c>
      <c r="B178" s="423"/>
      <c r="C178" s="444"/>
      <c r="D178" s="444"/>
      <c r="E178" s="428">
        <f t="shared" ref="E178:I178" si="63">IF(E113&gt;D113,E113-D113,0)</f>
        <v>0</v>
      </c>
      <c r="F178" s="428">
        <f t="shared" si="63"/>
        <v>0</v>
      </c>
      <c r="G178" s="428">
        <f t="shared" si="63"/>
        <v>0</v>
      </c>
      <c r="H178" s="429">
        <f t="shared" si="63"/>
        <v>0</v>
      </c>
      <c r="I178" s="429">
        <f t="shared" si="63"/>
        <v>0</v>
      </c>
    </row>
    <row r="179" spans="1:9" x14ac:dyDescent="0.2">
      <c r="A179" s="421" t="s">
        <v>378</v>
      </c>
      <c r="B179" s="423"/>
      <c r="C179" s="444"/>
      <c r="D179" s="444"/>
      <c r="E179" s="428">
        <f>'[1]EI DA Input Sheet'!E31</f>
        <v>0</v>
      </c>
      <c r="F179" s="428">
        <f>'[1]EI DA Input Sheet'!F31</f>
        <v>0</v>
      </c>
      <c r="G179" s="428">
        <f>'[1]EI DA Input Sheet'!G31</f>
        <v>0</v>
      </c>
      <c r="H179" s="429">
        <f>'[1]EI DA Input Sheet'!H31</f>
        <v>0</v>
      </c>
      <c r="I179" s="429">
        <f>'[1]EI DA Input Sheet'!I31</f>
        <v>0</v>
      </c>
    </row>
    <row r="180" spans="1:9" x14ac:dyDescent="0.2">
      <c r="A180" s="421" t="s">
        <v>370</v>
      </c>
      <c r="B180" s="423"/>
      <c r="C180" s="428">
        <f>IF(C110&gt;B110,C110-B110,0)+IF(C93&lt;B93,B93-C93,0)</f>
        <v>0</v>
      </c>
      <c r="D180" s="428">
        <f t="shared" ref="D180:I180" si="64">IF(D110&gt;C110,D110-C110,0)+IF(D93&lt;C93,C93-D93,0)</f>
        <v>0</v>
      </c>
      <c r="E180" s="428">
        <f t="shared" si="64"/>
        <v>0</v>
      </c>
      <c r="F180" s="428">
        <f t="shared" si="64"/>
        <v>0</v>
      </c>
      <c r="G180" s="428">
        <f t="shared" si="64"/>
        <v>0</v>
      </c>
      <c r="H180" s="428">
        <f t="shared" si="64"/>
        <v>0</v>
      </c>
      <c r="I180" s="428">
        <f t="shared" si="64"/>
        <v>0</v>
      </c>
    </row>
    <row r="181" spans="1:9" x14ac:dyDescent="0.2">
      <c r="A181" s="421" t="s">
        <v>371</v>
      </c>
      <c r="B181" s="423"/>
      <c r="C181" s="428">
        <f>IF(C111&gt;B111,C111-B111,0)</f>
        <v>0</v>
      </c>
      <c r="D181" s="428">
        <f t="shared" ref="D181:I181" si="65">IF(D111&gt;C111,D111-C111,0)</f>
        <v>0</v>
      </c>
      <c r="E181" s="428">
        <f t="shared" si="65"/>
        <v>0</v>
      </c>
      <c r="F181" s="428">
        <f t="shared" si="65"/>
        <v>0</v>
      </c>
      <c r="G181" s="428">
        <f t="shared" si="65"/>
        <v>0</v>
      </c>
      <c r="H181" s="429">
        <f t="shared" si="65"/>
        <v>0</v>
      </c>
      <c r="I181" s="429">
        <f t="shared" si="65"/>
        <v>0</v>
      </c>
    </row>
    <row r="182" spans="1:9" x14ac:dyDescent="0.2">
      <c r="A182" s="421" t="s">
        <v>372</v>
      </c>
      <c r="B182" s="423"/>
      <c r="C182" s="428">
        <f>IF(C114&gt;B114,C114-B114,0)</f>
        <v>0</v>
      </c>
      <c r="D182" s="428">
        <f t="shared" ref="D182:I182" si="66">IF(D114&gt;C114,D114-C114,0)</f>
        <v>88</v>
      </c>
      <c r="E182" s="428">
        <f t="shared" si="66"/>
        <v>0</v>
      </c>
      <c r="F182" s="428">
        <f t="shared" si="66"/>
        <v>0</v>
      </c>
      <c r="G182" s="428">
        <f t="shared" si="66"/>
        <v>0</v>
      </c>
      <c r="H182" s="429">
        <f t="shared" si="66"/>
        <v>0</v>
      </c>
      <c r="I182" s="429">
        <f t="shared" si="66"/>
        <v>0</v>
      </c>
    </row>
    <row r="183" spans="1:9" x14ac:dyDescent="0.2">
      <c r="A183" s="421" t="s">
        <v>373</v>
      </c>
      <c r="B183" s="423"/>
      <c r="C183" s="428">
        <f t="shared" ref="C183" si="67">IF(C120&gt;B120,C120-B120,0)</f>
        <v>0</v>
      </c>
      <c r="D183" s="428">
        <f t="shared" ref="D183:I183" si="68">IF(D120&gt;C120,D120-C120,0)+IF(D121&gt;C121,D121-C121,0)</f>
        <v>0</v>
      </c>
      <c r="E183" s="428">
        <f t="shared" si="68"/>
        <v>0</v>
      </c>
      <c r="F183" s="428">
        <f t="shared" si="68"/>
        <v>0</v>
      </c>
      <c r="G183" s="428">
        <f t="shared" si="68"/>
        <v>0</v>
      </c>
      <c r="H183" s="429">
        <f t="shared" si="68"/>
        <v>0</v>
      </c>
      <c r="I183" s="429">
        <f t="shared" si="68"/>
        <v>0</v>
      </c>
    </row>
    <row r="184" spans="1:9" x14ac:dyDescent="0.2">
      <c r="A184" s="421" t="s">
        <v>374</v>
      </c>
      <c r="B184" s="423"/>
      <c r="C184" s="428">
        <f>IF(C122&gt;B122,C122-B122,0)</f>
        <v>0</v>
      </c>
      <c r="D184" s="428">
        <f t="shared" ref="D184:I185" si="69">IF(D122&gt;C122,D122-C122,0)</f>
        <v>0</v>
      </c>
      <c r="E184" s="428">
        <f t="shared" si="69"/>
        <v>0</v>
      </c>
      <c r="F184" s="428">
        <f t="shared" si="69"/>
        <v>0</v>
      </c>
      <c r="G184" s="428">
        <f t="shared" si="69"/>
        <v>0</v>
      </c>
      <c r="H184" s="429">
        <f t="shared" si="69"/>
        <v>0</v>
      </c>
      <c r="I184" s="429">
        <f t="shared" si="69"/>
        <v>0</v>
      </c>
    </row>
    <row r="185" spans="1:9" x14ac:dyDescent="0.2">
      <c r="A185" s="425" t="s">
        <v>335</v>
      </c>
      <c r="B185" s="423"/>
      <c r="C185" s="428">
        <f>IF(C123&gt;B123,C123-B123,0)</f>
        <v>0</v>
      </c>
      <c r="D185" s="428">
        <f t="shared" si="69"/>
        <v>0</v>
      </c>
      <c r="E185" s="428">
        <f t="shared" si="69"/>
        <v>0</v>
      </c>
      <c r="F185" s="428">
        <f t="shared" si="69"/>
        <v>0</v>
      </c>
      <c r="G185" s="428">
        <f t="shared" si="69"/>
        <v>0</v>
      </c>
      <c r="H185" s="429">
        <f t="shared" si="69"/>
        <v>0</v>
      </c>
      <c r="I185" s="429">
        <f t="shared" si="69"/>
        <v>0</v>
      </c>
    </row>
    <row r="186" spans="1:9" ht="12" thickBot="1" x14ac:dyDescent="0.25">
      <c r="A186" s="441" t="s">
        <v>379</v>
      </c>
      <c r="B186" s="447"/>
      <c r="C186" s="434">
        <f t="shared" ref="C186:I186" si="70">SUM(C173:C185)</f>
        <v>1</v>
      </c>
      <c r="D186" s="434">
        <f t="shared" si="70"/>
        <v>219.45</v>
      </c>
      <c r="E186" s="434">
        <f t="shared" si="70"/>
        <v>0</v>
      </c>
      <c r="F186" s="434">
        <f t="shared" si="70"/>
        <v>0</v>
      </c>
      <c r="G186" s="434">
        <f t="shared" si="70"/>
        <v>0</v>
      </c>
      <c r="H186" s="435">
        <f t="shared" si="70"/>
        <v>0</v>
      </c>
      <c r="I186" s="435">
        <f t="shared" si="70"/>
        <v>0</v>
      </c>
    </row>
    <row r="187" spans="1:9" ht="12" thickTop="1" x14ac:dyDescent="0.2">
      <c r="A187" s="421"/>
      <c r="B187" s="423"/>
      <c r="C187" s="442"/>
      <c r="D187" s="442"/>
      <c r="E187" s="442"/>
      <c r="F187" s="442"/>
      <c r="G187" s="442"/>
      <c r="H187" s="443"/>
      <c r="I187" s="443"/>
    </row>
    <row r="188" spans="1:9" ht="12" thickBot="1" x14ac:dyDescent="0.25">
      <c r="A188" s="441" t="s">
        <v>148</v>
      </c>
      <c r="B188" s="447"/>
      <c r="C188" s="434">
        <f>C186+C168+C153</f>
        <v>-27.899999999999977</v>
      </c>
      <c r="D188" s="434">
        <f t="shared" ref="D188:I188" si="71">D186+D168+D153</f>
        <v>359.75000000000017</v>
      </c>
      <c r="E188" s="434">
        <f t="shared" si="71"/>
        <v>-209.69999999999976</v>
      </c>
      <c r="F188" s="434">
        <f t="shared" si="71"/>
        <v>-55.599999999999994</v>
      </c>
      <c r="G188" s="434">
        <f t="shared" si="71"/>
        <v>89.199999999999989</v>
      </c>
      <c r="H188" s="435">
        <f t="shared" si="71"/>
        <v>187.29999999999998</v>
      </c>
      <c r="I188" s="435">
        <f t="shared" si="71"/>
        <v>187.29999999999998</v>
      </c>
    </row>
    <row r="189" spans="1:9" ht="12" thickTop="1" x14ac:dyDescent="0.2">
      <c r="A189" s="421"/>
      <c r="B189" s="423"/>
      <c r="C189" s="442"/>
      <c r="D189" s="442"/>
      <c r="E189" s="442"/>
      <c r="F189" s="424"/>
      <c r="G189" s="424"/>
      <c r="H189" s="448"/>
      <c r="I189" s="448"/>
    </row>
    <row r="190" spans="1:9" x14ac:dyDescent="0.2">
      <c r="A190" s="421" t="s">
        <v>149</v>
      </c>
      <c r="B190" s="423"/>
      <c r="C190" s="428"/>
      <c r="D190" s="428"/>
      <c r="E190" s="428">
        <f>D92</f>
        <v>542</v>
      </c>
      <c r="F190" s="428">
        <f>E191</f>
        <v>332.30000000000024</v>
      </c>
      <c r="G190" s="428">
        <f>F191</f>
        <v>276.70000000000027</v>
      </c>
      <c r="H190" s="429">
        <f>G191</f>
        <v>365.90000000000026</v>
      </c>
      <c r="I190" s="429">
        <f>H191</f>
        <v>553.20000000000027</v>
      </c>
    </row>
    <row r="191" spans="1:9" ht="12" thickBot="1" x14ac:dyDescent="0.25">
      <c r="A191" s="441" t="s">
        <v>150</v>
      </c>
      <c r="B191" s="423"/>
      <c r="C191" s="439"/>
      <c r="D191" s="439"/>
      <c r="E191" s="436">
        <f>E190+E188</f>
        <v>332.30000000000024</v>
      </c>
      <c r="F191" s="436">
        <f>SUM(F$188,F$190)</f>
        <v>276.70000000000027</v>
      </c>
      <c r="G191" s="436">
        <f>SUM(G$188,G$190)</f>
        <v>365.90000000000026</v>
      </c>
      <c r="H191" s="437">
        <f>SUM(H$188,H$190)</f>
        <v>553.20000000000027</v>
      </c>
      <c r="I191" s="437">
        <f>SUM(I$188,I$190)</f>
        <v>740.50000000000023</v>
      </c>
    </row>
    <row r="192" spans="1:9" ht="12" thickTop="1" x14ac:dyDescent="0.2">
      <c r="A192" s="421"/>
      <c r="B192" s="423"/>
      <c r="C192" s="423"/>
      <c r="D192" s="424"/>
      <c r="E192" s="424"/>
      <c r="F192" s="424"/>
      <c r="G192" s="424"/>
      <c r="H192" s="448"/>
      <c r="I192" s="448"/>
    </row>
    <row r="193" spans="1:9" x14ac:dyDescent="0.2">
      <c r="A193" s="421" t="s">
        <v>151</v>
      </c>
      <c r="B193" s="423"/>
      <c r="C193" s="428"/>
      <c r="D193" s="428"/>
      <c r="E193" s="428">
        <f>E21</f>
        <v>0</v>
      </c>
      <c r="F193" s="428">
        <f t="shared" ref="F193:I194" si="72">F21</f>
        <v>0</v>
      </c>
      <c r="G193" s="428">
        <f t="shared" si="72"/>
        <v>0</v>
      </c>
      <c r="H193" s="429">
        <f t="shared" si="72"/>
        <v>0</v>
      </c>
      <c r="I193" s="429">
        <f t="shared" si="72"/>
        <v>0</v>
      </c>
    </row>
    <row r="194" spans="1:9" x14ac:dyDescent="0.2">
      <c r="A194" s="421" t="s">
        <v>152</v>
      </c>
      <c r="B194" s="423"/>
      <c r="C194" s="428"/>
      <c r="D194" s="428"/>
      <c r="E194" s="428">
        <f>E22</f>
        <v>0</v>
      </c>
      <c r="F194" s="428">
        <f t="shared" si="72"/>
        <v>0</v>
      </c>
      <c r="G194" s="428">
        <f t="shared" si="72"/>
        <v>0</v>
      </c>
      <c r="H194" s="429">
        <f t="shared" si="72"/>
        <v>0</v>
      </c>
      <c r="I194" s="429">
        <f t="shared" si="72"/>
        <v>0</v>
      </c>
    </row>
    <row r="195" spans="1:9" ht="12" thickBot="1" x14ac:dyDescent="0.25">
      <c r="A195" s="441" t="s">
        <v>153</v>
      </c>
      <c r="B195" s="449"/>
      <c r="C195" s="439"/>
      <c r="D195" s="439"/>
      <c r="E195" s="436">
        <f>+E$191-E$193-E$194</f>
        <v>332.30000000000024</v>
      </c>
      <c r="F195" s="436">
        <f>+F$191-F$193-F$194</f>
        <v>276.70000000000027</v>
      </c>
      <c r="G195" s="436">
        <f>+G$191-G$193-G$194</f>
        <v>365.90000000000026</v>
      </c>
      <c r="H195" s="437">
        <f>+H$191-H$193-H$194</f>
        <v>553.20000000000027</v>
      </c>
      <c r="I195" s="437">
        <f>+I$191-I$193-I$194</f>
        <v>740.50000000000023</v>
      </c>
    </row>
    <row r="196" spans="1:9" ht="12" thickTop="1" x14ac:dyDescent="0.2"/>
  </sheetData>
  <mergeCells count="4">
    <mergeCell ref="L12:L15"/>
    <mergeCell ref="L34:L37"/>
    <mergeCell ref="I3:J3"/>
    <mergeCell ref="I4:J4"/>
  </mergeCells>
  <conditionalFormatting sqref="B92:J92">
    <cfRule type="cellIs" dxfId="7" priority="7" operator="lessThan">
      <formula>0</formula>
    </cfRule>
  </conditionalFormatting>
  <conditionalFormatting sqref="C7:J7">
    <cfRule type="cellIs" dxfId="6" priority="8" operator="notEqual">
      <formula>12</formula>
    </cfRule>
  </conditionalFormatting>
  <conditionalFormatting sqref="C153:I153">
    <cfRule type="cellIs" dxfId="5" priority="1" operator="lessThan">
      <formula>0</formula>
    </cfRule>
    <cfRule type="cellIs" dxfId="4" priority="2" operator="greaterThan">
      <formula>0</formula>
    </cfRule>
  </conditionalFormatting>
  <dataValidations count="1">
    <dataValidation type="list" allowBlank="1" showInputMessage="1" showErrorMessage="1" sqref="A5:B5" xr:uid="{474A35FB-A5A7-4876-9E62-C927C563C956}">
      <formula1>accountinfo1</formula1>
    </dataValidation>
  </dataValidations>
  <pageMargins left="0.70833333333333304" right="0.70833333333333304" top="0.74791666666666701" bottom="0.74791666666666701" header="0.511811023622047" footer="0.511811023622047"/>
  <pageSetup paperSize="9" orientation="portrait" horizontalDpi="300" verticalDpi="300" r:id="rId1"/>
  <ignoredErrors>
    <ignoredError sqref="B13:I13 B17:I19 H15:I15 H16:I16 B21:I29 D20 H20:I20 B30:G30" unlocked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120"/>
  <sheetViews>
    <sheetView tabSelected="1" topLeftCell="A56" zoomScaleNormal="100" workbookViewId="0">
      <selection activeCell="M82" sqref="M82"/>
    </sheetView>
  </sheetViews>
  <sheetFormatPr defaultColWidth="0" defaultRowHeight="12.75" outlineLevelRow="1" x14ac:dyDescent="0.2"/>
  <cols>
    <col min="1" max="1" width="27.85546875" style="96" customWidth="1"/>
    <col min="2" max="13" width="10.28515625" style="96" customWidth="1"/>
    <col min="14" max="14" width="1.5703125" style="96" customWidth="1"/>
    <col min="15" max="15" width="12.140625" style="96" customWidth="1"/>
    <col min="16" max="16" width="1.5703125" style="96" customWidth="1"/>
    <col min="17" max="17" width="27.5703125" style="96" customWidth="1"/>
    <col min="18" max="25" width="10.28515625" style="96" customWidth="1"/>
    <col min="26" max="29" width="12.140625" style="96" customWidth="1"/>
    <col min="30" max="30" width="3.7109375" style="96" customWidth="1"/>
    <col min="31" max="33" width="12.140625" style="96" customWidth="1"/>
    <col min="34" max="16384" width="11.5703125" style="96" hidden="1"/>
  </cols>
  <sheetData>
    <row r="1" spans="1:37" s="98" customFormat="1" ht="12.75" customHeight="1" x14ac:dyDescent="0.2">
      <c r="A1" s="97"/>
    </row>
    <row r="2" spans="1:37" s="100" customFormat="1" ht="6.75" customHeight="1" x14ac:dyDescent="0.2">
      <c r="A2" s="97"/>
      <c r="B2" s="97"/>
      <c r="C2" s="97"/>
      <c r="D2" s="97"/>
      <c r="E2" s="99"/>
      <c r="F2" s="99"/>
      <c r="G2" s="99"/>
      <c r="H2" s="99"/>
      <c r="I2" s="99"/>
      <c r="J2" s="99"/>
      <c r="K2" s="99"/>
      <c r="L2" s="99"/>
      <c r="M2" s="99"/>
      <c r="N2" s="99"/>
      <c r="O2" s="99"/>
      <c r="P2" s="99"/>
      <c r="Q2" s="99"/>
      <c r="R2" s="99"/>
      <c r="S2" s="99"/>
      <c r="T2" s="99"/>
      <c r="U2" s="99"/>
      <c r="V2" s="99"/>
      <c r="W2" s="99"/>
      <c r="X2" s="99"/>
      <c r="Y2" s="99"/>
      <c r="Z2" s="99"/>
      <c r="AA2" s="99"/>
      <c r="AB2" s="99"/>
      <c r="AC2" s="99"/>
      <c r="AD2" s="99"/>
      <c r="AE2" s="99"/>
      <c r="AF2" s="99"/>
      <c r="AG2" s="99"/>
      <c r="AH2" s="99"/>
      <c r="AI2" s="99"/>
      <c r="AJ2" s="99"/>
      <c r="AK2" s="99"/>
    </row>
    <row r="3" spans="1:37" s="100" customFormat="1" x14ac:dyDescent="0.2">
      <c r="A3" s="97" t="s">
        <v>154</v>
      </c>
      <c r="B3" s="97"/>
      <c r="C3" s="97"/>
      <c r="D3" s="97"/>
      <c r="E3" s="99"/>
      <c r="F3" s="99"/>
      <c r="G3" s="99"/>
      <c r="H3" s="99"/>
      <c r="I3" s="99"/>
      <c r="J3" s="99"/>
      <c r="K3" s="99"/>
      <c r="L3" s="99"/>
      <c r="M3" s="99"/>
      <c r="N3" s="99"/>
      <c r="O3" s="99"/>
      <c r="Q3" s="99"/>
      <c r="R3" s="99"/>
      <c r="S3" s="99"/>
      <c r="T3" s="99"/>
      <c r="U3" s="99"/>
      <c r="V3" s="99"/>
      <c r="W3" s="99"/>
      <c r="X3" s="99"/>
      <c r="Y3" s="99"/>
      <c r="Z3" s="99"/>
      <c r="AA3" s="99"/>
      <c r="AB3" s="99"/>
      <c r="AC3" s="99"/>
      <c r="AD3" s="99"/>
      <c r="AE3" s="99"/>
      <c r="AF3" s="99"/>
      <c r="AG3" s="99"/>
      <c r="AH3" s="99"/>
      <c r="AI3" s="99"/>
      <c r="AJ3" s="99"/>
      <c r="AK3" s="99"/>
    </row>
    <row r="4" spans="1:37" s="100" customFormat="1" ht="7.5" customHeight="1" x14ac:dyDescent="0.2">
      <c r="A4" s="97"/>
      <c r="B4" s="97"/>
      <c r="C4" s="97"/>
      <c r="D4" s="97"/>
      <c r="E4" s="99"/>
      <c r="F4" s="99"/>
      <c r="G4" s="99"/>
      <c r="H4" s="99"/>
      <c r="I4" s="99"/>
      <c r="J4" s="99"/>
      <c r="K4" s="99"/>
      <c r="L4" s="99"/>
      <c r="M4" s="99"/>
      <c r="N4" s="99"/>
      <c r="O4" s="99"/>
      <c r="Q4" s="99"/>
      <c r="R4" s="99"/>
      <c r="S4" s="99"/>
      <c r="T4" s="99"/>
      <c r="U4" s="99"/>
      <c r="V4" s="99"/>
      <c r="W4" s="99"/>
      <c r="X4" s="99"/>
      <c r="Y4" s="99"/>
      <c r="Z4" s="99"/>
      <c r="AA4" s="99"/>
      <c r="AB4" s="99"/>
      <c r="AC4" s="99"/>
      <c r="AD4" s="99"/>
      <c r="AE4" s="99"/>
      <c r="AF4" s="99"/>
      <c r="AG4" s="99"/>
      <c r="AH4" s="99"/>
      <c r="AI4" s="99"/>
      <c r="AJ4" s="99"/>
      <c r="AK4" s="99"/>
    </row>
    <row r="5" spans="1:37" s="100" customFormat="1" x14ac:dyDescent="0.2">
      <c r="A5" s="97" t="s">
        <v>155</v>
      </c>
      <c r="B5" s="97"/>
      <c r="C5" s="97"/>
      <c r="D5" s="97"/>
      <c r="E5" s="99"/>
      <c r="F5" s="99"/>
      <c r="G5" s="99"/>
      <c r="H5" s="99"/>
      <c r="I5" s="99"/>
      <c r="J5" s="99"/>
      <c r="K5" s="99"/>
      <c r="L5" s="99"/>
      <c r="M5" s="99"/>
      <c r="N5" s="99"/>
      <c r="O5" s="99"/>
      <c r="Q5" s="99"/>
      <c r="R5" s="99"/>
      <c r="S5" s="99"/>
      <c r="T5" s="99"/>
      <c r="U5" s="99"/>
      <c r="V5" s="99"/>
      <c r="W5" s="99"/>
      <c r="X5" s="99"/>
      <c r="Y5" s="99"/>
      <c r="Z5" s="99"/>
      <c r="AA5" s="99"/>
      <c r="AB5" s="99"/>
      <c r="AC5" s="99"/>
      <c r="AD5" s="99"/>
      <c r="AE5" s="99"/>
      <c r="AF5" s="99"/>
      <c r="AG5" s="99"/>
      <c r="AH5" s="99"/>
      <c r="AI5" s="99"/>
      <c r="AJ5" s="99"/>
      <c r="AK5" s="99"/>
    </row>
    <row r="6" spans="1:37" x14ac:dyDescent="0.2">
      <c r="B6" s="101"/>
      <c r="C6" s="101"/>
      <c r="D6" s="101"/>
      <c r="E6" s="101"/>
      <c r="F6" s="101"/>
      <c r="G6" s="101"/>
      <c r="H6" s="101"/>
      <c r="I6" s="101"/>
      <c r="J6" s="101"/>
      <c r="K6" s="101"/>
      <c r="L6" s="101"/>
      <c r="M6" s="101"/>
      <c r="N6" s="101"/>
      <c r="O6" s="101"/>
      <c r="P6" s="102"/>
      <c r="Q6" s="98"/>
      <c r="R6" s="98"/>
      <c r="S6" s="98"/>
      <c r="T6" s="98"/>
      <c r="U6" s="98"/>
      <c r="V6" s="98"/>
      <c r="W6" s="98"/>
      <c r="X6" s="98"/>
      <c r="Y6" s="98"/>
      <c r="Z6" s="98"/>
      <c r="AA6" s="98"/>
      <c r="AB6" s="98"/>
      <c r="AC6" s="98"/>
      <c r="AD6" s="98"/>
      <c r="AE6" s="98"/>
      <c r="AF6" s="98"/>
      <c r="AG6" s="98"/>
      <c r="AH6" s="98"/>
      <c r="AI6" s="98"/>
      <c r="AJ6" s="98"/>
      <c r="AK6" s="98"/>
    </row>
    <row r="7" spans="1:37" ht="15.75" x14ac:dyDescent="0.25">
      <c r="A7" s="103" t="s">
        <v>156</v>
      </c>
      <c r="B7" s="28"/>
      <c r="C7" s="28"/>
      <c r="D7" s="28"/>
      <c r="E7" s="28"/>
      <c r="F7" s="29"/>
      <c r="G7" s="29"/>
      <c r="H7" s="29"/>
      <c r="I7" s="29"/>
      <c r="J7" s="29"/>
      <c r="K7" s="29"/>
      <c r="L7" s="29"/>
      <c r="M7" s="40"/>
      <c r="N7" s="104"/>
      <c r="O7" s="27" t="s">
        <v>132</v>
      </c>
      <c r="P7" s="105"/>
      <c r="Q7" s="106" t="s">
        <v>157</v>
      </c>
      <c r="R7" s="28"/>
      <c r="S7" s="28"/>
      <c r="T7" s="28"/>
      <c r="U7" s="28"/>
      <c r="V7" s="28"/>
      <c r="W7" s="28"/>
      <c r="X7" s="28"/>
      <c r="Y7" s="28"/>
      <c r="Z7" s="28"/>
      <c r="AA7" s="28"/>
      <c r="AB7" s="28"/>
      <c r="AC7" s="40"/>
      <c r="AD7" s="104"/>
      <c r="AE7" s="107" t="s">
        <v>132</v>
      </c>
      <c r="AF7" s="98"/>
      <c r="AG7" s="98"/>
      <c r="AH7" s="98"/>
      <c r="AI7" s="98"/>
      <c r="AJ7" s="98"/>
      <c r="AK7" s="98"/>
    </row>
    <row r="8" spans="1:37" x14ac:dyDescent="0.2">
      <c r="A8" s="34" t="s">
        <v>158</v>
      </c>
      <c r="B8" s="108">
        <v>44927</v>
      </c>
      <c r="C8" s="109">
        <f t="shared" ref="C8:M8" si="0">IF(B8="MM/YY","MM/YY",DATE(YEAR(B8),MONTH(B8)+1+COLUMN(C8)-COLUMN(B$8),1)-1)</f>
        <v>44985</v>
      </c>
      <c r="D8" s="109">
        <f t="shared" si="0"/>
        <v>45016</v>
      </c>
      <c r="E8" s="109">
        <f t="shared" si="0"/>
        <v>45046</v>
      </c>
      <c r="F8" s="109">
        <f t="shared" si="0"/>
        <v>45077</v>
      </c>
      <c r="G8" s="109">
        <f t="shared" si="0"/>
        <v>45107</v>
      </c>
      <c r="H8" s="109">
        <f t="shared" si="0"/>
        <v>45138</v>
      </c>
      <c r="I8" s="109">
        <f t="shared" si="0"/>
        <v>45169</v>
      </c>
      <c r="J8" s="109">
        <f t="shared" si="0"/>
        <v>45199</v>
      </c>
      <c r="K8" s="109">
        <f t="shared" si="0"/>
        <v>45230</v>
      </c>
      <c r="L8" s="109">
        <f t="shared" si="0"/>
        <v>45260</v>
      </c>
      <c r="M8" s="110">
        <f t="shared" si="0"/>
        <v>45291</v>
      </c>
      <c r="N8" s="111"/>
      <c r="O8" s="112">
        <f>M8</f>
        <v>45291</v>
      </c>
      <c r="P8" s="113"/>
      <c r="Q8" s="114" t="s">
        <v>158</v>
      </c>
      <c r="R8" s="115">
        <f>IF(M8="MM/YY","MM/YY",DATE(YEAR(M8),MONTH(M8)+1+COLUMN(N8)-COLUMN(M$8),1)-1)</f>
        <v>45322</v>
      </c>
      <c r="S8" s="116">
        <f t="shared" ref="S8:AC8" si="1">IF(R8="MM/YY","MM/YY",DATE(YEAR(R8),MONTH(R8)+1+COLUMN(S8)-COLUMN(R$8),1)-1)</f>
        <v>45351</v>
      </c>
      <c r="T8" s="116">
        <f t="shared" si="1"/>
        <v>45382</v>
      </c>
      <c r="U8" s="116">
        <f t="shared" si="1"/>
        <v>45412</v>
      </c>
      <c r="V8" s="116">
        <f t="shared" si="1"/>
        <v>45443</v>
      </c>
      <c r="W8" s="116">
        <f t="shared" si="1"/>
        <v>45473</v>
      </c>
      <c r="X8" s="116">
        <f t="shared" si="1"/>
        <v>45504</v>
      </c>
      <c r="Y8" s="116">
        <f t="shared" si="1"/>
        <v>45535</v>
      </c>
      <c r="Z8" s="116">
        <f t="shared" si="1"/>
        <v>45565</v>
      </c>
      <c r="AA8" s="116">
        <f t="shared" si="1"/>
        <v>45596</v>
      </c>
      <c r="AB8" s="116">
        <f t="shared" si="1"/>
        <v>45626</v>
      </c>
      <c r="AC8" s="117">
        <f t="shared" si="1"/>
        <v>45657</v>
      </c>
      <c r="AD8" s="118"/>
      <c r="AE8" s="119">
        <f>AC8</f>
        <v>45657</v>
      </c>
      <c r="AF8" s="98"/>
      <c r="AG8" s="98"/>
      <c r="AH8" s="98"/>
      <c r="AI8" s="98"/>
      <c r="AJ8" s="98"/>
      <c r="AK8" s="98"/>
    </row>
    <row r="9" spans="1:37" x14ac:dyDescent="0.2">
      <c r="A9" s="49"/>
      <c r="B9" s="120" t="s">
        <v>55</v>
      </c>
      <c r="C9" s="47" t="s">
        <v>55</v>
      </c>
      <c r="D9" s="47" t="s">
        <v>55</v>
      </c>
      <c r="E9" s="47" t="s">
        <v>55</v>
      </c>
      <c r="F9" s="47" t="s">
        <v>55</v>
      </c>
      <c r="G9" s="47" t="s">
        <v>55</v>
      </c>
      <c r="H9" s="47" t="s">
        <v>55</v>
      </c>
      <c r="I9" s="47" t="s">
        <v>55</v>
      </c>
      <c r="J9" s="47" t="s">
        <v>55</v>
      </c>
      <c r="K9" s="47" t="s">
        <v>55</v>
      </c>
      <c r="L9" s="47" t="s">
        <v>55</v>
      </c>
      <c r="M9" s="121" t="s">
        <v>55</v>
      </c>
      <c r="N9" s="122"/>
      <c r="O9" s="123" t="s">
        <v>55</v>
      </c>
      <c r="P9" s="124"/>
      <c r="Q9" s="125"/>
      <c r="R9" s="46" t="s">
        <v>55</v>
      </c>
      <c r="S9" s="47" t="s">
        <v>55</v>
      </c>
      <c r="T9" s="47" t="s">
        <v>55</v>
      </c>
      <c r="U9" s="47" t="s">
        <v>55</v>
      </c>
      <c r="V9" s="47" t="s">
        <v>55</v>
      </c>
      <c r="W9" s="47" t="s">
        <v>55</v>
      </c>
      <c r="X9" s="47" t="s">
        <v>55</v>
      </c>
      <c r="Y9" s="47" t="s">
        <v>55</v>
      </c>
      <c r="Z9" s="47" t="s">
        <v>55</v>
      </c>
      <c r="AA9" s="47" t="s">
        <v>55</v>
      </c>
      <c r="AB9" s="47" t="s">
        <v>55</v>
      </c>
      <c r="AC9" s="126" t="s">
        <v>55</v>
      </c>
      <c r="AD9" s="122"/>
      <c r="AE9" s="127" t="s">
        <v>55</v>
      </c>
      <c r="AF9" s="98"/>
      <c r="AG9" s="98"/>
      <c r="AH9" s="98"/>
      <c r="AI9" s="98"/>
      <c r="AJ9" s="98"/>
      <c r="AK9" s="98"/>
    </row>
    <row r="10" spans="1:37" ht="15" x14ac:dyDescent="0.25">
      <c r="A10" s="128" t="s">
        <v>159</v>
      </c>
      <c r="B10" s="129"/>
      <c r="C10" s="130"/>
      <c r="D10" s="130"/>
      <c r="E10" s="131"/>
      <c r="F10" s="131"/>
      <c r="G10" s="131"/>
      <c r="H10" s="131"/>
      <c r="I10" s="131"/>
      <c r="J10" s="131"/>
      <c r="K10" s="131"/>
      <c r="L10" s="131"/>
      <c r="M10" s="132"/>
      <c r="N10" s="98"/>
      <c r="O10" s="133"/>
      <c r="P10" s="134"/>
      <c r="Q10" s="135" t="s">
        <v>159</v>
      </c>
      <c r="R10" s="67"/>
      <c r="S10" s="63"/>
      <c r="T10" s="63"/>
      <c r="U10" s="98"/>
      <c r="V10" s="98"/>
      <c r="W10" s="98"/>
      <c r="X10" s="98"/>
      <c r="Y10" s="98"/>
      <c r="Z10" s="98"/>
      <c r="AA10" s="98"/>
      <c r="AB10" s="98"/>
      <c r="AC10" s="136"/>
      <c r="AD10" s="98"/>
      <c r="AE10" s="137"/>
      <c r="AF10" s="98"/>
      <c r="AG10" s="98"/>
      <c r="AH10" s="98"/>
      <c r="AI10" s="98"/>
      <c r="AJ10" s="98"/>
      <c r="AK10" s="98"/>
    </row>
    <row r="11" spans="1:37" ht="23.25" hidden="1" x14ac:dyDescent="0.25">
      <c r="A11" s="138" t="s">
        <v>160</v>
      </c>
      <c r="B11" s="139"/>
      <c r="C11" s="140"/>
      <c r="D11" s="140"/>
      <c r="E11" s="140"/>
      <c r="F11" s="140"/>
      <c r="G11" s="140"/>
      <c r="H11" s="140"/>
      <c r="I11" s="140"/>
      <c r="J11" s="140"/>
      <c r="K11" s="140"/>
      <c r="L11" s="140"/>
      <c r="M11" s="141"/>
      <c r="N11" s="142"/>
      <c r="O11" s="143">
        <f>SUM(B11:M11)</f>
        <v>0</v>
      </c>
      <c r="P11" s="144"/>
      <c r="Q11" s="145" t="s">
        <v>160</v>
      </c>
      <c r="R11" s="146"/>
      <c r="S11" s="140"/>
      <c r="T11" s="140"/>
      <c r="U11" s="131"/>
      <c r="V11" s="131"/>
      <c r="W11" s="131"/>
      <c r="X11" s="131"/>
      <c r="Y11" s="131"/>
      <c r="Z11" s="131"/>
      <c r="AA11" s="131"/>
      <c r="AB11" s="131"/>
      <c r="AC11" s="147"/>
      <c r="AD11" s="142"/>
      <c r="AE11" s="148">
        <f>SUM(R11:AC11)</f>
        <v>0</v>
      </c>
      <c r="AF11" s="98"/>
      <c r="AG11" s="98"/>
      <c r="AH11" s="98"/>
      <c r="AI11" s="98"/>
      <c r="AJ11" s="98"/>
      <c r="AK11" s="98"/>
    </row>
    <row r="12" spans="1:37" ht="34.5" customHeight="1" x14ac:dyDescent="0.25">
      <c r="A12" s="138" t="s">
        <v>161</v>
      </c>
      <c r="B12" s="149"/>
      <c r="C12" s="140"/>
      <c r="D12" s="140"/>
      <c r="E12" s="140"/>
      <c r="F12" s="140"/>
      <c r="G12" s="140"/>
      <c r="H12" s="140"/>
      <c r="I12" s="140"/>
      <c r="J12" s="140"/>
      <c r="K12" s="140"/>
      <c r="L12" s="140"/>
      <c r="M12" s="141"/>
      <c r="N12" s="142"/>
      <c r="O12" s="143">
        <f>SUM(B12:M12)</f>
        <v>0</v>
      </c>
      <c r="P12" s="144"/>
      <c r="Q12" s="138" t="s">
        <v>161</v>
      </c>
      <c r="R12" s="146"/>
      <c r="S12" s="140"/>
      <c r="T12" s="140"/>
      <c r="U12" s="140"/>
      <c r="V12" s="140"/>
      <c r="W12" s="140"/>
      <c r="X12" s="140"/>
      <c r="Y12" s="140"/>
      <c r="Z12" s="140"/>
      <c r="AA12" s="140"/>
      <c r="AB12" s="140"/>
      <c r="AC12" s="150"/>
      <c r="AD12" s="142"/>
      <c r="AE12" s="148">
        <f>SUM(R12:AC12)</f>
        <v>0</v>
      </c>
      <c r="AF12" s="98"/>
      <c r="AG12" s="98"/>
      <c r="AH12" s="98"/>
      <c r="AI12" s="98"/>
      <c r="AJ12" s="98"/>
      <c r="AK12" s="98"/>
    </row>
    <row r="13" spans="1:37" ht="15" x14ac:dyDescent="0.25">
      <c r="A13" s="151" t="s">
        <v>162</v>
      </c>
      <c r="B13" s="152"/>
      <c r="C13" s="140"/>
      <c r="D13" s="140"/>
      <c r="E13" s="140"/>
      <c r="F13" s="140"/>
      <c r="G13" s="140"/>
      <c r="H13" s="140"/>
      <c r="I13" s="140"/>
      <c r="J13" s="140"/>
      <c r="K13" s="140"/>
      <c r="L13" s="140"/>
      <c r="M13" s="141"/>
      <c r="N13" s="142"/>
      <c r="O13" s="143">
        <f>SUM(B13:M13)</f>
        <v>0</v>
      </c>
      <c r="P13" s="144"/>
      <c r="Q13" s="153" t="s">
        <v>162</v>
      </c>
      <c r="R13" s="146"/>
      <c r="S13" s="140"/>
      <c r="T13" s="140"/>
      <c r="U13" s="140"/>
      <c r="V13" s="140"/>
      <c r="W13" s="140"/>
      <c r="X13" s="140"/>
      <c r="Y13" s="140"/>
      <c r="Z13" s="140"/>
      <c r="AA13" s="140"/>
      <c r="AB13" s="140"/>
      <c r="AC13" s="150"/>
      <c r="AD13" s="142"/>
      <c r="AE13" s="148">
        <f>SUM(R13:AC13)</f>
        <v>0</v>
      </c>
      <c r="AF13" s="98"/>
      <c r="AG13" s="98"/>
      <c r="AH13" s="98"/>
      <c r="AI13" s="98"/>
      <c r="AJ13" s="98"/>
      <c r="AK13" s="98"/>
    </row>
    <row r="14" spans="1:37" ht="15" x14ac:dyDescent="0.25">
      <c r="A14" s="151" t="s">
        <v>162</v>
      </c>
      <c r="B14" s="149"/>
      <c r="C14" s="140"/>
      <c r="D14" s="140"/>
      <c r="E14" s="131"/>
      <c r="F14" s="131"/>
      <c r="G14" s="131"/>
      <c r="H14" s="131"/>
      <c r="I14" s="131"/>
      <c r="J14" s="131"/>
      <c r="K14" s="131"/>
      <c r="L14" s="131"/>
      <c r="M14" s="132"/>
      <c r="N14" s="142"/>
      <c r="O14" s="143">
        <f>SUM(B14:M14)</f>
        <v>0</v>
      </c>
      <c r="P14" s="144"/>
      <c r="Q14" s="153" t="s">
        <v>162</v>
      </c>
      <c r="R14" s="146"/>
      <c r="S14" s="140"/>
      <c r="T14" s="140"/>
      <c r="U14" s="131"/>
      <c r="V14" s="131"/>
      <c r="W14" s="131"/>
      <c r="X14" s="131"/>
      <c r="Y14" s="131"/>
      <c r="Z14" s="131"/>
      <c r="AA14" s="131"/>
      <c r="AB14" s="131"/>
      <c r="AC14" s="147"/>
      <c r="AD14" s="142"/>
      <c r="AE14" s="148">
        <f>SUM(R14:AC14)</f>
        <v>0</v>
      </c>
      <c r="AF14" s="98"/>
      <c r="AG14" s="98"/>
      <c r="AH14" s="98"/>
      <c r="AI14" s="98"/>
      <c r="AJ14" s="98"/>
      <c r="AK14" s="98"/>
    </row>
    <row r="15" spans="1:37" ht="3" customHeight="1" x14ac:dyDescent="0.25">
      <c r="A15" s="154"/>
      <c r="B15" s="149"/>
      <c r="C15" s="140"/>
      <c r="D15" s="140"/>
      <c r="E15" s="131"/>
      <c r="F15" s="131"/>
      <c r="G15" s="131"/>
      <c r="H15" s="131"/>
      <c r="I15" s="131"/>
      <c r="J15" s="131"/>
      <c r="K15" s="131"/>
      <c r="L15" s="131"/>
      <c r="M15" s="132"/>
      <c r="N15" s="98"/>
      <c r="O15" s="133"/>
      <c r="P15" s="155"/>
      <c r="Q15" s="156"/>
      <c r="R15" s="146"/>
      <c r="S15" s="140"/>
      <c r="T15" s="140"/>
      <c r="U15" s="131"/>
      <c r="V15" s="131"/>
      <c r="W15" s="131"/>
      <c r="X15" s="131"/>
      <c r="Y15" s="131"/>
      <c r="Z15" s="131"/>
      <c r="AA15" s="131"/>
      <c r="AB15" s="131"/>
      <c r="AC15" s="147"/>
      <c r="AD15" s="98"/>
      <c r="AE15" s="137"/>
      <c r="AF15" s="98"/>
      <c r="AG15" s="98"/>
      <c r="AH15" s="98"/>
      <c r="AI15" s="98"/>
      <c r="AJ15" s="98"/>
      <c r="AK15" s="98"/>
    </row>
    <row r="16" spans="1:37" ht="12.75" customHeight="1" x14ac:dyDescent="0.25">
      <c r="A16" s="157" t="s">
        <v>163</v>
      </c>
      <c r="B16" s="149"/>
      <c r="C16" s="140"/>
      <c r="D16" s="140"/>
      <c r="E16" s="131"/>
      <c r="F16" s="131"/>
      <c r="G16" s="131"/>
      <c r="H16" s="131"/>
      <c r="I16" s="131"/>
      <c r="J16" s="131"/>
      <c r="K16" s="131"/>
      <c r="L16" s="131"/>
      <c r="M16" s="132"/>
      <c r="N16" s="98"/>
      <c r="O16" s="133"/>
      <c r="P16" s="134"/>
      <c r="Q16" s="158" t="s">
        <v>163</v>
      </c>
      <c r="R16" s="146"/>
      <c r="S16" s="140"/>
      <c r="T16" s="140"/>
      <c r="U16" s="140"/>
      <c r="V16" s="140"/>
      <c r="W16" s="140"/>
      <c r="X16" s="140"/>
      <c r="Y16" s="140"/>
      <c r="Z16" s="140"/>
      <c r="AA16" s="140"/>
      <c r="AB16" s="140"/>
      <c r="AC16" s="150"/>
      <c r="AD16" s="98"/>
      <c r="AE16" s="137"/>
      <c r="AF16" s="98"/>
      <c r="AG16" s="98"/>
      <c r="AH16" s="98"/>
      <c r="AI16" s="98"/>
      <c r="AJ16" s="98"/>
      <c r="AK16" s="98"/>
    </row>
    <row r="17" spans="1:37" ht="15" x14ac:dyDescent="0.25">
      <c r="A17" s="138" t="s">
        <v>164</v>
      </c>
      <c r="B17" s="149"/>
      <c r="C17" s="140"/>
      <c r="D17" s="140"/>
      <c r="E17" s="140"/>
      <c r="F17" s="140"/>
      <c r="G17" s="140"/>
      <c r="H17" s="140"/>
      <c r="I17" s="140"/>
      <c r="J17" s="140"/>
      <c r="K17" s="140"/>
      <c r="L17" s="140"/>
      <c r="M17" s="141"/>
      <c r="N17" s="142"/>
      <c r="O17" s="143">
        <f>SUM(B17:M17)</f>
        <v>0</v>
      </c>
      <c r="P17" s="144"/>
      <c r="Q17" s="145" t="s">
        <v>164</v>
      </c>
      <c r="R17" s="146"/>
      <c r="S17" s="140"/>
      <c r="T17" s="140"/>
      <c r="U17" s="140"/>
      <c r="V17" s="140"/>
      <c r="W17" s="140"/>
      <c r="X17" s="140"/>
      <c r="Y17" s="140"/>
      <c r="Z17" s="140"/>
      <c r="AA17" s="140"/>
      <c r="AB17" s="140"/>
      <c r="AC17" s="150"/>
      <c r="AD17" s="142"/>
      <c r="AE17" s="148">
        <f>SUM(R17:AC17)</f>
        <v>0</v>
      </c>
      <c r="AF17" s="98"/>
      <c r="AG17" s="98"/>
      <c r="AH17" s="98"/>
      <c r="AI17" s="98"/>
      <c r="AJ17" s="98"/>
      <c r="AK17" s="98"/>
    </row>
    <row r="18" spans="1:37" ht="15" x14ac:dyDescent="0.25">
      <c r="A18" s="138" t="s">
        <v>165</v>
      </c>
      <c r="B18" s="149"/>
      <c r="C18" s="140"/>
      <c r="D18" s="140"/>
      <c r="E18" s="140"/>
      <c r="F18" s="140"/>
      <c r="G18" s="140"/>
      <c r="H18" s="140"/>
      <c r="I18" s="140"/>
      <c r="J18" s="140"/>
      <c r="K18" s="140"/>
      <c r="L18" s="140"/>
      <c r="M18" s="141"/>
      <c r="N18" s="142"/>
      <c r="O18" s="143">
        <f>SUM(B18:M18)</f>
        <v>0</v>
      </c>
      <c r="P18" s="144"/>
      <c r="Q18" s="145" t="s">
        <v>165</v>
      </c>
      <c r="R18" s="146"/>
      <c r="S18" s="140"/>
      <c r="T18" s="140"/>
      <c r="U18" s="131"/>
      <c r="V18" s="131"/>
      <c r="W18" s="131"/>
      <c r="X18" s="131"/>
      <c r="Y18" s="131"/>
      <c r="Z18" s="131"/>
      <c r="AA18" s="131"/>
      <c r="AB18" s="131"/>
      <c r="AC18" s="147"/>
      <c r="AD18" s="142"/>
      <c r="AE18" s="148">
        <f>SUM(R18:AC18)</f>
        <v>0</v>
      </c>
      <c r="AF18" s="98"/>
      <c r="AG18" s="98"/>
      <c r="AH18" s="98"/>
      <c r="AI18" s="98"/>
      <c r="AJ18" s="98"/>
      <c r="AK18" s="98"/>
    </row>
    <row r="19" spans="1:37" ht="3" customHeight="1" x14ac:dyDescent="0.25">
      <c r="A19" s="154"/>
      <c r="B19" s="149"/>
      <c r="C19" s="140"/>
      <c r="D19" s="140"/>
      <c r="E19" s="131"/>
      <c r="F19" s="131"/>
      <c r="G19" s="131"/>
      <c r="H19" s="131"/>
      <c r="I19" s="131"/>
      <c r="J19" s="131"/>
      <c r="K19" s="131"/>
      <c r="L19" s="131"/>
      <c r="M19" s="132"/>
      <c r="N19" s="98"/>
      <c r="O19" s="133"/>
      <c r="P19" s="155"/>
      <c r="Q19" s="156"/>
      <c r="R19" s="146"/>
      <c r="S19" s="140"/>
      <c r="T19" s="140"/>
      <c r="U19" s="140"/>
      <c r="V19" s="140"/>
      <c r="W19" s="140"/>
      <c r="X19" s="140"/>
      <c r="Y19" s="140"/>
      <c r="Z19" s="140"/>
      <c r="AA19" s="140"/>
      <c r="AB19" s="140"/>
      <c r="AC19" s="150"/>
      <c r="AD19" s="98"/>
      <c r="AE19" s="137"/>
      <c r="AF19" s="98"/>
      <c r="AG19" s="98"/>
      <c r="AH19" s="98"/>
      <c r="AI19" s="98"/>
      <c r="AJ19" s="98"/>
      <c r="AK19" s="98"/>
    </row>
    <row r="20" spans="1:37" ht="15" x14ac:dyDescent="0.25">
      <c r="A20" s="159" t="s">
        <v>166</v>
      </c>
      <c r="B20" s="149"/>
      <c r="C20" s="140"/>
      <c r="D20" s="140"/>
      <c r="E20" s="131"/>
      <c r="F20" s="131"/>
      <c r="G20" s="131"/>
      <c r="H20" s="131"/>
      <c r="I20" s="131"/>
      <c r="J20" s="131"/>
      <c r="K20" s="131"/>
      <c r="L20" s="131"/>
      <c r="M20" s="132"/>
      <c r="N20" s="98"/>
      <c r="O20" s="133"/>
      <c r="P20" s="155"/>
      <c r="Q20" s="160" t="s">
        <v>166</v>
      </c>
      <c r="R20" s="161"/>
      <c r="S20" s="142"/>
      <c r="T20" s="142"/>
      <c r="U20" s="98"/>
      <c r="V20" s="98"/>
      <c r="W20" s="98"/>
      <c r="X20" s="98"/>
      <c r="Y20" s="98"/>
      <c r="Z20" s="98"/>
      <c r="AA20" s="98"/>
      <c r="AB20" s="98"/>
      <c r="AC20" s="136"/>
      <c r="AD20" s="98"/>
      <c r="AE20" s="137"/>
      <c r="AF20" s="98"/>
      <c r="AG20" s="98"/>
      <c r="AH20" s="98"/>
      <c r="AI20" s="98"/>
      <c r="AJ20" s="98"/>
      <c r="AK20" s="98"/>
    </row>
    <row r="21" spans="1:37" ht="12.75" customHeight="1" x14ac:dyDescent="0.25">
      <c r="A21" s="138" t="s">
        <v>167</v>
      </c>
      <c r="B21" s="149"/>
      <c r="C21" s="140"/>
      <c r="D21" s="140"/>
      <c r="E21" s="140"/>
      <c r="F21" s="140"/>
      <c r="G21" s="140"/>
      <c r="H21" s="140"/>
      <c r="I21" s="140"/>
      <c r="J21" s="140"/>
      <c r="K21" s="140"/>
      <c r="L21" s="140"/>
      <c r="M21" s="141"/>
      <c r="N21" s="142"/>
      <c r="O21" s="143">
        <f>SUM(B21:M21)</f>
        <v>0</v>
      </c>
      <c r="P21" s="144"/>
      <c r="Q21" s="145" t="s">
        <v>167</v>
      </c>
      <c r="R21" s="161"/>
      <c r="S21" s="142"/>
      <c r="T21" s="142"/>
      <c r="U21" s="142"/>
      <c r="V21" s="142"/>
      <c r="W21" s="142"/>
      <c r="X21" s="142"/>
      <c r="Y21" s="142"/>
      <c r="Z21" s="142"/>
      <c r="AA21" s="142"/>
      <c r="AB21" s="142"/>
      <c r="AC21" s="162"/>
      <c r="AD21" s="142"/>
      <c r="AE21" s="148">
        <f>SUM(R21:AC21)</f>
        <v>0</v>
      </c>
      <c r="AF21" s="98"/>
      <c r="AG21" s="98"/>
      <c r="AH21" s="98"/>
      <c r="AI21" s="98"/>
      <c r="AJ21" s="98"/>
      <c r="AK21" s="98"/>
    </row>
    <row r="22" spans="1:37" ht="15" x14ac:dyDescent="0.25">
      <c r="A22" s="138" t="s">
        <v>168</v>
      </c>
      <c r="B22" s="149"/>
      <c r="C22" s="140"/>
      <c r="D22" s="140"/>
      <c r="E22" s="140"/>
      <c r="F22" s="140"/>
      <c r="G22" s="140"/>
      <c r="H22" s="140"/>
      <c r="I22" s="140"/>
      <c r="J22" s="140"/>
      <c r="K22" s="140"/>
      <c r="L22" s="140"/>
      <c r="M22" s="141"/>
      <c r="N22" s="142"/>
      <c r="O22" s="143">
        <f>SUM(B22:M22)</f>
        <v>0</v>
      </c>
      <c r="P22" s="144"/>
      <c r="Q22" s="145" t="s">
        <v>168</v>
      </c>
      <c r="R22" s="146"/>
      <c r="S22" s="142"/>
      <c r="T22" s="142"/>
      <c r="U22" s="142"/>
      <c r="V22" s="142"/>
      <c r="W22" s="142"/>
      <c r="X22" s="142"/>
      <c r="Y22" s="142"/>
      <c r="Z22" s="142"/>
      <c r="AA22" s="142"/>
      <c r="AB22" s="142"/>
      <c r="AC22" s="162"/>
      <c r="AD22" s="142"/>
      <c r="AE22" s="148">
        <f>SUM(R22:AC22)</f>
        <v>0</v>
      </c>
      <c r="AF22" s="98"/>
      <c r="AG22" s="98"/>
      <c r="AH22" s="98"/>
      <c r="AI22" s="98"/>
      <c r="AJ22" s="98"/>
      <c r="AK22" s="98"/>
    </row>
    <row r="23" spans="1:37" ht="3" customHeight="1" x14ac:dyDescent="0.25">
      <c r="A23" s="154"/>
      <c r="B23" s="149"/>
      <c r="C23" s="140"/>
      <c r="D23" s="140"/>
      <c r="E23" s="131"/>
      <c r="F23" s="131"/>
      <c r="G23" s="131"/>
      <c r="H23" s="131"/>
      <c r="I23" s="131"/>
      <c r="J23" s="131"/>
      <c r="K23" s="131"/>
      <c r="L23" s="131"/>
      <c r="M23" s="132"/>
      <c r="N23" s="98"/>
      <c r="O23" s="133"/>
      <c r="P23" s="155"/>
      <c r="Q23" s="156"/>
      <c r="R23" s="161"/>
      <c r="S23" s="142"/>
      <c r="T23" s="142"/>
      <c r="U23" s="98"/>
      <c r="V23" s="98"/>
      <c r="W23" s="98"/>
      <c r="X23" s="98"/>
      <c r="Y23" s="98"/>
      <c r="Z23" s="98"/>
      <c r="AA23" s="98"/>
      <c r="AB23" s="98"/>
      <c r="AC23" s="136"/>
      <c r="AD23" s="98"/>
      <c r="AE23" s="137"/>
      <c r="AF23" s="98"/>
      <c r="AG23" s="98"/>
      <c r="AH23" s="98"/>
      <c r="AI23" s="98"/>
      <c r="AJ23" s="98"/>
      <c r="AK23" s="98"/>
    </row>
    <row r="24" spans="1:37" ht="12.75" customHeight="1" x14ac:dyDescent="0.25">
      <c r="A24" s="163" t="s">
        <v>169</v>
      </c>
      <c r="B24" s="149"/>
      <c r="C24" s="140"/>
      <c r="D24" s="140"/>
      <c r="E24" s="140"/>
      <c r="F24" s="140"/>
      <c r="G24" s="140"/>
      <c r="H24" s="140"/>
      <c r="I24" s="140"/>
      <c r="J24" s="140"/>
      <c r="K24" s="140"/>
      <c r="L24" s="140"/>
      <c r="M24" s="141"/>
      <c r="N24" s="142"/>
      <c r="O24" s="143">
        <f>SUM(B24:M24)</f>
        <v>0</v>
      </c>
      <c r="P24" s="144"/>
      <c r="Q24" s="164" t="s">
        <v>169</v>
      </c>
      <c r="R24" s="161"/>
      <c r="S24" s="142"/>
      <c r="T24" s="142"/>
      <c r="U24" s="142"/>
      <c r="V24" s="142"/>
      <c r="W24" s="142"/>
      <c r="X24" s="142"/>
      <c r="Y24" s="142"/>
      <c r="Z24" s="142"/>
      <c r="AA24" s="142"/>
      <c r="AB24" s="142"/>
      <c r="AC24" s="162"/>
      <c r="AD24" s="142"/>
      <c r="AE24" s="148">
        <f>SUM(R24:AC24)</f>
        <v>0</v>
      </c>
      <c r="AF24" s="98"/>
      <c r="AG24" s="98"/>
      <c r="AH24" s="98"/>
      <c r="AI24" s="98"/>
      <c r="AJ24" s="98"/>
      <c r="AK24" s="98"/>
    </row>
    <row r="25" spans="1:37" ht="3" customHeight="1" x14ac:dyDescent="0.25">
      <c r="A25" s="154"/>
      <c r="B25" s="165"/>
      <c r="C25" s="166"/>
      <c r="D25" s="166"/>
      <c r="E25" s="167"/>
      <c r="F25" s="167"/>
      <c r="G25" s="167"/>
      <c r="H25" s="167"/>
      <c r="I25" s="167"/>
      <c r="J25" s="167"/>
      <c r="K25" s="167"/>
      <c r="L25" s="167"/>
      <c r="M25" s="168"/>
      <c r="N25" s="98"/>
      <c r="O25" s="133"/>
      <c r="P25" s="155"/>
      <c r="Q25" s="156"/>
      <c r="R25" s="161"/>
      <c r="S25" s="142"/>
      <c r="T25" s="142"/>
      <c r="U25" s="98"/>
      <c r="V25" s="98"/>
      <c r="W25" s="98"/>
      <c r="X25" s="98"/>
      <c r="Y25" s="98"/>
      <c r="Z25" s="98"/>
      <c r="AA25" s="98"/>
      <c r="AB25" s="98"/>
      <c r="AC25" s="136"/>
      <c r="AD25" s="98"/>
      <c r="AE25" s="137"/>
      <c r="AF25" s="98"/>
      <c r="AG25" s="98"/>
      <c r="AH25" s="98"/>
      <c r="AI25" s="98"/>
      <c r="AJ25" s="98"/>
      <c r="AK25" s="98"/>
    </row>
    <row r="26" spans="1:37" x14ac:dyDescent="0.2">
      <c r="A26" s="158" t="s">
        <v>170</v>
      </c>
      <c r="B26" s="169">
        <f t="shared" ref="B26:M26" si="2">SUM(B10:B25)</f>
        <v>0</v>
      </c>
      <c r="C26" s="170">
        <f t="shared" si="2"/>
        <v>0</v>
      </c>
      <c r="D26" s="170">
        <f t="shared" si="2"/>
        <v>0</v>
      </c>
      <c r="E26" s="170">
        <f t="shared" si="2"/>
        <v>0</v>
      </c>
      <c r="F26" s="170">
        <f t="shared" si="2"/>
        <v>0</v>
      </c>
      <c r="G26" s="170">
        <f t="shared" si="2"/>
        <v>0</v>
      </c>
      <c r="H26" s="170">
        <f t="shared" si="2"/>
        <v>0</v>
      </c>
      <c r="I26" s="170">
        <f t="shared" si="2"/>
        <v>0</v>
      </c>
      <c r="J26" s="170">
        <f t="shared" si="2"/>
        <v>0</v>
      </c>
      <c r="K26" s="170">
        <f t="shared" si="2"/>
        <v>0</v>
      </c>
      <c r="L26" s="170">
        <f t="shared" si="2"/>
        <v>0</v>
      </c>
      <c r="M26" s="171">
        <f t="shared" si="2"/>
        <v>0</v>
      </c>
      <c r="N26" s="142"/>
      <c r="O26" s="172">
        <f>SUM(O10:O25)</f>
        <v>0</v>
      </c>
      <c r="P26" s="173"/>
      <c r="Q26" s="158" t="s">
        <v>170</v>
      </c>
      <c r="R26" s="174">
        <f t="shared" ref="R26:AC26" si="3">SUM(R10:R25)</f>
        <v>0</v>
      </c>
      <c r="S26" s="175">
        <f t="shared" si="3"/>
        <v>0</v>
      </c>
      <c r="T26" s="175">
        <f t="shared" si="3"/>
        <v>0</v>
      </c>
      <c r="U26" s="175">
        <f t="shared" si="3"/>
        <v>0</v>
      </c>
      <c r="V26" s="175">
        <f t="shared" si="3"/>
        <v>0</v>
      </c>
      <c r="W26" s="175">
        <f t="shared" si="3"/>
        <v>0</v>
      </c>
      <c r="X26" s="175">
        <f t="shared" si="3"/>
        <v>0</v>
      </c>
      <c r="Y26" s="175">
        <f t="shared" si="3"/>
        <v>0</v>
      </c>
      <c r="Z26" s="175">
        <f t="shared" si="3"/>
        <v>0</v>
      </c>
      <c r="AA26" s="175">
        <f t="shared" si="3"/>
        <v>0</v>
      </c>
      <c r="AB26" s="175">
        <f t="shared" si="3"/>
        <v>0</v>
      </c>
      <c r="AC26" s="176">
        <f t="shared" si="3"/>
        <v>0</v>
      </c>
      <c r="AD26" s="142"/>
      <c r="AE26" s="148">
        <f>SUM(AE11:AE25)</f>
        <v>0</v>
      </c>
      <c r="AF26" s="98"/>
      <c r="AG26" s="98"/>
      <c r="AH26" s="98"/>
      <c r="AI26" s="98"/>
      <c r="AJ26" s="98"/>
      <c r="AK26" s="98"/>
    </row>
    <row r="27" spans="1:37" ht="6" customHeight="1" x14ac:dyDescent="0.2">
      <c r="A27" s="159"/>
      <c r="B27" s="177"/>
      <c r="C27" s="178"/>
      <c r="D27" s="178"/>
      <c r="E27" s="179"/>
      <c r="F27" s="179"/>
      <c r="G27" s="179"/>
      <c r="H27" s="179"/>
      <c r="I27" s="179"/>
      <c r="J27" s="179"/>
      <c r="K27" s="179"/>
      <c r="L27" s="179"/>
      <c r="M27" s="180"/>
      <c r="N27" s="98"/>
      <c r="O27" s="133"/>
      <c r="P27" s="155"/>
      <c r="Q27" s="159"/>
      <c r="R27" s="181"/>
      <c r="S27" s="182"/>
      <c r="T27" s="182"/>
      <c r="U27" s="183"/>
      <c r="V27" s="183"/>
      <c r="W27" s="183"/>
      <c r="X27" s="183"/>
      <c r="Y27" s="183"/>
      <c r="Z27" s="183"/>
      <c r="AA27" s="183"/>
      <c r="AB27" s="183"/>
      <c r="AC27" s="184"/>
      <c r="AD27" s="98"/>
      <c r="AE27" s="137"/>
      <c r="AF27" s="98"/>
      <c r="AG27" s="98"/>
      <c r="AH27" s="98"/>
      <c r="AI27" s="98"/>
      <c r="AJ27" s="98"/>
      <c r="AK27" s="98"/>
    </row>
    <row r="28" spans="1:37" ht="12" customHeight="1" x14ac:dyDescent="0.25">
      <c r="A28" s="157" t="s">
        <v>171</v>
      </c>
      <c r="B28" s="149"/>
      <c r="C28" s="140"/>
      <c r="D28" s="140"/>
      <c r="E28" s="131"/>
      <c r="F28" s="131"/>
      <c r="G28" s="131"/>
      <c r="H28" s="131"/>
      <c r="I28" s="131"/>
      <c r="J28" s="131"/>
      <c r="K28" s="131"/>
      <c r="L28" s="131"/>
      <c r="M28" s="132"/>
      <c r="N28" s="98"/>
      <c r="O28" s="133"/>
      <c r="P28" s="134"/>
      <c r="Q28" s="157" t="s">
        <v>171</v>
      </c>
      <c r="R28" s="185"/>
      <c r="S28" s="142"/>
      <c r="T28" s="142"/>
      <c r="U28" s="98"/>
      <c r="V28" s="98"/>
      <c r="W28" s="98"/>
      <c r="X28" s="98"/>
      <c r="Y28" s="98"/>
      <c r="Z28" s="98"/>
      <c r="AA28" s="98"/>
      <c r="AB28" s="98"/>
      <c r="AC28" s="136"/>
      <c r="AD28" s="98"/>
      <c r="AE28" s="137"/>
      <c r="AF28" s="98"/>
      <c r="AG28" s="98"/>
      <c r="AH28" s="98"/>
      <c r="AI28" s="98"/>
      <c r="AJ28" s="98"/>
      <c r="AK28" s="98"/>
    </row>
    <row r="29" spans="1:37" ht="12.75" customHeight="1" x14ac:dyDescent="0.25">
      <c r="A29" s="138" t="s">
        <v>172</v>
      </c>
      <c r="B29" s="149"/>
      <c r="C29" s="140"/>
      <c r="D29" s="140"/>
      <c r="E29" s="140"/>
      <c r="F29" s="140"/>
      <c r="G29" s="140"/>
      <c r="H29" s="140"/>
      <c r="I29" s="140"/>
      <c r="J29" s="140"/>
      <c r="K29" s="140"/>
      <c r="L29" s="140"/>
      <c r="M29" s="141"/>
      <c r="N29" s="142"/>
      <c r="O29" s="143">
        <f t="shared" ref="O29:O64" si="4">SUM(B29:M29)</f>
        <v>0</v>
      </c>
      <c r="P29" s="144"/>
      <c r="Q29" s="138" t="s">
        <v>172</v>
      </c>
      <c r="R29" s="149"/>
      <c r="S29" s="140"/>
      <c r="T29" s="140"/>
      <c r="U29" s="140"/>
      <c r="V29" s="140"/>
      <c r="W29" s="140"/>
      <c r="X29" s="140"/>
      <c r="Y29" s="140"/>
      <c r="Z29" s="140"/>
      <c r="AA29" s="140"/>
      <c r="AB29" s="140"/>
      <c r="AC29" s="150"/>
      <c r="AD29" s="142"/>
      <c r="AE29" s="148">
        <f t="shared" ref="AE29:AE64" si="5">SUM(R29:AC29)</f>
        <v>0</v>
      </c>
      <c r="AF29" s="98"/>
      <c r="AG29" s="98"/>
      <c r="AH29" s="98"/>
      <c r="AI29" s="98"/>
      <c r="AJ29" s="98"/>
      <c r="AK29" s="98"/>
    </row>
    <row r="30" spans="1:37" ht="15" x14ac:dyDescent="0.25">
      <c r="A30" s="138" t="s">
        <v>173</v>
      </c>
      <c r="B30" s="149"/>
      <c r="C30" s="140"/>
      <c r="D30" s="140"/>
      <c r="E30" s="140"/>
      <c r="F30" s="140"/>
      <c r="G30" s="140"/>
      <c r="H30" s="140"/>
      <c r="I30" s="140"/>
      <c r="J30" s="140"/>
      <c r="K30" s="140"/>
      <c r="L30" s="140"/>
      <c r="M30" s="141"/>
      <c r="N30" s="142"/>
      <c r="O30" s="143">
        <f t="shared" si="4"/>
        <v>0</v>
      </c>
      <c r="P30" s="144"/>
      <c r="Q30" s="138" t="s">
        <v>173</v>
      </c>
      <c r="R30" s="149"/>
      <c r="S30" s="140"/>
      <c r="T30" s="140"/>
      <c r="U30" s="140"/>
      <c r="V30" s="140"/>
      <c r="W30" s="140"/>
      <c r="X30" s="140"/>
      <c r="Y30" s="140"/>
      <c r="Z30" s="140"/>
      <c r="AA30" s="140"/>
      <c r="AB30" s="140"/>
      <c r="AC30" s="150"/>
      <c r="AD30" s="142"/>
      <c r="AE30" s="148">
        <f t="shared" si="5"/>
        <v>0</v>
      </c>
      <c r="AF30" s="98"/>
      <c r="AG30" s="98"/>
      <c r="AH30" s="98"/>
      <c r="AI30" s="98"/>
      <c r="AJ30" s="98"/>
      <c r="AK30" s="98"/>
    </row>
    <row r="31" spans="1:37" ht="15" outlineLevel="1" x14ac:dyDescent="0.25">
      <c r="A31" s="138" t="s">
        <v>174</v>
      </c>
      <c r="B31" s="149"/>
      <c r="C31" s="140"/>
      <c r="D31" s="140"/>
      <c r="E31" s="140"/>
      <c r="F31" s="140"/>
      <c r="G31" s="140"/>
      <c r="H31" s="140"/>
      <c r="I31" s="140"/>
      <c r="J31" s="140"/>
      <c r="K31" s="140"/>
      <c r="L31" s="140"/>
      <c r="M31" s="141"/>
      <c r="N31" s="142"/>
      <c r="O31" s="143">
        <f t="shared" si="4"/>
        <v>0</v>
      </c>
      <c r="P31" s="144"/>
      <c r="Q31" s="138" t="s">
        <v>174</v>
      </c>
      <c r="R31" s="149"/>
      <c r="S31" s="140"/>
      <c r="T31" s="140"/>
      <c r="U31" s="140"/>
      <c r="V31" s="140"/>
      <c r="W31" s="140"/>
      <c r="X31" s="140"/>
      <c r="Y31" s="140"/>
      <c r="Z31" s="140"/>
      <c r="AA31" s="140"/>
      <c r="AB31" s="140"/>
      <c r="AC31" s="150"/>
      <c r="AD31" s="142"/>
      <c r="AE31" s="148">
        <f t="shared" si="5"/>
        <v>0</v>
      </c>
      <c r="AF31" s="98"/>
      <c r="AG31" s="98"/>
      <c r="AH31" s="98"/>
      <c r="AI31" s="98"/>
      <c r="AJ31" s="98"/>
      <c r="AK31" s="98"/>
    </row>
    <row r="32" spans="1:37" ht="15" outlineLevel="1" x14ac:dyDescent="0.25">
      <c r="A32" s="138" t="s">
        <v>175</v>
      </c>
      <c r="B32" s="149"/>
      <c r="C32" s="140"/>
      <c r="D32" s="140"/>
      <c r="E32" s="140"/>
      <c r="F32" s="140"/>
      <c r="G32" s="140"/>
      <c r="H32" s="140"/>
      <c r="I32" s="140"/>
      <c r="J32" s="140"/>
      <c r="K32" s="140"/>
      <c r="L32" s="140"/>
      <c r="M32" s="141"/>
      <c r="N32" s="142"/>
      <c r="O32" s="143">
        <f t="shared" si="4"/>
        <v>0</v>
      </c>
      <c r="P32" s="144"/>
      <c r="Q32" s="138" t="s">
        <v>175</v>
      </c>
      <c r="R32" s="149"/>
      <c r="S32" s="140"/>
      <c r="T32" s="140"/>
      <c r="U32" s="140"/>
      <c r="V32" s="140"/>
      <c r="W32" s="140"/>
      <c r="X32" s="140"/>
      <c r="Y32" s="140"/>
      <c r="Z32" s="140"/>
      <c r="AA32" s="140"/>
      <c r="AB32" s="140"/>
      <c r="AC32" s="150"/>
      <c r="AD32" s="142"/>
      <c r="AE32" s="148">
        <f t="shared" si="5"/>
        <v>0</v>
      </c>
      <c r="AF32" s="98"/>
      <c r="AG32" s="98"/>
      <c r="AH32" s="98"/>
      <c r="AI32" s="98"/>
      <c r="AJ32" s="98"/>
      <c r="AK32" s="98"/>
    </row>
    <row r="33" spans="1:37" ht="15" outlineLevel="1" x14ac:dyDescent="0.25">
      <c r="A33" s="138" t="s">
        <v>176</v>
      </c>
      <c r="B33" s="149"/>
      <c r="C33" s="140"/>
      <c r="D33" s="140"/>
      <c r="E33" s="140"/>
      <c r="F33" s="140"/>
      <c r="G33" s="140"/>
      <c r="H33" s="140"/>
      <c r="I33" s="140"/>
      <c r="J33" s="140"/>
      <c r="K33" s="140"/>
      <c r="L33" s="140"/>
      <c r="M33" s="141"/>
      <c r="N33" s="142"/>
      <c r="O33" s="143">
        <f t="shared" si="4"/>
        <v>0</v>
      </c>
      <c r="P33" s="144"/>
      <c r="Q33" s="138" t="s">
        <v>176</v>
      </c>
      <c r="R33" s="149"/>
      <c r="S33" s="140"/>
      <c r="T33" s="140"/>
      <c r="U33" s="140"/>
      <c r="V33" s="140"/>
      <c r="W33" s="140"/>
      <c r="X33" s="140"/>
      <c r="Y33" s="140"/>
      <c r="Z33" s="140"/>
      <c r="AA33" s="140"/>
      <c r="AB33" s="140"/>
      <c r="AC33" s="150"/>
      <c r="AD33" s="142"/>
      <c r="AE33" s="148">
        <f t="shared" si="5"/>
        <v>0</v>
      </c>
      <c r="AF33" s="98"/>
      <c r="AG33" s="98"/>
      <c r="AH33" s="98"/>
      <c r="AI33" s="98"/>
      <c r="AJ33" s="98"/>
      <c r="AK33" s="98"/>
    </row>
    <row r="34" spans="1:37" ht="15" outlineLevel="1" x14ac:dyDescent="0.25">
      <c r="A34" s="138" t="s">
        <v>177</v>
      </c>
      <c r="B34" s="149"/>
      <c r="C34" s="140"/>
      <c r="D34" s="140"/>
      <c r="E34" s="140"/>
      <c r="F34" s="140"/>
      <c r="G34" s="140"/>
      <c r="H34" s="140"/>
      <c r="I34" s="140"/>
      <c r="J34" s="140"/>
      <c r="K34" s="140"/>
      <c r="L34" s="140"/>
      <c r="M34" s="141"/>
      <c r="N34" s="142"/>
      <c r="O34" s="143">
        <f t="shared" si="4"/>
        <v>0</v>
      </c>
      <c r="P34" s="144"/>
      <c r="Q34" s="138" t="s">
        <v>177</v>
      </c>
      <c r="R34" s="149"/>
      <c r="S34" s="140"/>
      <c r="T34" s="140"/>
      <c r="U34" s="140"/>
      <c r="V34" s="140"/>
      <c r="W34" s="140"/>
      <c r="X34" s="140"/>
      <c r="Y34" s="140"/>
      <c r="Z34" s="140"/>
      <c r="AA34" s="140"/>
      <c r="AB34" s="140"/>
      <c r="AC34" s="150"/>
      <c r="AD34" s="142"/>
      <c r="AE34" s="148">
        <f t="shared" si="5"/>
        <v>0</v>
      </c>
      <c r="AF34" s="98"/>
      <c r="AG34" s="98"/>
      <c r="AH34" s="98"/>
      <c r="AI34" s="98"/>
      <c r="AJ34" s="98"/>
      <c r="AK34" s="98"/>
    </row>
    <row r="35" spans="1:37" ht="15" outlineLevel="1" x14ac:dyDescent="0.25">
      <c r="A35" s="186" t="s">
        <v>178</v>
      </c>
      <c r="B35" s="149"/>
      <c r="C35" s="140"/>
      <c r="D35" s="140"/>
      <c r="E35" s="140"/>
      <c r="F35" s="140"/>
      <c r="G35" s="140"/>
      <c r="H35" s="140"/>
      <c r="I35" s="140"/>
      <c r="J35" s="140"/>
      <c r="K35" s="140"/>
      <c r="L35" s="140"/>
      <c r="M35" s="141"/>
      <c r="N35" s="142"/>
      <c r="O35" s="143">
        <f t="shared" si="4"/>
        <v>0</v>
      </c>
      <c r="P35" s="187"/>
      <c r="Q35" s="186" t="s">
        <v>178</v>
      </c>
      <c r="R35" s="149"/>
      <c r="S35" s="140"/>
      <c r="T35" s="140"/>
      <c r="U35" s="140"/>
      <c r="V35" s="140"/>
      <c r="W35" s="140"/>
      <c r="X35" s="140"/>
      <c r="Y35" s="140"/>
      <c r="Z35" s="140"/>
      <c r="AA35" s="140"/>
      <c r="AB35" s="140"/>
      <c r="AC35" s="150"/>
      <c r="AD35" s="142"/>
      <c r="AE35" s="148">
        <f t="shared" si="5"/>
        <v>0</v>
      </c>
      <c r="AF35" s="98"/>
      <c r="AG35" s="98"/>
      <c r="AH35" s="98"/>
      <c r="AI35" s="98"/>
      <c r="AJ35" s="98"/>
      <c r="AK35" s="98"/>
    </row>
    <row r="36" spans="1:37" ht="12.75" customHeight="1" x14ac:dyDescent="0.25">
      <c r="A36" s="138" t="s">
        <v>179</v>
      </c>
      <c r="B36" s="149"/>
      <c r="C36" s="140"/>
      <c r="D36" s="140"/>
      <c r="E36" s="140"/>
      <c r="F36" s="140"/>
      <c r="G36" s="140"/>
      <c r="H36" s="140"/>
      <c r="I36" s="140"/>
      <c r="J36" s="140"/>
      <c r="K36" s="140"/>
      <c r="L36" s="140"/>
      <c r="M36" s="141"/>
      <c r="N36" s="142"/>
      <c r="O36" s="143">
        <f t="shared" si="4"/>
        <v>0</v>
      </c>
      <c r="P36" s="144"/>
      <c r="Q36" s="138" t="s">
        <v>179</v>
      </c>
      <c r="R36" s="149"/>
      <c r="S36" s="140"/>
      <c r="T36" s="140"/>
      <c r="U36" s="140"/>
      <c r="V36" s="140"/>
      <c r="W36" s="140"/>
      <c r="X36" s="140"/>
      <c r="Y36" s="140"/>
      <c r="Z36" s="140"/>
      <c r="AA36" s="140"/>
      <c r="AB36" s="140"/>
      <c r="AC36" s="150"/>
      <c r="AD36" s="142"/>
      <c r="AE36" s="148">
        <f t="shared" si="5"/>
        <v>0</v>
      </c>
      <c r="AF36" s="98"/>
      <c r="AG36" s="98"/>
      <c r="AH36" s="98"/>
      <c r="AI36" s="98"/>
      <c r="AJ36" s="98"/>
      <c r="AK36" s="98"/>
    </row>
    <row r="37" spans="1:37" ht="12.75" customHeight="1" outlineLevel="1" x14ac:dyDescent="0.25">
      <c r="A37" s="138" t="s">
        <v>180</v>
      </c>
      <c r="B37" s="149"/>
      <c r="C37" s="140"/>
      <c r="D37" s="140"/>
      <c r="E37" s="140"/>
      <c r="F37" s="140"/>
      <c r="G37" s="140"/>
      <c r="H37" s="140"/>
      <c r="I37" s="140"/>
      <c r="J37" s="140"/>
      <c r="K37" s="140"/>
      <c r="L37" s="140"/>
      <c r="M37" s="141"/>
      <c r="N37" s="142"/>
      <c r="O37" s="143">
        <f t="shared" si="4"/>
        <v>0</v>
      </c>
      <c r="P37" s="144"/>
      <c r="Q37" s="138" t="s">
        <v>180</v>
      </c>
      <c r="R37" s="149"/>
      <c r="S37" s="140"/>
      <c r="T37" s="140"/>
      <c r="U37" s="140"/>
      <c r="V37" s="140"/>
      <c r="W37" s="140"/>
      <c r="X37" s="140"/>
      <c r="Y37" s="140"/>
      <c r="Z37" s="140"/>
      <c r="AA37" s="140"/>
      <c r="AB37" s="140"/>
      <c r="AC37" s="150"/>
      <c r="AD37" s="142"/>
      <c r="AE37" s="148">
        <f t="shared" si="5"/>
        <v>0</v>
      </c>
      <c r="AF37" s="98"/>
      <c r="AG37" s="98"/>
      <c r="AH37" s="98"/>
      <c r="AI37" s="98"/>
      <c r="AJ37" s="98"/>
      <c r="AK37" s="98"/>
    </row>
    <row r="38" spans="1:37" ht="12.75" customHeight="1" outlineLevel="1" x14ac:dyDescent="0.25">
      <c r="A38" s="138" t="s">
        <v>181</v>
      </c>
      <c r="B38" s="149"/>
      <c r="C38" s="140"/>
      <c r="D38" s="140"/>
      <c r="E38" s="140"/>
      <c r="F38" s="140"/>
      <c r="G38" s="140"/>
      <c r="H38" s="140"/>
      <c r="I38" s="140"/>
      <c r="J38" s="140"/>
      <c r="K38" s="140"/>
      <c r="L38" s="140"/>
      <c r="M38" s="141"/>
      <c r="N38" s="142"/>
      <c r="O38" s="143">
        <f t="shared" si="4"/>
        <v>0</v>
      </c>
      <c r="P38" s="144"/>
      <c r="Q38" s="138" t="s">
        <v>181</v>
      </c>
      <c r="R38" s="149"/>
      <c r="S38" s="140"/>
      <c r="T38" s="140"/>
      <c r="U38" s="140"/>
      <c r="V38" s="140"/>
      <c r="W38" s="140"/>
      <c r="X38" s="140"/>
      <c r="Y38" s="140"/>
      <c r="Z38" s="140"/>
      <c r="AA38" s="140"/>
      <c r="AB38" s="140"/>
      <c r="AC38" s="150"/>
      <c r="AD38" s="142"/>
      <c r="AE38" s="148">
        <f t="shared" si="5"/>
        <v>0</v>
      </c>
      <c r="AF38" s="98"/>
      <c r="AG38" s="98"/>
      <c r="AH38" s="98"/>
      <c r="AI38" s="98"/>
      <c r="AJ38" s="98"/>
      <c r="AK38" s="98"/>
    </row>
    <row r="39" spans="1:37" ht="12.75" customHeight="1" outlineLevel="1" x14ac:dyDescent="0.25">
      <c r="A39" s="138" t="s">
        <v>182</v>
      </c>
      <c r="B39" s="149"/>
      <c r="C39" s="140"/>
      <c r="D39" s="140"/>
      <c r="E39" s="140"/>
      <c r="F39" s="140"/>
      <c r="G39" s="140"/>
      <c r="H39" s="140"/>
      <c r="I39" s="140"/>
      <c r="J39" s="140"/>
      <c r="K39" s="140"/>
      <c r="L39" s="140"/>
      <c r="M39" s="141"/>
      <c r="N39" s="142"/>
      <c r="O39" s="143">
        <f t="shared" si="4"/>
        <v>0</v>
      </c>
      <c r="P39" s="144"/>
      <c r="Q39" s="138" t="s">
        <v>182</v>
      </c>
      <c r="R39" s="149"/>
      <c r="S39" s="140"/>
      <c r="T39" s="140"/>
      <c r="U39" s="140"/>
      <c r="V39" s="140"/>
      <c r="W39" s="140"/>
      <c r="X39" s="140"/>
      <c r="Y39" s="140"/>
      <c r="Z39" s="140"/>
      <c r="AA39" s="140"/>
      <c r="AB39" s="140"/>
      <c r="AC39" s="150"/>
      <c r="AD39" s="142"/>
      <c r="AE39" s="148">
        <f t="shared" si="5"/>
        <v>0</v>
      </c>
      <c r="AF39" s="98"/>
      <c r="AG39" s="98"/>
      <c r="AH39" s="98"/>
      <c r="AI39" s="98"/>
      <c r="AJ39" s="98"/>
      <c r="AK39" s="98"/>
    </row>
    <row r="40" spans="1:37" ht="12.75" customHeight="1" outlineLevel="1" x14ac:dyDescent="0.25">
      <c r="A40" s="138" t="s">
        <v>183</v>
      </c>
      <c r="B40" s="149"/>
      <c r="C40" s="140"/>
      <c r="D40" s="140"/>
      <c r="E40" s="140"/>
      <c r="F40" s="140"/>
      <c r="G40" s="140"/>
      <c r="H40" s="140"/>
      <c r="I40" s="140"/>
      <c r="J40" s="140"/>
      <c r="K40" s="140"/>
      <c r="L40" s="140"/>
      <c r="M40" s="141"/>
      <c r="N40" s="142"/>
      <c r="O40" s="143">
        <f t="shared" si="4"/>
        <v>0</v>
      </c>
      <c r="P40" s="144"/>
      <c r="Q40" s="138" t="s">
        <v>183</v>
      </c>
      <c r="R40" s="149"/>
      <c r="S40" s="140"/>
      <c r="T40" s="140"/>
      <c r="U40" s="140"/>
      <c r="V40" s="140"/>
      <c r="W40" s="140"/>
      <c r="X40" s="140"/>
      <c r="Y40" s="140"/>
      <c r="Z40" s="140"/>
      <c r="AA40" s="140"/>
      <c r="AB40" s="140"/>
      <c r="AC40" s="150"/>
      <c r="AD40" s="142"/>
      <c r="AE40" s="148">
        <f t="shared" si="5"/>
        <v>0</v>
      </c>
      <c r="AF40" s="98"/>
      <c r="AG40" s="98"/>
      <c r="AH40" s="98"/>
      <c r="AI40" s="98"/>
      <c r="AJ40" s="98"/>
      <c r="AK40" s="98"/>
    </row>
    <row r="41" spans="1:37" ht="12.75" customHeight="1" outlineLevel="1" x14ac:dyDescent="0.25">
      <c r="A41" s="138" t="s">
        <v>184</v>
      </c>
      <c r="B41" s="149"/>
      <c r="C41" s="140"/>
      <c r="D41" s="140"/>
      <c r="E41" s="140"/>
      <c r="F41" s="140"/>
      <c r="G41" s="140"/>
      <c r="H41" s="140"/>
      <c r="I41" s="140"/>
      <c r="J41" s="140"/>
      <c r="K41" s="140"/>
      <c r="L41" s="140"/>
      <c r="M41" s="141"/>
      <c r="N41" s="142"/>
      <c r="O41" s="143">
        <f t="shared" si="4"/>
        <v>0</v>
      </c>
      <c r="P41" s="144"/>
      <c r="Q41" s="138" t="s">
        <v>184</v>
      </c>
      <c r="R41" s="149"/>
      <c r="S41" s="140"/>
      <c r="T41" s="140"/>
      <c r="U41" s="140"/>
      <c r="V41" s="140"/>
      <c r="W41" s="140"/>
      <c r="X41" s="140"/>
      <c r="Y41" s="140"/>
      <c r="Z41" s="140"/>
      <c r="AA41" s="140"/>
      <c r="AB41" s="140"/>
      <c r="AC41" s="150"/>
      <c r="AD41" s="142"/>
      <c r="AE41" s="148">
        <f t="shared" si="5"/>
        <v>0</v>
      </c>
      <c r="AF41" s="98"/>
      <c r="AG41" s="98"/>
      <c r="AH41" s="98"/>
      <c r="AI41" s="98"/>
      <c r="AJ41" s="98"/>
      <c r="AK41" s="98"/>
    </row>
    <row r="42" spans="1:37" ht="22.5" customHeight="1" outlineLevel="1" x14ac:dyDescent="0.25">
      <c r="A42" s="138" t="s">
        <v>185</v>
      </c>
      <c r="B42" s="149"/>
      <c r="C42" s="140"/>
      <c r="D42" s="140"/>
      <c r="E42" s="140"/>
      <c r="F42" s="140"/>
      <c r="G42" s="140"/>
      <c r="H42" s="140"/>
      <c r="I42" s="140"/>
      <c r="J42" s="140"/>
      <c r="K42" s="140"/>
      <c r="L42" s="140"/>
      <c r="M42" s="141"/>
      <c r="N42" s="142"/>
      <c r="O42" s="143">
        <f t="shared" si="4"/>
        <v>0</v>
      </c>
      <c r="P42" s="144"/>
      <c r="Q42" s="138" t="s">
        <v>185</v>
      </c>
      <c r="R42" s="149"/>
      <c r="S42" s="140"/>
      <c r="T42" s="140"/>
      <c r="U42" s="140"/>
      <c r="V42" s="140"/>
      <c r="W42" s="140"/>
      <c r="X42" s="140"/>
      <c r="Y42" s="140"/>
      <c r="Z42" s="140"/>
      <c r="AA42" s="140"/>
      <c r="AB42" s="140"/>
      <c r="AC42" s="150"/>
      <c r="AD42" s="142"/>
      <c r="AE42" s="148">
        <f t="shared" si="5"/>
        <v>0</v>
      </c>
      <c r="AF42" s="98"/>
      <c r="AG42" s="98"/>
      <c r="AH42" s="98"/>
      <c r="AI42" s="98"/>
      <c r="AJ42" s="98"/>
      <c r="AK42" s="98"/>
    </row>
    <row r="43" spans="1:37" ht="12.75" customHeight="1" outlineLevel="1" x14ac:dyDescent="0.25">
      <c r="A43" s="138" t="s">
        <v>186</v>
      </c>
      <c r="B43" s="149"/>
      <c r="C43" s="140"/>
      <c r="D43" s="140"/>
      <c r="E43" s="140"/>
      <c r="F43" s="140"/>
      <c r="G43" s="140"/>
      <c r="H43" s="140"/>
      <c r="I43" s="140"/>
      <c r="J43" s="140"/>
      <c r="K43" s="140"/>
      <c r="L43" s="140"/>
      <c r="M43" s="141"/>
      <c r="N43" s="142"/>
      <c r="O43" s="143">
        <f t="shared" si="4"/>
        <v>0</v>
      </c>
      <c r="P43" s="144"/>
      <c r="Q43" s="138" t="s">
        <v>186</v>
      </c>
      <c r="R43" s="149"/>
      <c r="S43" s="140"/>
      <c r="T43" s="140"/>
      <c r="U43" s="140"/>
      <c r="V43" s="140"/>
      <c r="W43" s="140"/>
      <c r="X43" s="140"/>
      <c r="Y43" s="140"/>
      <c r="Z43" s="140"/>
      <c r="AA43" s="140"/>
      <c r="AB43" s="140"/>
      <c r="AC43" s="150"/>
      <c r="AD43" s="142"/>
      <c r="AE43" s="148">
        <f t="shared" si="5"/>
        <v>0</v>
      </c>
      <c r="AF43" s="98"/>
      <c r="AG43" s="98"/>
      <c r="AH43" s="98"/>
      <c r="AI43" s="98"/>
      <c r="AJ43" s="98"/>
      <c r="AK43" s="98"/>
    </row>
    <row r="44" spans="1:37" ht="12.75" customHeight="1" outlineLevel="1" x14ac:dyDescent="0.25">
      <c r="A44" s="138" t="s">
        <v>187</v>
      </c>
      <c r="B44" s="149"/>
      <c r="C44" s="140"/>
      <c r="D44" s="140"/>
      <c r="E44" s="140"/>
      <c r="F44" s="140"/>
      <c r="G44" s="140"/>
      <c r="H44" s="140"/>
      <c r="I44" s="140"/>
      <c r="J44" s="140"/>
      <c r="K44" s="140"/>
      <c r="L44" s="140"/>
      <c r="M44" s="141"/>
      <c r="N44" s="142"/>
      <c r="O44" s="143">
        <f t="shared" si="4"/>
        <v>0</v>
      </c>
      <c r="P44" s="144"/>
      <c r="Q44" s="138" t="s">
        <v>187</v>
      </c>
      <c r="R44" s="149"/>
      <c r="S44" s="140"/>
      <c r="T44" s="140"/>
      <c r="U44" s="140"/>
      <c r="V44" s="140"/>
      <c r="W44" s="140"/>
      <c r="X44" s="140"/>
      <c r="Y44" s="140"/>
      <c r="Z44" s="140"/>
      <c r="AA44" s="140"/>
      <c r="AB44" s="140"/>
      <c r="AC44" s="141"/>
      <c r="AD44" s="142"/>
      <c r="AE44" s="148">
        <f t="shared" si="5"/>
        <v>0</v>
      </c>
      <c r="AF44" s="98"/>
      <c r="AG44" s="98"/>
      <c r="AH44" s="98"/>
      <c r="AI44" s="98"/>
      <c r="AJ44" s="98"/>
      <c r="AK44" s="98"/>
    </row>
    <row r="45" spans="1:37" ht="12.75" customHeight="1" outlineLevel="1" x14ac:dyDescent="0.25">
      <c r="A45" s="138" t="s">
        <v>188</v>
      </c>
      <c r="B45" s="149"/>
      <c r="C45" s="140"/>
      <c r="D45" s="140"/>
      <c r="E45" s="140"/>
      <c r="F45" s="140"/>
      <c r="G45" s="140"/>
      <c r="H45" s="140"/>
      <c r="I45" s="140"/>
      <c r="J45" s="140"/>
      <c r="K45" s="140"/>
      <c r="L45" s="140"/>
      <c r="M45" s="141"/>
      <c r="N45" s="142"/>
      <c r="O45" s="143">
        <f t="shared" si="4"/>
        <v>0</v>
      </c>
      <c r="P45" s="144"/>
      <c r="Q45" s="138" t="s">
        <v>188</v>
      </c>
      <c r="R45" s="149"/>
      <c r="S45" s="140"/>
      <c r="T45" s="140"/>
      <c r="U45" s="140"/>
      <c r="V45" s="140"/>
      <c r="W45" s="140"/>
      <c r="X45" s="140"/>
      <c r="Y45" s="140"/>
      <c r="Z45" s="140"/>
      <c r="AA45" s="140"/>
      <c r="AB45" s="140"/>
      <c r="AC45" s="150"/>
      <c r="AD45" s="142"/>
      <c r="AE45" s="148">
        <f t="shared" si="5"/>
        <v>0</v>
      </c>
      <c r="AF45" s="98"/>
      <c r="AG45" s="98"/>
      <c r="AH45" s="98"/>
      <c r="AI45" s="98"/>
      <c r="AJ45" s="98"/>
      <c r="AK45" s="98"/>
    </row>
    <row r="46" spans="1:37" ht="12.75" customHeight="1" outlineLevel="1" x14ac:dyDescent="0.25">
      <c r="A46" s="138" t="s">
        <v>189</v>
      </c>
      <c r="B46" s="149"/>
      <c r="C46" s="140"/>
      <c r="D46" s="140"/>
      <c r="E46" s="140"/>
      <c r="F46" s="140"/>
      <c r="G46" s="140"/>
      <c r="H46" s="140"/>
      <c r="I46" s="140"/>
      <c r="J46" s="140"/>
      <c r="K46" s="140"/>
      <c r="L46" s="140"/>
      <c r="M46" s="141"/>
      <c r="N46" s="142"/>
      <c r="O46" s="143">
        <f t="shared" si="4"/>
        <v>0</v>
      </c>
      <c r="P46" s="144"/>
      <c r="Q46" s="138" t="s">
        <v>189</v>
      </c>
      <c r="R46" s="149"/>
      <c r="S46" s="140"/>
      <c r="T46" s="140"/>
      <c r="U46" s="140"/>
      <c r="V46" s="140"/>
      <c r="W46" s="140"/>
      <c r="X46" s="140"/>
      <c r="Y46" s="140"/>
      <c r="Z46" s="140"/>
      <c r="AA46" s="140"/>
      <c r="AB46" s="140"/>
      <c r="AC46" s="150"/>
      <c r="AD46" s="142"/>
      <c r="AE46" s="148">
        <f t="shared" si="5"/>
        <v>0</v>
      </c>
      <c r="AF46" s="98"/>
      <c r="AG46" s="98"/>
      <c r="AH46" s="98"/>
      <c r="AI46" s="98"/>
      <c r="AJ46" s="98"/>
      <c r="AK46" s="98"/>
    </row>
    <row r="47" spans="1:37" ht="12.75" customHeight="1" outlineLevel="1" x14ac:dyDescent="0.25">
      <c r="A47" s="138" t="s">
        <v>190</v>
      </c>
      <c r="B47" s="149"/>
      <c r="C47" s="140"/>
      <c r="D47" s="140"/>
      <c r="E47" s="140"/>
      <c r="F47" s="140"/>
      <c r="G47" s="140"/>
      <c r="H47" s="140"/>
      <c r="I47" s="140"/>
      <c r="J47" s="140"/>
      <c r="K47" s="140"/>
      <c r="L47" s="140"/>
      <c r="M47" s="141"/>
      <c r="N47" s="142"/>
      <c r="O47" s="143">
        <f t="shared" si="4"/>
        <v>0</v>
      </c>
      <c r="P47" s="144"/>
      <c r="Q47" s="138" t="s">
        <v>190</v>
      </c>
      <c r="R47" s="149"/>
      <c r="S47" s="140"/>
      <c r="T47" s="140"/>
      <c r="U47" s="140"/>
      <c r="V47" s="140"/>
      <c r="W47" s="140"/>
      <c r="X47" s="140"/>
      <c r="Y47" s="140"/>
      <c r="Z47" s="140"/>
      <c r="AA47" s="140"/>
      <c r="AB47" s="140"/>
      <c r="AC47" s="150"/>
      <c r="AD47" s="142"/>
      <c r="AE47" s="148">
        <f t="shared" si="5"/>
        <v>0</v>
      </c>
      <c r="AF47" s="98"/>
      <c r="AG47" s="98"/>
      <c r="AH47" s="98"/>
      <c r="AI47" s="98"/>
      <c r="AJ47" s="98"/>
      <c r="AK47" s="98"/>
    </row>
    <row r="48" spans="1:37" ht="12.75" customHeight="1" outlineLevel="1" x14ac:dyDescent="0.25">
      <c r="A48" s="138" t="s">
        <v>191</v>
      </c>
      <c r="B48" s="149"/>
      <c r="C48" s="140"/>
      <c r="D48" s="140"/>
      <c r="E48" s="140"/>
      <c r="F48" s="140"/>
      <c r="G48" s="140"/>
      <c r="H48" s="140"/>
      <c r="I48" s="140"/>
      <c r="J48" s="140"/>
      <c r="K48" s="140"/>
      <c r="L48" s="140"/>
      <c r="M48" s="141"/>
      <c r="N48" s="142"/>
      <c r="O48" s="143">
        <f t="shared" si="4"/>
        <v>0</v>
      </c>
      <c r="P48" s="144"/>
      <c r="Q48" s="138" t="s">
        <v>191</v>
      </c>
      <c r="R48" s="149"/>
      <c r="S48" s="140"/>
      <c r="T48" s="140"/>
      <c r="U48" s="140"/>
      <c r="V48" s="140"/>
      <c r="W48" s="140"/>
      <c r="X48" s="140"/>
      <c r="Y48" s="140"/>
      <c r="Z48" s="140"/>
      <c r="AA48" s="140"/>
      <c r="AB48" s="140"/>
      <c r="AC48" s="150"/>
      <c r="AD48" s="142"/>
      <c r="AE48" s="148">
        <f t="shared" si="5"/>
        <v>0</v>
      </c>
      <c r="AF48" s="98"/>
      <c r="AG48" s="98"/>
      <c r="AH48" s="98"/>
      <c r="AI48" s="98"/>
      <c r="AJ48" s="98"/>
      <c r="AK48" s="98"/>
    </row>
    <row r="49" spans="1:37" ht="12.75" customHeight="1" outlineLevel="1" x14ac:dyDescent="0.25">
      <c r="A49" s="138" t="s">
        <v>192</v>
      </c>
      <c r="B49" s="149"/>
      <c r="C49" s="140"/>
      <c r="D49" s="140"/>
      <c r="E49" s="140"/>
      <c r="F49" s="140"/>
      <c r="G49" s="140"/>
      <c r="H49" s="140"/>
      <c r="I49" s="140"/>
      <c r="J49" s="140"/>
      <c r="K49" s="140"/>
      <c r="L49" s="140"/>
      <c r="M49" s="141"/>
      <c r="N49" s="142"/>
      <c r="O49" s="143">
        <f t="shared" si="4"/>
        <v>0</v>
      </c>
      <c r="P49" s="144"/>
      <c r="Q49" s="138" t="s">
        <v>192</v>
      </c>
      <c r="R49" s="149"/>
      <c r="S49" s="140"/>
      <c r="T49" s="140"/>
      <c r="U49" s="140"/>
      <c r="V49" s="140"/>
      <c r="W49" s="140"/>
      <c r="X49" s="140"/>
      <c r="Y49" s="140"/>
      <c r="Z49" s="140"/>
      <c r="AA49" s="140"/>
      <c r="AB49" s="140"/>
      <c r="AC49" s="150"/>
      <c r="AD49" s="142"/>
      <c r="AE49" s="148">
        <f t="shared" si="5"/>
        <v>0</v>
      </c>
      <c r="AF49" s="98"/>
      <c r="AG49" s="98"/>
      <c r="AH49" s="98"/>
      <c r="AI49" s="98"/>
      <c r="AJ49" s="98"/>
      <c r="AK49" s="98"/>
    </row>
    <row r="50" spans="1:37" ht="12.75" customHeight="1" outlineLevel="1" x14ac:dyDescent="0.25">
      <c r="A50" s="151" t="s">
        <v>193</v>
      </c>
      <c r="B50" s="149"/>
      <c r="C50" s="140"/>
      <c r="D50" s="140"/>
      <c r="E50" s="140"/>
      <c r="F50" s="140"/>
      <c r="G50" s="140"/>
      <c r="H50" s="140"/>
      <c r="I50" s="140"/>
      <c r="J50" s="140"/>
      <c r="K50" s="140"/>
      <c r="L50" s="140"/>
      <c r="M50" s="141"/>
      <c r="N50" s="142"/>
      <c r="O50" s="143">
        <f t="shared" si="4"/>
        <v>0</v>
      </c>
      <c r="P50" s="144"/>
      <c r="Q50" s="151" t="s">
        <v>193</v>
      </c>
      <c r="R50" s="149"/>
      <c r="S50" s="140"/>
      <c r="T50" s="140"/>
      <c r="U50" s="140"/>
      <c r="V50" s="140"/>
      <c r="W50" s="140"/>
      <c r="X50" s="140"/>
      <c r="Y50" s="140"/>
      <c r="Z50" s="140"/>
      <c r="AA50" s="140"/>
      <c r="AB50" s="140"/>
      <c r="AC50" s="150"/>
      <c r="AD50" s="142"/>
      <c r="AE50" s="148">
        <f t="shared" si="5"/>
        <v>0</v>
      </c>
      <c r="AF50" s="98"/>
      <c r="AG50" s="98"/>
      <c r="AH50" s="98"/>
      <c r="AI50" s="98"/>
      <c r="AJ50" s="98"/>
      <c r="AK50" s="98"/>
    </row>
    <row r="51" spans="1:37" ht="12.75" customHeight="1" outlineLevel="1" x14ac:dyDescent="0.25">
      <c r="A51" s="151" t="s">
        <v>194</v>
      </c>
      <c r="B51" s="149"/>
      <c r="C51" s="140"/>
      <c r="D51" s="140"/>
      <c r="E51" s="140"/>
      <c r="F51" s="140"/>
      <c r="G51" s="140"/>
      <c r="H51" s="140"/>
      <c r="I51" s="140"/>
      <c r="J51" s="140"/>
      <c r="K51" s="140"/>
      <c r="L51" s="140"/>
      <c r="M51" s="141"/>
      <c r="N51" s="142"/>
      <c r="O51" s="143">
        <f t="shared" si="4"/>
        <v>0</v>
      </c>
      <c r="P51" s="144"/>
      <c r="Q51" s="151" t="s">
        <v>194</v>
      </c>
      <c r="R51" s="149"/>
      <c r="S51" s="140"/>
      <c r="T51" s="140"/>
      <c r="U51" s="140"/>
      <c r="V51" s="140"/>
      <c r="W51" s="140"/>
      <c r="X51" s="140"/>
      <c r="Y51" s="140"/>
      <c r="Z51" s="140"/>
      <c r="AA51" s="140"/>
      <c r="AB51" s="140"/>
      <c r="AC51" s="150"/>
      <c r="AD51" s="142"/>
      <c r="AE51" s="148">
        <f t="shared" si="5"/>
        <v>0</v>
      </c>
      <c r="AF51" s="98"/>
      <c r="AG51" s="98"/>
      <c r="AH51" s="98"/>
      <c r="AI51" s="98"/>
      <c r="AJ51" s="98"/>
      <c r="AK51" s="98"/>
    </row>
    <row r="52" spans="1:37" ht="12.75" customHeight="1" outlineLevel="1" x14ac:dyDescent="0.25">
      <c r="A52" s="151" t="s">
        <v>195</v>
      </c>
      <c r="B52" s="149"/>
      <c r="C52" s="140"/>
      <c r="D52" s="140"/>
      <c r="E52" s="140"/>
      <c r="F52" s="140"/>
      <c r="G52" s="140"/>
      <c r="H52" s="140"/>
      <c r="I52" s="140"/>
      <c r="J52" s="140"/>
      <c r="K52" s="140"/>
      <c r="L52" s="140"/>
      <c r="M52" s="141"/>
      <c r="N52" s="142">
        <v>1</v>
      </c>
      <c r="O52" s="143">
        <f t="shared" si="4"/>
        <v>0</v>
      </c>
      <c r="P52" s="144"/>
      <c r="Q52" s="151" t="s">
        <v>195</v>
      </c>
      <c r="R52" s="149"/>
      <c r="S52" s="140"/>
      <c r="T52" s="140"/>
      <c r="U52" s="140"/>
      <c r="V52" s="140"/>
      <c r="W52" s="140"/>
      <c r="X52" s="140"/>
      <c r="Y52" s="140"/>
      <c r="Z52" s="140"/>
      <c r="AA52" s="140"/>
      <c r="AB52" s="140"/>
      <c r="AC52" s="150"/>
      <c r="AD52" s="142"/>
      <c r="AE52" s="148">
        <f t="shared" si="5"/>
        <v>0</v>
      </c>
      <c r="AF52" s="98"/>
      <c r="AG52" s="98"/>
      <c r="AH52" s="98"/>
      <c r="AI52" s="98"/>
      <c r="AJ52" s="98"/>
      <c r="AK52" s="98"/>
    </row>
    <row r="53" spans="1:37" ht="15" x14ac:dyDescent="0.25">
      <c r="A53" s="151" t="s">
        <v>196</v>
      </c>
      <c r="B53" s="149"/>
      <c r="C53" s="140"/>
      <c r="D53" s="140"/>
      <c r="E53" s="140"/>
      <c r="F53" s="140"/>
      <c r="G53" s="140"/>
      <c r="H53" s="140"/>
      <c r="I53" s="140"/>
      <c r="J53" s="140"/>
      <c r="K53" s="140"/>
      <c r="L53" s="140"/>
      <c r="M53" s="141"/>
      <c r="N53" s="142"/>
      <c r="O53" s="143">
        <f t="shared" si="4"/>
        <v>0</v>
      </c>
      <c r="P53" s="144"/>
      <c r="Q53" s="151" t="s">
        <v>196</v>
      </c>
      <c r="R53" s="149"/>
      <c r="S53" s="140"/>
      <c r="T53" s="140"/>
      <c r="U53" s="140"/>
      <c r="V53" s="140"/>
      <c r="W53" s="140"/>
      <c r="X53" s="140"/>
      <c r="Y53" s="140"/>
      <c r="Z53" s="140"/>
      <c r="AA53" s="140"/>
      <c r="AB53" s="140"/>
      <c r="AC53" s="150"/>
      <c r="AD53" s="142"/>
      <c r="AE53" s="148">
        <f t="shared" si="5"/>
        <v>0</v>
      </c>
      <c r="AF53" s="98"/>
      <c r="AG53" s="98"/>
      <c r="AH53" s="98"/>
      <c r="AI53" s="98"/>
      <c r="AJ53" s="98"/>
      <c r="AK53" s="98"/>
    </row>
    <row r="54" spans="1:37" ht="15" x14ac:dyDescent="0.25">
      <c r="A54" s="151" t="s">
        <v>87</v>
      </c>
      <c r="B54" s="149"/>
      <c r="C54" s="140"/>
      <c r="D54" s="140"/>
      <c r="E54" s="140"/>
      <c r="F54" s="140"/>
      <c r="G54" s="140"/>
      <c r="H54" s="140"/>
      <c r="I54" s="140"/>
      <c r="J54" s="140"/>
      <c r="K54" s="140"/>
      <c r="L54" s="140"/>
      <c r="M54" s="141"/>
      <c r="N54" s="142"/>
      <c r="O54" s="143">
        <f t="shared" si="4"/>
        <v>0</v>
      </c>
      <c r="P54" s="144"/>
      <c r="Q54" s="151" t="s">
        <v>87</v>
      </c>
      <c r="R54" s="149"/>
      <c r="S54" s="140"/>
      <c r="T54" s="140"/>
      <c r="U54" s="140"/>
      <c r="V54" s="140"/>
      <c r="W54" s="140"/>
      <c r="X54" s="140"/>
      <c r="Y54" s="140"/>
      <c r="Z54" s="140"/>
      <c r="AA54" s="140"/>
      <c r="AB54" s="140"/>
      <c r="AC54" s="150"/>
      <c r="AD54" s="142"/>
      <c r="AE54" s="148">
        <f t="shared" si="5"/>
        <v>0</v>
      </c>
      <c r="AF54" s="98"/>
      <c r="AG54" s="98"/>
      <c r="AH54" s="98"/>
      <c r="AI54" s="98"/>
      <c r="AJ54" s="98"/>
      <c r="AK54" s="98"/>
    </row>
    <row r="55" spans="1:37" ht="3" customHeight="1" x14ac:dyDescent="0.25">
      <c r="A55" s="154"/>
      <c r="B55" s="149"/>
      <c r="C55" s="140"/>
      <c r="D55" s="140"/>
      <c r="E55" s="140"/>
      <c r="F55" s="140"/>
      <c r="G55" s="140"/>
      <c r="H55" s="140"/>
      <c r="I55" s="140"/>
      <c r="J55" s="140"/>
      <c r="K55" s="140"/>
      <c r="L55" s="140"/>
      <c r="M55" s="141"/>
      <c r="N55" s="142"/>
      <c r="O55" s="143">
        <f t="shared" si="4"/>
        <v>0</v>
      </c>
      <c r="P55" s="144"/>
      <c r="Q55" s="154"/>
      <c r="R55" s="149"/>
      <c r="S55" s="140"/>
      <c r="T55" s="140"/>
      <c r="U55" s="140"/>
      <c r="V55" s="140"/>
      <c r="W55" s="140"/>
      <c r="X55" s="140"/>
      <c r="Y55" s="140"/>
      <c r="Z55" s="140"/>
      <c r="AA55" s="140"/>
      <c r="AB55" s="140"/>
      <c r="AC55" s="150"/>
      <c r="AD55" s="142"/>
      <c r="AE55" s="148">
        <f t="shared" si="5"/>
        <v>0</v>
      </c>
      <c r="AF55" s="98"/>
      <c r="AG55" s="98"/>
      <c r="AH55" s="98"/>
      <c r="AI55" s="98"/>
      <c r="AJ55" s="98"/>
      <c r="AK55" s="98"/>
    </row>
    <row r="56" spans="1:37" ht="15" x14ac:dyDescent="0.25">
      <c r="A56" s="159" t="s">
        <v>197</v>
      </c>
      <c r="B56" s="149"/>
      <c r="C56" s="140"/>
      <c r="D56" s="140"/>
      <c r="E56" s="140"/>
      <c r="F56" s="140"/>
      <c r="G56" s="140"/>
      <c r="H56" s="140"/>
      <c r="I56" s="140"/>
      <c r="J56" s="140"/>
      <c r="K56" s="140"/>
      <c r="L56" s="140"/>
      <c r="M56" s="141"/>
      <c r="N56" s="142"/>
      <c r="O56" s="143">
        <f t="shared" si="4"/>
        <v>0</v>
      </c>
      <c r="P56" s="144"/>
      <c r="Q56" s="159" t="s">
        <v>197</v>
      </c>
      <c r="R56" s="149"/>
      <c r="S56" s="140"/>
      <c r="T56" s="140"/>
      <c r="U56" s="140"/>
      <c r="V56" s="140"/>
      <c r="W56" s="140"/>
      <c r="X56" s="140"/>
      <c r="Y56" s="140"/>
      <c r="Z56" s="140"/>
      <c r="AA56" s="140"/>
      <c r="AB56" s="140"/>
      <c r="AC56" s="150"/>
      <c r="AD56" s="142"/>
      <c r="AE56" s="148">
        <f t="shared" si="5"/>
        <v>0</v>
      </c>
      <c r="AF56" s="98"/>
      <c r="AG56" s="98"/>
      <c r="AH56" s="98"/>
      <c r="AI56" s="98"/>
      <c r="AJ56" s="98"/>
      <c r="AK56" s="98"/>
    </row>
    <row r="57" spans="1:37" ht="3" customHeight="1" x14ac:dyDescent="0.25">
      <c r="A57" s="154"/>
      <c r="B57" s="149"/>
      <c r="C57" s="140"/>
      <c r="D57" s="140"/>
      <c r="E57" s="140"/>
      <c r="F57" s="140"/>
      <c r="G57" s="140"/>
      <c r="H57" s="140"/>
      <c r="I57" s="140"/>
      <c r="J57" s="140"/>
      <c r="K57" s="140"/>
      <c r="L57" s="140"/>
      <c r="M57" s="141"/>
      <c r="N57" s="142"/>
      <c r="O57" s="143">
        <f t="shared" si="4"/>
        <v>0</v>
      </c>
      <c r="P57" s="144"/>
      <c r="Q57" s="154"/>
      <c r="R57" s="149"/>
      <c r="S57" s="140"/>
      <c r="T57" s="140"/>
      <c r="U57" s="140"/>
      <c r="V57" s="140"/>
      <c r="W57" s="140"/>
      <c r="X57" s="140"/>
      <c r="Y57" s="140"/>
      <c r="Z57" s="140"/>
      <c r="AA57" s="140"/>
      <c r="AB57" s="140"/>
      <c r="AC57" s="150"/>
      <c r="AD57" s="142"/>
      <c r="AE57" s="148">
        <f t="shared" si="5"/>
        <v>0</v>
      </c>
      <c r="AF57" s="98"/>
      <c r="AG57" s="98"/>
      <c r="AH57" s="98"/>
      <c r="AI57" s="98"/>
      <c r="AJ57" s="98"/>
      <c r="AK57" s="98"/>
    </row>
    <row r="58" spans="1:37" ht="15" x14ac:dyDescent="0.25">
      <c r="A58" s="159" t="s">
        <v>198</v>
      </c>
      <c r="B58" s="149"/>
      <c r="C58" s="140"/>
      <c r="D58" s="140"/>
      <c r="E58" s="140"/>
      <c r="F58" s="140"/>
      <c r="G58" s="140"/>
      <c r="H58" s="140"/>
      <c r="I58" s="140"/>
      <c r="J58" s="140"/>
      <c r="K58" s="140"/>
      <c r="L58" s="140"/>
      <c r="M58" s="141"/>
      <c r="N58" s="142"/>
      <c r="O58" s="143">
        <f t="shared" si="4"/>
        <v>0</v>
      </c>
      <c r="P58" s="144"/>
      <c r="Q58" s="159" t="s">
        <v>198</v>
      </c>
      <c r="R58" s="149"/>
      <c r="S58" s="140"/>
      <c r="T58" s="140"/>
      <c r="U58" s="140"/>
      <c r="V58" s="140"/>
      <c r="W58" s="140"/>
      <c r="X58" s="140"/>
      <c r="Y58" s="140"/>
      <c r="Z58" s="140"/>
      <c r="AA58" s="140"/>
      <c r="AB58" s="140"/>
      <c r="AC58" s="150"/>
      <c r="AD58" s="142"/>
      <c r="AE58" s="148">
        <f t="shared" si="5"/>
        <v>0</v>
      </c>
      <c r="AF58" s="98"/>
      <c r="AG58" s="98"/>
      <c r="AH58" s="98"/>
      <c r="AI58" s="98"/>
      <c r="AJ58" s="98"/>
      <c r="AK58" s="98"/>
    </row>
    <row r="59" spans="1:37" ht="15" x14ac:dyDescent="0.25">
      <c r="A59" s="138" t="s">
        <v>199</v>
      </c>
      <c r="B59" s="149"/>
      <c r="C59" s="140"/>
      <c r="D59" s="140"/>
      <c r="E59" s="140"/>
      <c r="F59" s="140"/>
      <c r="G59" s="140"/>
      <c r="H59" s="140"/>
      <c r="I59" s="140"/>
      <c r="J59" s="140"/>
      <c r="K59" s="140"/>
      <c r="L59" s="140"/>
      <c r="M59" s="141"/>
      <c r="N59" s="142"/>
      <c r="O59" s="143">
        <f t="shared" si="4"/>
        <v>0</v>
      </c>
      <c r="P59" s="144"/>
      <c r="Q59" s="138" t="s">
        <v>199</v>
      </c>
      <c r="R59" s="149"/>
      <c r="S59" s="140"/>
      <c r="T59" s="140"/>
      <c r="U59" s="140"/>
      <c r="V59" s="140"/>
      <c r="W59" s="140"/>
      <c r="X59" s="140"/>
      <c r="Y59" s="140"/>
      <c r="Z59" s="140"/>
      <c r="AA59" s="140"/>
      <c r="AB59" s="140"/>
      <c r="AC59" s="150"/>
      <c r="AD59" s="142"/>
      <c r="AE59" s="148">
        <f t="shared" si="5"/>
        <v>0</v>
      </c>
      <c r="AF59" s="98"/>
      <c r="AG59" s="98"/>
      <c r="AH59" s="98"/>
      <c r="AI59" s="98"/>
      <c r="AJ59" s="98"/>
      <c r="AK59" s="98"/>
    </row>
    <row r="60" spans="1:37" ht="15" x14ac:dyDescent="0.25">
      <c r="A60" s="138" t="s">
        <v>200</v>
      </c>
      <c r="B60" s="149"/>
      <c r="C60" s="140"/>
      <c r="D60" s="140"/>
      <c r="E60" s="140"/>
      <c r="F60" s="140"/>
      <c r="G60" s="140"/>
      <c r="H60" s="140"/>
      <c r="I60" s="140"/>
      <c r="J60" s="140"/>
      <c r="K60" s="140"/>
      <c r="L60" s="140"/>
      <c r="M60" s="141"/>
      <c r="N60" s="142"/>
      <c r="O60" s="143">
        <f t="shared" si="4"/>
        <v>0</v>
      </c>
      <c r="P60" s="144"/>
      <c r="Q60" s="138" t="s">
        <v>200</v>
      </c>
      <c r="R60" s="149"/>
      <c r="S60" s="140"/>
      <c r="T60" s="140"/>
      <c r="U60" s="140"/>
      <c r="V60" s="140"/>
      <c r="W60" s="140"/>
      <c r="X60" s="140"/>
      <c r="Y60" s="140"/>
      <c r="Z60" s="140"/>
      <c r="AA60" s="140"/>
      <c r="AB60" s="140"/>
      <c r="AC60" s="150"/>
      <c r="AD60" s="142"/>
      <c r="AE60" s="148">
        <f t="shared" si="5"/>
        <v>0</v>
      </c>
      <c r="AF60" s="98"/>
      <c r="AG60" s="98"/>
      <c r="AH60" s="98"/>
      <c r="AI60" s="98"/>
      <c r="AJ60" s="98"/>
      <c r="AK60" s="98"/>
    </row>
    <row r="61" spans="1:37" ht="3" customHeight="1" x14ac:dyDescent="0.25">
      <c r="A61" s="154"/>
      <c r="B61" s="149"/>
      <c r="C61" s="140"/>
      <c r="D61" s="140"/>
      <c r="E61" s="140"/>
      <c r="F61" s="140"/>
      <c r="G61" s="140"/>
      <c r="H61" s="140"/>
      <c r="I61" s="140"/>
      <c r="J61" s="140"/>
      <c r="K61" s="140"/>
      <c r="L61" s="140"/>
      <c r="M61" s="141"/>
      <c r="N61" s="142"/>
      <c r="O61" s="143">
        <f t="shared" si="4"/>
        <v>0</v>
      </c>
      <c r="P61" s="144"/>
      <c r="Q61" s="154"/>
      <c r="R61" s="149"/>
      <c r="S61" s="140"/>
      <c r="T61" s="140"/>
      <c r="U61" s="140"/>
      <c r="V61" s="140"/>
      <c r="W61" s="140"/>
      <c r="X61" s="140"/>
      <c r="Y61" s="140"/>
      <c r="Z61" s="140"/>
      <c r="AA61" s="140"/>
      <c r="AB61" s="140"/>
      <c r="AC61" s="150"/>
      <c r="AD61" s="142"/>
      <c r="AE61" s="148">
        <f t="shared" si="5"/>
        <v>0</v>
      </c>
      <c r="AF61" s="98"/>
      <c r="AG61" s="98"/>
      <c r="AH61" s="98"/>
      <c r="AI61" s="98"/>
      <c r="AJ61" s="98"/>
      <c r="AK61" s="98"/>
    </row>
    <row r="62" spans="1:37" ht="25.5" customHeight="1" x14ac:dyDescent="0.25">
      <c r="A62" s="157" t="s">
        <v>201</v>
      </c>
      <c r="B62" s="149"/>
      <c r="C62" s="140"/>
      <c r="D62" s="140"/>
      <c r="E62" s="140"/>
      <c r="F62" s="140"/>
      <c r="G62" s="140"/>
      <c r="H62" s="140"/>
      <c r="I62" s="140"/>
      <c r="J62" s="140"/>
      <c r="K62" s="140"/>
      <c r="L62" s="140"/>
      <c r="M62" s="141"/>
      <c r="N62" s="142"/>
      <c r="O62" s="143">
        <f t="shared" si="4"/>
        <v>0</v>
      </c>
      <c r="P62" s="187"/>
      <c r="Q62" s="157" t="s">
        <v>201</v>
      </c>
      <c r="R62" s="149"/>
      <c r="S62" s="140"/>
      <c r="T62" s="140"/>
      <c r="U62" s="140"/>
      <c r="V62" s="140"/>
      <c r="W62" s="140"/>
      <c r="X62" s="140"/>
      <c r="Y62" s="140"/>
      <c r="Z62" s="140"/>
      <c r="AA62" s="140"/>
      <c r="AB62" s="140"/>
      <c r="AC62" s="150"/>
      <c r="AD62" s="142"/>
      <c r="AE62" s="148">
        <f t="shared" si="5"/>
        <v>0</v>
      </c>
      <c r="AF62" s="98"/>
      <c r="AG62" s="98"/>
      <c r="AH62" s="98"/>
      <c r="AI62" s="98"/>
      <c r="AJ62" s="98"/>
      <c r="AK62" s="98"/>
    </row>
    <row r="63" spans="1:37" ht="23.25" customHeight="1" x14ac:dyDescent="0.25">
      <c r="A63" s="151" t="s">
        <v>202</v>
      </c>
      <c r="B63" s="149"/>
      <c r="C63" s="140"/>
      <c r="D63" s="140"/>
      <c r="E63" s="140"/>
      <c r="F63" s="140"/>
      <c r="G63" s="140"/>
      <c r="H63" s="140"/>
      <c r="I63" s="140"/>
      <c r="J63" s="140"/>
      <c r="K63" s="140"/>
      <c r="L63" s="140"/>
      <c r="M63" s="141"/>
      <c r="N63" s="142"/>
      <c r="O63" s="143">
        <f t="shared" si="4"/>
        <v>0</v>
      </c>
      <c r="P63" s="144"/>
      <c r="Q63" s="151" t="s">
        <v>202</v>
      </c>
      <c r="R63" s="149"/>
      <c r="S63" s="140"/>
      <c r="T63" s="140"/>
      <c r="U63" s="140"/>
      <c r="V63" s="140"/>
      <c r="W63" s="140"/>
      <c r="X63" s="140"/>
      <c r="Y63" s="140"/>
      <c r="Z63" s="140"/>
      <c r="AA63" s="140"/>
      <c r="AB63" s="140"/>
      <c r="AC63" s="150"/>
      <c r="AD63" s="142"/>
      <c r="AE63" s="148">
        <f t="shared" si="5"/>
        <v>0</v>
      </c>
      <c r="AF63" s="98"/>
      <c r="AG63" s="98"/>
      <c r="AH63" s="98"/>
      <c r="AI63" s="98"/>
      <c r="AJ63" s="98"/>
      <c r="AK63" s="98"/>
    </row>
    <row r="64" spans="1:37" ht="15" x14ac:dyDescent="0.25">
      <c r="A64" s="138" t="s">
        <v>203</v>
      </c>
      <c r="B64" s="149"/>
      <c r="C64" s="140"/>
      <c r="D64" s="140"/>
      <c r="E64" s="140"/>
      <c r="F64" s="140"/>
      <c r="G64" s="140"/>
      <c r="H64" s="140"/>
      <c r="I64" s="140"/>
      <c r="J64" s="140"/>
      <c r="K64" s="140"/>
      <c r="L64" s="140"/>
      <c r="M64" s="141"/>
      <c r="N64" s="142"/>
      <c r="O64" s="143">
        <f t="shared" si="4"/>
        <v>0</v>
      </c>
      <c r="P64" s="144"/>
      <c r="Q64" s="138" t="s">
        <v>203</v>
      </c>
      <c r="R64" s="149"/>
      <c r="S64" s="140"/>
      <c r="T64" s="140"/>
      <c r="U64" s="140"/>
      <c r="V64" s="140"/>
      <c r="W64" s="140"/>
      <c r="X64" s="140"/>
      <c r="Y64" s="140"/>
      <c r="Z64" s="140"/>
      <c r="AA64" s="140"/>
      <c r="AB64" s="140"/>
      <c r="AC64" s="150"/>
      <c r="AD64" s="142"/>
      <c r="AE64" s="148">
        <f t="shared" si="5"/>
        <v>0</v>
      </c>
      <c r="AF64" s="98"/>
      <c r="AG64" s="98"/>
      <c r="AH64" s="98"/>
      <c r="AI64" s="98"/>
      <c r="AJ64" s="98"/>
      <c r="AK64" s="98"/>
    </row>
    <row r="65" spans="1:37" ht="15" x14ac:dyDescent="0.25">
      <c r="A65" s="138" t="s">
        <v>204</v>
      </c>
      <c r="B65" s="149"/>
      <c r="C65" s="140"/>
      <c r="D65" s="140"/>
      <c r="E65" s="140"/>
      <c r="F65" s="140"/>
      <c r="G65" s="140"/>
      <c r="H65" s="140"/>
      <c r="I65" s="140"/>
      <c r="J65" s="140"/>
      <c r="K65" s="140"/>
      <c r="L65" s="140"/>
      <c r="M65" s="141"/>
      <c r="N65" s="142"/>
      <c r="O65" s="143"/>
      <c r="P65" s="144"/>
      <c r="Q65" s="138" t="s">
        <v>204</v>
      </c>
      <c r="R65" s="149"/>
      <c r="S65" s="140"/>
      <c r="T65" s="140"/>
      <c r="U65" s="140"/>
      <c r="V65" s="140"/>
      <c r="W65" s="140"/>
      <c r="X65" s="140"/>
      <c r="Y65" s="140"/>
      <c r="Z65" s="140"/>
      <c r="AA65" s="140"/>
      <c r="AB65" s="140"/>
      <c r="AC65" s="150"/>
      <c r="AD65" s="142"/>
      <c r="AE65" s="148"/>
      <c r="AF65" s="98"/>
      <c r="AG65" s="98"/>
      <c r="AH65" s="98"/>
      <c r="AI65" s="98"/>
      <c r="AJ65" s="98"/>
      <c r="AK65" s="98"/>
    </row>
    <row r="66" spans="1:37" ht="23.25" x14ac:dyDescent="0.25">
      <c r="A66" s="138" t="s">
        <v>205</v>
      </c>
      <c r="B66" s="149"/>
      <c r="C66" s="140"/>
      <c r="D66" s="140"/>
      <c r="E66" s="140"/>
      <c r="F66" s="140"/>
      <c r="G66" s="140"/>
      <c r="H66" s="140"/>
      <c r="I66" s="140"/>
      <c r="J66" s="140"/>
      <c r="K66" s="140"/>
      <c r="L66" s="140"/>
      <c r="M66" s="141"/>
      <c r="N66" s="142"/>
      <c r="O66" s="143">
        <f>SUM(B66:M66)</f>
        <v>0</v>
      </c>
      <c r="P66" s="144"/>
      <c r="Q66" s="138" t="s">
        <v>205</v>
      </c>
      <c r="R66" s="149"/>
      <c r="S66" s="140"/>
      <c r="T66" s="140"/>
      <c r="U66" s="140"/>
      <c r="V66" s="140"/>
      <c r="W66" s="140"/>
      <c r="X66" s="140"/>
      <c r="Y66" s="140"/>
      <c r="Z66" s="140"/>
      <c r="AA66" s="140"/>
      <c r="AB66" s="140"/>
      <c r="AC66" s="150"/>
      <c r="AD66" s="142"/>
      <c r="AE66" s="148">
        <f>SUM(R66:AC66)</f>
        <v>0</v>
      </c>
      <c r="AF66" s="98"/>
      <c r="AG66" s="98"/>
      <c r="AH66" s="98"/>
      <c r="AI66" s="98"/>
      <c r="AJ66" s="98"/>
      <c r="AK66" s="98"/>
    </row>
    <row r="67" spans="1:37" ht="2.25" customHeight="1" x14ac:dyDescent="0.25">
      <c r="A67" s="154"/>
      <c r="B67" s="188"/>
      <c r="C67" s="131"/>
      <c r="D67" s="131"/>
      <c r="E67" s="131"/>
      <c r="F67" s="131"/>
      <c r="G67" s="131"/>
      <c r="H67" s="131"/>
      <c r="I67" s="131"/>
      <c r="J67" s="131"/>
      <c r="K67" s="131"/>
      <c r="L67" s="131"/>
      <c r="M67" s="132"/>
      <c r="N67" s="98"/>
      <c r="O67" s="143">
        <f>SUM(B67:M67)</f>
        <v>0</v>
      </c>
      <c r="P67" s="144"/>
      <c r="Q67" s="154"/>
      <c r="R67" s="188"/>
      <c r="S67" s="131"/>
      <c r="T67" s="131"/>
      <c r="U67" s="131"/>
      <c r="V67" s="131"/>
      <c r="W67" s="131"/>
      <c r="X67" s="131"/>
      <c r="Y67" s="131"/>
      <c r="Z67" s="131"/>
      <c r="AA67" s="131"/>
      <c r="AB67" s="131"/>
      <c r="AC67" s="147"/>
      <c r="AD67" s="98"/>
      <c r="AE67" s="148">
        <f>SUM(R67:AC67)</f>
        <v>0</v>
      </c>
      <c r="AF67" s="98"/>
      <c r="AG67" s="98"/>
      <c r="AH67" s="98"/>
      <c r="AI67" s="98"/>
      <c r="AJ67" s="98"/>
      <c r="AK67" s="98"/>
    </row>
    <row r="68" spans="1:37" ht="15" x14ac:dyDescent="0.25">
      <c r="A68" s="159" t="s">
        <v>206</v>
      </c>
      <c r="B68" s="188"/>
      <c r="C68" s="131"/>
      <c r="D68" s="131"/>
      <c r="E68" s="131"/>
      <c r="F68" s="131"/>
      <c r="G68" s="131"/>
      <c r="H68" s="131"/>
      <c r="I68" s="131"/>
      <c r="J68" s="131"/>
      <c r="K68" s="131"/>
      <c r="L68" s="131"/>
      <c r="M68" s="132"/>
      <c r="N68" s="98"/>
      <c r="O68" s="143">
        <f>SUM(B68:M68)</f>
        <v>0</v>
      </c>
      <c r="P68" s="144"/>
      <c r="Q68" s="159" t="s">
        <v>206</v>
      </c>
      <c r="R68" s="188"/>
      <c r="S68" s="131"/>
      <c r="T68" s="131"/>
      <c r="U68" s="131"/>
      <c r="V68" s="131"/>
      <c r="W68" s="131"/>
      <c r="X68" s="131"/>
      <c r="Y68" s="131"/>
      <c r="Z68" s="131"/>
      <c r="AA68" s="131"/>
      <c r="AB68" s="131"/>
      <c r="AC68" s="147"/>
      <c r="AD68" s="98"/>
      <c r="AE68" s="148">
        <f>SUM(R68:AC68)</f>
        <v>0</v>
      </c>
      <c r="AF68" s="98"/>
      <c r="AG68" s="98"/>
      <c r="AH68" s="98"/>
      <c r="AI68" s="98"/>
      <c r="AJ68" s="98"/>
      <c r="AK68" s="98"/>
    </row>
    <row r="69" spans="1:37" ht="12.75" customHeight="1" x14ac:dyDescent="0.25">
      <c r="A69" s="138" t="s">
        <v>207</v>
      </c>
      <c r="B69" s="149"/>
      <c r="C69" s="140"/>
      <c r="D69" s="140"/>
      <c r="E69" s="140"/>
      <c r="F69" s="140"/>
      <c r="G69" s="140"/>
      <c r="H69" s="140"/>
      <c r="I69" s="140"/>
      <c r="J69" s="140"/>
      <c r="K69" s="140"/>
      <c r="L69" s="140"/>
      <c r="M69" s="141"/>
      <c r="N69" s="142"/>
      <c r="O69" s="143">
        <f>SUM(B69:M69)</f>
        <v>0</v>
      </c>
      <c r="P69" s="144"/>
      <c r="Q69" s="138" t="s">
        <v>207</v>
      </c>
      <c r="R69" s="149"/>
      <c r="S69" s="140"/>
      <c r="T69" s="140"/>
      <c r="U69" s="140"/>
      <c r="V69" s="140"/>
      <c r="W69" s="140"/>
      <c r="X69" s="140"/>
      <c r="Y69" s="140"/>
      <c r="Z69" s="140"/>
      <c r="AA69" s="140"/>
      <c r="AB69" s="140"/>
      <c r="AC69" s="150"/>
      <c r="AD69" s="142"/>
      <c r="AE69" s="148">
        <f>SUM(R69:AC69)</f>
        <v>0</v>
      </c>
      <c r="AF69" s="98"/>
      <c r="AG69" s="98"/>
      <c r="AH69" s="98"/>
      <c r="AI69" s="98"/>
      <c r="AJ69" s="98"/>
      <c r="AK69" s="98"/>
    </row>
    <row r="70" spans="1:37" ht="15" x14ac:dyDescent="0.25">
      <c r="A70" s="138" t="s">
        <v>208</v>
      </c>
      <c r="B70" s="165"/>
      <c r="C70" s="166"/>
      <c r="D70" s="166"/>
      <c r="E70" s="166"/>
      <c r="F70" s="166"/>
      <c r="G70" s="166"/>
      <c r="H70" s="166"/>
      <c r="I70" s="166"/>
      <c r="J70" s="166"/>
      <c r="K70" s="166"/>
      <c r="L70" s="166"/>
      <c r="M70" s="189"/>
      <c r="N70" s="142"/>
      <c r="O70" s="143">
        <f>SUM(B70:M70)</f>
        <v>0</v>
      </c>
      <c r="P70" s="144"/>
      <c r="Q70" s="138" t="s">
        <v>208</v>
      </c>
      <c r="R70" s="165"/>
      <c r="S70" s="166"/>
      <c r="T70" s="166"/>
      <c r="U70" s="166"/>
      <c r="V70" s="166"/>
      <c r="W70" s="166"/>
      <c r="X70" s="166"/>
      <c r="Y70" s="166"/>
      <c r="Z70" s="166"/>
      <c r="AA70" s="166"/>
      <c r="AB70" s="166"/>
      <c r="AC70" s="190"/>
      <c r="AD70" s="142"/>
      <c r="AE70" s="148">
        <f>SUM(R70:AC70)</f>
        <v>0</v>
      </c>
      <c r="AF70" s="98"/>
      <c r="AG70" s="98"/>
      <c r="AH70" s="98"/>
      <c r="AI70" s="98"/>
      <c r="AJ70" s="98"/>
      <c r="AK70" s="98"/>
    </row>
    <row r="71" spans="1:37" ht="2.25" customHeight="1" x14ac:dyDescent="0.2">
      <c r="A71" s="156"/>
      <c r="B71" s="191"/>
      <c r="C71" s="98"/>
      <c r="D71" s="98"/>
      <c r="E71" s="98"/>
      <c r="F71" s="98"/>
      <c r="G71" s="98"/>
      <c r="H71" s="98"/>
      <c r="I71" s="98"/>
      <c r="J71" s="98"/>
      <c r="K71" s="98"/>
      <c r="L71" s="98"/>
      <c r="M71" s="136"/>
      <c r="N71" s="98"/>
      <c r="O71" s="133"/>
      <c r="P71" s="155"/>
      <c r="Q71" s="156"/>
      <c r="R71" s="192"/>
      <c r="S71" s="98"/>
      <c r="T71" s="98"/>
      <c r="U71" s="98"/>
      <c r="V71" s="98"/>
      <c r="W71" s="98"/>
      <c r="X71" s="98"/>
      <c r="Y71" s="98"/>
      <c r="Z71" s="98"/>
      <c r="AA71" s="98"/>
      <c r="AB71" s="98"/>
      <c r="AC71" s="136"/>
      <c r="AD71" s="98"/>
      <c r="AE71" s="137"/>
      <c r="AF71" s="98"/>
      <c r="AG71" s="98"/>
      <c r="AH71" s="98"/>
      <c r="AI71" s="98"/>
      <c r="AJ71" s="98"/>
      <c r="AK71" s="98"/>
    </row>
    <row r="72" spans="1:37" x14ac:dyDescent="0.2">
      <c r="A72" s="158" t="s">
        <v>209</v>
      </c>
      <c r="B72" s="175">
        <f t="shared" ref="B72:M72" si="6">SUM(B29:B70)</f>
        <v>0</v>
      </c>
      <c r="C72" s="175">
        <f t="shared" si="6"/>
        <v>0</v>
      </c>
      <c r="D72" s="175">
        <f t="shared" si="6"/>
        <v>0</v>
      </c>
      <c r="E72" s="175">
        <f t="shared" si="6"/>
        <v>0</v>
      </c>
      <c r="F72" s="175">
        <f t="shared" si="6"/>
        <v>0</v>
      </c>
      <c r="G72" s="175">
        <f t="shared" si="6"/>
        <v>0</v>
      </c>
      <c r="H72" s="175">
        <f t="shared" si="6"/>
        <v>0</v>
      </c>
      <c r="I72" s="175">
        <f t="shared" si="6"/>
        <v>0</v>
      </c>
      <c r="J72" s="175">
        <f t="shared" si="6"/>
        <v>0</v>
      </c>
      <c r="K72" s="175">
        <f t="shared" si="6"/>
        <v>0</v>
      </c>
      <c r="L72" s="175">
        <f t="shared" si="6"/>
        <v>0</v>
      </c>
      <c r="M72" s="176">
        <f t="shared" si="6"/>
        <v>0</v>
      </c>
      <c r="N72" s="193"/>
      <c r="O72" s="172">
        <f>SUM(O29:O70)</f>
        <v>0</v>
      </c>
      <c r="P72" s="173"/>
      <c r="Q72" s="158" t="s">
        <v>209</v>
      </c>
      <c r="R72" s="194">
        <f t="shared" ref="R72:AC72" si="7">SUM(R29:R70)</f>
        <v>0</v>
      </c>
      <c r="S72" s="195">
        <f t="shared" si="7"/>
        <v>0</v>
      </c>
      <c r="T72" s="195">
        <f t="shared" si="7"/>
        <v>0</v>
      </c>
      <c r="U72" s="195">
        <f t="shared" si="7"/>
        <v>0</v>
      </c>
      <c r="V72" s="195">
        <f t="shared" si="7"/>
        <v>0</v>
      </c>
      <c r="W72" s="195">
        <f t="shared" si="7"/>
        <v>0</v>
      </c>
      <c r="X72" s="195">
        <f t="shared" si="7"/>
        <v>0</v>
      </c>
      <c r="Y72" s="195">
        <f t="shared" si="7"/>
        <v>0</v>
      </c>
      <c r="Z72" s="195">
        <f t="shared" si="7"/>
        <v>0</v>
      </c>
      <c r="AA72" s="195">
        <f t="shared" si="7"/>
        <v>0</v>
      </c>
      <c r="AB72" s="195">
        <f t="shared" si="7"/>
        <v>0</v>
      </c>
      <c r="AC72" s="196">
        <f t="shared" si="7"/>
        <v>0</v>
      </c>
      <c r="AD72" s="142"/>
      <c r="AE72" s="148">
        <f>SUM(AE29:AE70)</f>
        <v>0</v>
      </c>
      <c r="AF72" s="98"/>
      <c r="AG72" s="98"/>
      <c r="AH72" s="98"/>
      <c r="AI72" s="98"/>
      <c r="AJ72" s="98"/>
      <c r="AK72" s="98"/>
    </row>
    <row r="73" spans="1:37" s="98" customFormat="1" ht="2.25" customHeight="1" x14ac:dyDescent="0.2">
      <c r="A73" s="197"/>
      <c r="B73" s="198"/>
      <c r="C73" s="198"/>
      <c r="D73" s="198"/>
      <c r="E73" s="198"/>
      <c r="F73" s="198"/>
      <c r="G73" s="198"/>
      <c r="H73" s="198"/>
      <c r="I73" s="198"/>
      <c r="J73" s="198"/>
      <c r="K73" s="198"/>
      <c r="L73" s="198"/>
      <c r="M73" s="199"/>
      <c r="N73" s="142"/>
      <c r="O73" s="200"/>
      <c r="P73" s="144"/>
      <c r="Q73" s="197"/>
      <c r="R73" s="161"/>
      <c r="S73" s="142"/>
      <c r="T73" s="142"/>
      <c r="U73" s="142"/>
      <c r="V73" s="142"/>
      <c r="W73" s="142"/>
      <c r="X73" s="142"/>
      <c r="Y73" s="142"/>
      <c r="Z73" s="142"/>
      <c r="AA73" s="142"/>
      <c r="AB73" s="142"/>
      <c r="AC73" s="162"/>
      <c r="AD73" s="142"/>
      <c r="AE73" s="201"/>
    </row>
    <row r="74" spans="1:37" ht="12.75" customHeight="1" x14ac:dyDescent="0.2">
      <c r="A74" s="158" t="s">
        <v>210</v>
      </c>
      <c r="B74" s="202">
        <f t="shared" ref="B74:M74" si="8">B26-B72</f>
        <v>0</v>
      </c>
      <c r="C74" s="202">
        <f t="shared" si="8"/>
        <v>0</v>
      </c>
      <c r="D74" s="202">
        <f t="shared" si="8"/>
        <v>0</v>
      </c>
      <c r="E74" s="202">
        <f t="shared" si="8"/>
        <v>0</v>
      </c>
      <c r="F74" s="202">
        <f t="shared" si="8"/>
        <v>0</v>
      </c>
      <c r="G74" s="202">
        <f t="shared" si="8"/>
        <v>0</v>
      </c>
      <c r="H74" s="202">
        <f t="shared" si="8"/>
        <v>0</v>
      </c>
      <c r="I74" s="202">
        <f t="shared" si="8"/>
        <v>0</v>
      </c>
      <c r="J74" s="202">
        <f t="shared" si="8"/>
        <v>0</v>
      </c>
      <c r="K74" s="202">
        <f t="shared" si="8"/>
        <v>0</v>
      </c>
      <c r="L74" s="202">
        <f t="shared" si="8"/>
        <v>0</v>
      </c>
      <c r="M74" s="203">
        <f t="shared" si="8"/>
        <v>0</v>
      </c>
      <c r="N74" s="193"/>
      <c r="O74" s="172">
        <f>O26-O72</f>
        <v>0</v>
      </c>
      <c r="P74" s="173"/>
      <c r="Q74" s="158" t="s">
        <v>210</v>
      </c>
      <c r="R74" s="204">
        <f t="shared" ref="R74:AC74" si="9">R26-R72</f>
        <v>0</v>
      </c>
      <c r="S74" s="205">
        <f t="shared" si="9"/>
        <v>0</v>
      </c>
      <c r="T74" s="205">
        <f t="shared" si="9"/>
        <v>0</v>
      </c>
      <c r="U74" s="205">
        <f t="shared" si="9"/>
        <v>0</v>
      </c>
      <c r="V74" s="205">
        <f t="shared" si="9"/>
        <v>0</v>
      </c>
      <c r="W74" s="205">
        <f t="shared" si="9"/>
        <v>0</v>
      </c>
      <c r="X74" s="205">
        <f t="shared" si="9"/>
        <v>0</v>
      </c>
      <c r="Y74" s="205">
        <f t="shared" si="9"/>
        <v>0</v>
      </c>
      <c r="Z74" s="205">
        <f t="shared" si="9"/>
        <v>0</v>
      </c>
      <c r="AA74" s="205">
        <f t="shared" si="9"/>
        <v>0</v>
      </c>
      <c r="AB74" s="205">
        <f t="shared" si="9"/>
        <v>0</v>
      </c>
      <c r="AC74" s="206">
        <f t="shared" si="9"/>
        <v>0</v>
      </c>
      <c r="AD74" s="142"/>
      <c r="AE74" s="148">
        <f>AE26-AE72</f>
        <v>0</v>
      </c>
      <c r="AF74" s="98"/>
      <c r="AG74" s="98"/>
      <c r="AH74" s="98"/>
      <c r="AI74" s="98"/>
      <c r="AJ74" s="98"/>
      <c r="AK74" s="98"/>
    </row>
    <row r="75" spans="1:37" ht="2.25" customHeight="1" x14ac:dyDescent="0.2">
      <c r="A75" s="160"/>
      <c r="B75" s="198"/>
      <c r="C75" s="198"/>
      <c r="D75" s="198"/>
      <c r="E75" s="198"/>
      <c r="F75" s="198"/>
      <c r="G75" s="198"/>
      <c r="H75" s="198"/>
      <c r="I75" s="198"/>
      <c r="J75" s="198"/>
      <c r="K75" s="198"/>
      <c r="L75" s="198"/>
      <c r="M75" s="199"/>
      <c r="N75" s="142"/>
      <c r="O75" s="200"/>
      <c r="P75" s="144"/>
      <c r="Q75" s="160"/>
      <c r="R75" s="207"/>
      <c r="S75" s="198"/>
      <c r="T75" s="198"/>
      <c r="U75" s="198"/>
      <c r="V75" s="198"/>
      <c r="W75" s="198"/>
      <c r="X75" s="198"/>
      <c r="Y75" s="198"/>
      <c r="Z75" s="198"/>
      <c r="AA75" s="198"/>
      <c r="AB75" s="198"/>
      <c r="AC75" s="199"/>
      <c r="AD75" s="142"/>
      <c r="AE75" s="198"/>
      <c r="AF75" s="98"/>
      <c r="AG75" s="98"/>
      <c r="AH75" s="98"/>
      <c r="AI75" s="98"/>
      <c r="AJ75" s="98"/>
      <c r="AK75" s="98"/>
    </row>
    <row r="76" spans="1:37" ht="2.25" customHeight="1" x14ac:dyDescent="0.2">
      <c r="A76" s="160"/>
      <c r="B76" s="198"/>
      <c r="C76" s="198"/>
      <c r="D76" s="198"/>
      <c r="E76" s="198"/>
      <c r="F76" s="198"/>
      <c r="G76" s="198"/>
      <c r="H76" s="198"/>
      <c r="I76" s="198"/>
      <c r="J76" s="208"/>
      <c r="K76" s="208"/>
      <c r="L76" s="208"/>
      <c r="M76" s="199"/>
      <c r="N76" s="142"/>
      <c r="O76" s="200"/>
      <c r="P76" s="144"/>
      <c r="Q76" s="160"/>
      <c r="R76" s="207"/>
      <c r="S76" s="198"/>
      <c r="T76" s="198"/>
      <c r="U76" s="198"/>
      <c r="V76" s="198"/>
      <c r="W76" s="198"/>
      <c r="X76" s="198"/>
      <c r="Y76" s="198"/>
      <c r="Z76" s="208"/>
      <c r="AA76" s="208"/>
      <c r="AB76" s="208"/>
      <c r="AC76" s="199"/>
      <c r="AD76" s="142"/>
      <c r="AE76" s="198"/>
      <c r="AF76" s="98"/>
      <c r="AG76" s="98"/>
      <c r="AH76" s="98"/>
      <c r="AI76" s="98"/>
      <c r="AJ76" s="98"/>
      <c r="AK76" s="98"/>
    </row>
    <row r="77" spans="1:37" ht="23.25" customHeight="1" x14ac:dyDescent="0.2">
      <c r="A77" s="209" t="s">
        <v>211</v>
      </c>
      <c r="B77" s="210">
        <f>Accounts!D175</f>
        <v>43.449999999999989</v>
      </c>
      <c r="C77" s="211">
        <f t="shared" ref="C77:M77" si="10">B78</f>
        <v>43.449999999999989</v>
      </c>
      <c r="D77" s="211">
        <f t="shared" si="10"/>
        <v>43.449999999999989</v>
      </c>
      <c r="E77" s="211">
        <f t="shared" si="10"/>
        <v>43.449999999999989</v>
      </c>
      <c r="F77" s="211">
        <f t="shared" si="10"/>
        <v>43.449999999999989</v>
      </c>
      <c r="G77" s="211">
        <f t="shared" si="10"/>
        <v>43.449999999999989</v>
      </c>
      <c r="H77" s="211">
        <f t="shared" si="10"/>
        <v>43.449999999999989</v>
      </c>
      <c r="I77" s="211">
        <f t="shared" si="10"/>
        <v>43.449999999999989</v>
      </c>
      <c r="J77" s="211">
        <f t="shared" si="10"/>
        <v>43.449999999999989</v>
      </c>
      <c r="K77" s="211">
        <f t="shared" si="10"/>
        <v>43.449999999999989</v>
      </c>
      <c r="L77" s="211">
        <f t="shared" si="10"/>
        <v>43.449999999999989</v>
      </c>
      <c r="M77" s="212">
        <f t="shared" si="10"/>
        <v>43.449999999999989</v>
      </c>
      <c r="N77" s="142"/>
      <c r="O77" s="172">
        <f>+B77</f>
        <v>43.449999999999989</v>
      </c>
      <c r="P77" s="144"/>
      <c r="Q77" s="209" t="s">
        <v>211</v>
      </c>
      <c r="R77" s="213">
        <f>M78</f>
        <v>43.449999999999989</v>
      </c>
      <c r="S77" s="211">
        <f t="shared" ref="S77:AC77" si="11">R78</f>
        <v>43.449999999999989</v>
      </c>
      <c r="T77" s="211">
        <f t="shared" si="11"/>
        <v>43.449999999999989</v>
      </c>
      <c r="U77" s="211">
        <f t="shared" si="11"/>
        <v>43.449999999999989</v>
      </c>
      <c r="V77" s="211">
        <f t="shared" si="11"/>
        <v>43.449999999999989</v>
      </c>
      <c r="W77" s="211">
        <f t="shared" si="11"/>
        <v>43.449999999999989</v>
      </c>
      <c r="X77" s="211">
        <f t="shared" si="11"/>
        <v>43.449999999999989</v>
      </c>
      <c r="Y77" s="211">
        <f t="shared" si="11"/>
        <v>43.449999999999989</v>
      </c>
      <c r="Z77" s="211">
        <f t="shared" si="11"/>
        <v>43.449999999999989</v>
      </c>
      <c r="AA77" s="211">
        <f t="shared" si="11"/>
        <v>43.449999999999989</v>
      </c>
      <c r="AB77" s="211">
        <f t="shared" si="11"/>
        <v>43.449999999999989</v>
      </c>
      <c r="AC77" s="212">
        <f t="shared" si="11"/>
        <v>43.449999999999989</v>
      </c>
      <c r="AD77" s="142"/>
      <c r="AE77" s="148">
        <f>+R77</f>
        <v>43.449999999999989</v>
      </c>
      <c r="AF77" s="98"/>
      <c r="AG77" s="98"/>
      <c r="AH77" s="98"/>
      <c r="AI77" s="98"/>
      <c r="AJ77" s="98"/>
      <c r="AK77" s="98"/>
    </row>
    <row r="78" spans="1:37" ht="24.75" customHeight="1" x14ac:dyDescent="0.2">
      <c r="A78" s="214" t="s">
        <v>153</v>
      </c>
      <c r="B78" s="215">
        <f t="shared" ref="B78:M78" si="12">B74+B77</f>
        <v>43.449999999999989</v>
      </c>
      <c r="C78" s="215">
        <f t="shared" si="12"/>
        <v>43.449999999999989</v>
      </c>
      <c r="D78" s="215">
        <f t="shared" si="12"/>
        <v>43.449999999999989</v>
      </c>
      <c r="E78" s="215">
        <f t="shared" si="12"/>
        <v>43.449999999999989</v>
      </c>
      <c r="F78" s="215">
        <f t="shared" si="12"/>
        <v>43.449999999999989</v>
      </c>
      <c r="G78" s="215">
        <f t="shared" si="12"/>
        <v>43.449999999999989</v>
      </c>
      <c r="H78" s="215">
        <f t="shared" si="12"/>
        <v>43.449999999999989</v>
      </c>
      <c r="I78" s="215">
        <f t="shared" si="12"/>
        <v>43.449999999999989</v>
      </c>
      <c r="J78" s="215">
        <f t="shared" si="12"/>
        <v>43.449999999999989</v>
      </c>
      <c r="K78" s="215">
        <f t="shared" si="12"/>
        <v>43.449999999999989</v>
      </c>
      <c r="L78" s="215">
        <f t="shared" si="12"/>
        <v>43.449999999999989</v>
      </c>
      <c r="M78" s="216">
        <f t="shared" si="12"/>
        <v>43.449999999999989</v>
      </c>
      <c r="N78" s="142"/>
      <c r="O78" s="217">
        <f>O74+O77</f>
        <v>43.449999999999989</v>
      </c>
      <c r="P78" s="218"/>
      <c r="Q78" s="214" t="s">
        <v>153</v>
      </c>
      <c r="R78" s="219">
        <f t="shared" ref="R78:AC78" si="13">R74+R77</f>
        <v>43.449999999999989</v>
      </c>
      <c r="S78" s="215">
        <f t="shared" si="13"/>
        <v>43.449999999999989</v>
      </c>
      <c r="T78" s="215">
        <f t="shared" si="13"/>
        <v>43.449999999999989</v>
      </c>
      <c r="U78" s="215">
        <f t="shared" si="13"/>
        <v>43.449999999999989</v>
      </c>
      <c r="V78" s="215">
        <f t="shared" si="13"/>
        <v>43.449999999999989</v>
      </c>
      <c r="W78" s="215">
        <f t="shared" si="13"/>
        <v>43.449999999999989</v>
      </c>
      <c r="X78" s="215">
        <f t="shared" si="13"/>
        <v>43.449999999999989</v>
      </c>
      <c r="Y78" s="215">
        <f t="shared" si="13"/>
        <v>43.449999999999989</v>
      </c>
      <c r="Z78" s="215">
        <f t="shared" si="13"/>
        <v>43.449999999999989</v>
      </c>
      <c r="AA78" s="215">
        <f t="shared" si="13"/>
        <v>43.449999999999989</v>
      </c>
      <c r="AB78" s="215">
        <f t="shared" si="13"/>
        <v>43.449999999999989</v>
      </c>
      <c r="AC78" s="216">
        <f t="shared" si="13"/>
        <v>43.449999999999989</v>
      </c>
      <c r="AD78" s="142"/>
      <c r="AE78" s="220">
        <f>AE74+AE77</f>
        <v>43.449999999999989</v>
      </c>
      <c r="AF78" s="98"/>
      <c r="AG78" s="98"/>
      <c r="AH78" s="98"/>
      <c r="AI78" s="98"/>
      <c r="AJ78" s="98"/>
      <c r="AK78" s="98"/>
    </row>
    <row r="79" spans="1:37" ht="2.25" customHeight="1" x14ac:dyDescent="0.2">
      <c r="A79" s="160"/>
      <c r="B79" s="221"/>
      <c r="C79" s="221"/>
      <c r="D79" s="221"/>
      <c r="E79" s="221"/>
      <c r="F79" s="221"/>
      <c r="G79" s="221"/>
      <c r="H79" s="221"/>
      <c r="I79" s="221"/>
      <c r="J79" s="221"/>
      <c r="K79" s="221"/>
      <c r="L79" s="221"/>
      <c r="M79" s="222"/>
      <c r="N79" s="98"/>
      <c r="O79" s="98"/>
      <c r="Q79" s="160"/>
      <c r="R79" s="223"/>
      <c r="S79" s="221"/>
      <c r="T79" s="221"/>
      <c r="U79" s="221"/>
      <c r="V79" s="221"/>
      <c r="W79" s="221"/>
      <c r="X79" s="221"/>
      <c r="Y79" s="221"/>
      <c r="Z79" s="221"/>
      <c r="AA79" s="221"/>
      <c r="AB79" s="221"/>
      <c r="AC79" s="222"/>
      <c r="AD79" s="98"/>
      <c r="AE79" s="98"/>
      <c r="AF79" s="98"/>
      <c r="AG79" s="98"/>
      <c r="AH79" s="98"/>
      <c r="AI79" s="98"/>
      <c r="AJ79" s="98"/>
      <c r="AK79" s="98"/>
    </row>
    <row r="80" spans="1:37" x14ac:dyDescent="0.2">
      <c r="A80" s="224" t="s">
        <v>212</v>
      </c>
      <c r="B80" s="225"/>
      <c r="C80" s="225"/>
      <c r="D80" s="225"/>
      <c r="E80" s="225"/>
      <c r="F80" s="225"/>
      <c r="G80" s="225"/>
      <c r="H80" s="225"/>
      <c r="I80" s="225"/>
      <c r="J80" s="225"/>
      <c r="K80" s="225"/>
      <c r="L80" s="225"/>
      <c r="M80" s="226"/>
      <c r="N80" s="98"/>
      <c r="O80" s="98"/>
      <c r="Q80" s="224" t="s">
        <v>212</v>
      </c>
      <c r="R80" s="227"/>
      <c r="S80" s="225"/>
      <c r="T80" s="225"/>
      <c r="U80" s="225"/>
      <c r="V80" s="225"/>
      <c r="W80" s="225"/>
      <c r="X80" s="225"/>
      <c r="Y80" s="225"/>
      <c r="Z80" s="225"/>
      <c r="AA80" s="225"/>
      <c r="AB80" s="225"/>
      <c r="AC80" s="226"/>
      <c r="AD80" s="98"/>
      <c r="AE80" s="98"/>
      <c r="AF80" s="98"/>
      <c r="AG80" s="98"/>
      <c r="AH80" s="98"/>
      <c r="AI80" s="98"/>
      <c r="AJ80" s="98"/>
      <c r="AK80" s="98"/>
    </row>
    <row r="81" spans="1:38" ht="15" customHeight="1" x14ac:dyDescent="0.2">
      <c r="A81" s="156" t="s">
        <v>213</v>
      </c>
      <c r="B81" s="221"/>
      <c r="C81" s="221"/>
      <c r="D81" s="221"/>
      <c r="E81" s="221"/>
      <c r="F81" s="221"/>
      <c r="G81" s="221"/>
      <c r="H81" s="221"/>
      <c r="I81" s="221"/>
      <c r="J81" s="221"/>
      <c r="K81" s="221"/>
      <c r="L81" s="221"/>
      <c r="M81" s="222"/>
      <c r="N81" s="98"/>
      <c r="O81" s="98"/>
      <c r="Q81" s="156" t="s">
        <v>213</v>
      </c>
      <c r="R81" s="223"/>
      <c r="S81" s="221"/>
      <c r="T81" s="221"/>
      <c r="U81" s="221"/>
      <c r="V81" s="221"/>
      <c r="W81" s="221"/>
      <c r="X81" s="221"/>
      <c r="Y81" s="221"/>
      <c r="Z81" s="221"/>
      <c r="AA81" s="221"/>
      <c r="AB81" s="221"/>
      <c r="AC81" s="222"/>
      <c r="AD81" s="98"/>
      <c r="AE81" s="98"/>
      <c r="AF81" s="98"/>
      <c r="AG81" s="98"/>
      <c r="AH81" s="98"/>
      <c r="AI81" s="98"/>
      <c r="AJ81" s="98"/>
      <c r="AK81" s="98"/>
    </row>
    <row r="82" spans="1:38" ht="25.5" customHeight="1" x14ac:dyDescent="0.2">
      <c r="A82" s="158" t="s">
        <v>214</v>
      </c>
      <c r="B82" s="228">
        <f t="shared" ref="B82:M82" si="14">IF(B78&lt;0,ABS(SUM(B80:B81))+B78,ABS(SUM(B80:B81))+B78)</f>
        <v>43.449999999999989</v>
      </c>
      <c r="C82" s="215">
        <f t="shared" si="14"/>
        <v>43.449999999999989</v>
      </c>
      <c r="D82" s="215">
        <f t="shared" si="14"/>
        <v>43.449999999999989</v>
      </c>
      <c r="E82" s="215">
        <f t="shared" si="14"/>
        <v>43.449999999999989</v>
      </c>
      <c r="F82" s="215">
        <f t="shared" si="14"/>
        <v>43.449999999999989</v>
      </c>
      <c r="G82" s="215">
        <f t="shared" si="14"/>
        <v>43.449999999999989</v>
      </c>
      <c r="H82" s="215">
        <f t="shared" si="14"/>
        <v>43.449999999999989</v>
      </c>
      <c r="I82" s="215">
        <f t="shared" si="14"/>
        <v>43.449999999999989</v>
      </c>
      <c r="J82" s="215">
        <f t="shared" si="14"/>
        <v>43.449999999999989</v>
      </c>
      <c r="K82" s="215">
        <f t="shared" si="14"/>
        <v>43.449999999999989</v>
      </c>
      <c r="L82" s="215">
        <f t="shared" si="14"/>
        <v>43.449999999999989</v>
      </c>
      <c r="M82" s="216">
        <f t="shared" si="14"/>
        <v>43.449999999999989</v>
      </c>
      <c r="N82" s="98"/>
      <c r="O82" s="98"/>
      <c r="Q82" s="158" t="s">
        <v>214</v>
      </c>
      <c r="R82" s="229">
        <f t="shared" ref="R82:AC82" si="15">IF(R78&lt;0,ABS(SUM(R80:R81))+R78,ABS(SUM(R80:R81))+R78)</f>
        <v>43.449999999999989</v>
      </c>
      <c r="S82" s="215">
        <f t="shared" si="15"/>
        <v>43.449999999999989</v>
      </c>
      <c r="T82" s="215">
        <f t="shared" si="15"/>
        <v>43.449999999999989</v>
      </c>
      <c r="U82" s="215">
        <f t="shared" si="15"/>
        <v>43.449999999999989</v>
      </c>
      <c r="V82" s="215">
        <f t="shared" si="15"/>
        <v>43.449999999999989</v>
      </c>
      <c r="W82" s="215">
        <f t="shared" si="15"/>
        <v>43.449999999999989</v>
      </c>
      <c r="X82" s="215">
        <f t="shared" si="15"/>
        <v>43.449999999999989</v>
      </c>
      <c r="Y82" s="215">
        <f t="shared" si="15"/>
        <v>43.449999999999989</v>
      </c>
      <c r="Z82" s="215">
        <f t="shared" si="15"/>
        <v>43.449999999999989</v>
      </c>
      <c r="AA82" s="215">
        <f t="shared" si="15"/>
        <v>43.449999999999989</v>
      </c>
      <c r="AB82" s="215">
        <f t="shared" si="15"/>
        <v>43.449999999999989</v>
      </c>
      <c r="AC82" s="216">
        <f t="shared" si="15"/>
        <v>43.449999999999989</v>
      </c>
      <c r="AD82" s="98"/>
      <c r="AE82" s="98"/>
      <c r="AF82" s="98"/>
      <c r="AG82" s="98"/>
      <c r="AH82" s="98"/>
      <c r="AI82" s="98"/>
      <c r="AJ82" s="98"/>
      <c r="AK82" s="98"/>
    </row>
    <row r="83" spans="1:38" x14ac:dyDescent="0.2">
      <c r="A83" s="230"/>
      <c r="B83" s="98"/>
      <c r="C83" s="98"/>
      <c r="D83" s="98"/>
      <c r="E83" s="98"/>
      <c r="F83" s="98"/>
      <c r="G83" s="98"/>
      <c r="H83" s="98"/>
      <c r="I83" s="98"/>
      <c r="J83" s="98"/>
      <c r="K83" s="98"/>
      <c r="L83" s="98"/>
      <c r="M83" s="98"/>
      <c r="N83" s="98"/>
      <c r="O83" s="98"/>
      <c r="Q83" s="98"/>
      <c r="R83" s="98"/>
      <c r="S83" s="98"/>
      <c r="T83" s="98"/>
      <c r="U83" s="98"/>
      <c r="V83" s="98"/>
      <c r="W83" s="98"/>
      <c r="X83" s="98"/>
      <c r="Y83" s="98"/>
      <c r="Z83" s="98"/>
      <c r="AA83" s="98"/>
      <c r="AB83" s="98"/>
      <c r="AC83" s="98"/>
      <c r="AD83" s="98"/>
      <c r="AE83" s="98"/>
      <c r="AF83" s="98"/>
      <c r="AG83" s="98"/>
      <c r="AH83" s="98"/>
      <c r="AI83" s="98"/>
      <c r="AJ83" s="98"/>
      <c r="AK83" s="98"/>
      <c r="AL83" s="98"/>
    </row>
    <row r="84" spans="1:38" x14ac:dyDescent="0.2">
      <c r="A84" s="98"/>
      <c r="B84" s="98"/>
      <c r="C84" s="98"/>
      <c r="D84" s="98"/>
      <c r="E84" s="98"/>
      <c r="F84" s="98"/>
      <c r="G84" s="98"/>
      <c r="H84" s="98"/>
      <c r="I84" s="98"/>
      <c r="J84" s="98"/>
      <c r="K84" s="98"/>
      <c r="L84" s="98"/>
      <c r="M84" s="98"/>
      <c r="N84" s="98"/>
      <c r="O84" s="98"/>
      <c r="Q84" s="98"/>
      <c r="R84" s="98"/>
      <c r="S84" s="98"/>
      <c r="T84" s="98"/>
      <c r="U84" s="98"/>
      <c r="V84" s="98"/>
      <c r="W84" s="98"/>
      <c r="X84" s="98"/>
      <c r="Y84" s="98"/>
      <c r="Z84" s="98"/>
      <c r="AA84" s="98"/>
      <c r="AB84" s="98"/>
      <c r="AC84" s="98"/>
      <c r="AD84" s="98"/>
      <c r="AE84" s="98"/>
      <c r="AF84" s="98"/>
      <c r="AG84" s="98"/>
      <c r="AH84" s="98"/>
      <c r="AI84" s="98"/>
      <c r="AJ84" s="98"/>
      <c r="AK84" s="98"/>
      <c r="AL84" s="98"/>
    </row>
    <row r="85" spans="1:38" x14ac:dyDescent="0.2">
      <c r="A85" s="98"/>
      <c r="B85" s="98"/>
      <c r="C85" s="98"/>
      <c r="D85" s="98"/>
      <c r="E85" s="98"/>
      <c r="F85" s="98"/>
      <c r="G85" s="98"/>
      <c r="H85" s="98"/>
      <c r="I85" s="98"/>
      <c r="J85" s="98"/>
      <c r="K85" s="98"/>
      <c r="L85" s="98"/>
      <c r="M85" s="98"/>
      <c r="N85" s="98"/>
      <c r="O85" s="98"/>
      <c r="Q85" s="98"/>
      <c r="R85" s="98"/>
      <c r="S85" s="98"/>
      <c r="T85" s="98"/>
      <c r="U85" s="98"/>
      <c r="V85" s="98"/>
      <c r="W85" s="98"/>
      <c r="X85" s="98"/>
      <c r="Y85" s="98"/>
      <c r="Z85" s="98"/>
      <c r="AA85" s="98"/>
      <c r="AB85" s="98"/>
      <c r="AC85" s="98"/>
      <c r="AD85" s="98"/>
      <c r="AE85" s="98"/>
      <c r="AF85" s="98"/>
      <c r="AG85" s="98"/>
      <c r="AH85" s="98"/>
      <c r="AI85" s="98"/>
      <c r="AJ85" s="98"/>
      <c r="AK85" s="98"/>
      <c r="AL85" s="98"/>
    </row>
    <row r="86" spans="1:38" x14ac:dyDescent="0.2">
      <c r="A86" s="98"/>
      <c r="B86" s="98"/>
      <c r="C86" s="98"/>
      <c r="D86" s="98"/>
      <c r="E86" s="98"/>
      <c r="F86" s="98"/>
      <c r="G86" s="98"/>
      <c r="H86" s="98"/>
      <c r="I86" s="98"/>
      <c r="J86" s="98"/>
      <c r="K86" s="98"/>
      <c r="L86" s="98"/>
      <c r="M86" s="98"/>
      <c r="N86" s="98"/>
      <c r="O86" s="98"/>
      <c r="Q86" s="98"/>
      <c r="R86" s="98"/>
      <c r="S86" s="98"/>
      <c r="T86" s="98"/>
      <c r="U86" s="98"/>
      <c r="V86" s="98"/>
      <c r="W86" s="98"/>
      <c r="X86" s="98"/>
      <c r="Y86" s="98"/>
      <c r="Z86" s="98"/>
      <c r="AA86" s="98"/>
      <c r="AB86" s="98"/>
      <c r="AC86" s="98"/>
      <c r="AD86" s="98"/>
      <c r="AE86" s="98"/>
      <c r="AF86" s="98"/>
      <c r="AG86" s="98"/>
      <c r="AH86" s="98"/>
      <c r="AI86" s="98"/>
      <c r="AJ86" s="98"/>
      <c r="AK86" s="98"/>
      <c r="AL86" s="98"/>
    </row>
    <row r="87" spans="1:38" x14ac:dyDescent="0.2">
      <c r="A87" s="98"/>
      <c r="B87" s="98"/>
      <c r="C87" s="98"/>
      <c r="D87" s="98"/>
      <c r="E87" s="98"/>
      <c r="F87" s="98"/>
      <c r="G87" s="98"/>
      <c r="H87" s="98"/>
      <c r="I87" s="98"/>
      <c r="J87" s="98"/>
      <c r="K87" s="98"/>
      <c r="L87" s="98"/>
      <c r="M87" s="98"/>
      <c r="N87" s="98"/>
      <c r="O87" s="98"/>
      <c r="Q87" s="98"/>
      <c r="R87" s="98"/>
      <c r="S87" s="98"/>
      <c r="T87" s="98"/>
      <c r="U87" s="98"/>
      <c r="V87" s="98"/>
      <c r="W87" s="98"/>
      <c r="X87" s="98"/>
      <c r="Y87" s="98"/>
      <c r="Z87" s="98"/>
      <c r="AA87" s="98"/>
      <c r="AB87" s="98"/>
      <c r="AC87" s="98"/>
      <c r="AD87" s="98"/>
      <c r="AE87" s="98"/>
      <c r="AF87" s="98"/>
      <c r="AG87" s="98"/>
      <c r="AH87" s="98"/>
      <c r="AI87" s="98"/>
      <c r="AJ87" s="98"/>
      <c r="AK87" s="98"/>
      <c r="AL87" s="98"/>
    </row>
    <row r="88" spans="1:38" x14ac:dyDescent="0.2">
      <c r="A88" s="98"/>
      <c r="B88" s="98"/>
      <c r="C88" s="98"/>
      <c r="D88" s="98"/>
      <c r="E88" s="98"/>
      <c r="F88" s="98"/>
      <c r="G88" s="98"/>
      <c r="H88" s="98"/>
      <c r="I88" s="98"/>
      <c r="J88" s="98"/>
      <c r="K88" s="98"/>
      <c r="L88" s="98"/>
      <c r="M88" s="98"/>
      <c r="N88" s="98"/>
      <c r="O88" s="98"/>
      <c r="Q88" s="98"/>
      <c r="R88" s="98"/>
      <c r="S88" s="98"/>
      <c r="T88" s="98"/>
      <c r="U88" s="98"/>
      <c r="V88" s="98"/>
      <c r="W88" s="98"/>
      <c r="X88" s="98"/>
      <c r="Y88" s="98"/>
      <c r="Z88" s="98"/>
      <c r="AA88" s="98"/>
      <c r="AB88" s="98"/>
      <c r="AC88" s="98"/>
      <c r="AD88" s="98"/>
      <c r="AE88" s="98"/>
      <c r="AF88" s="98"/>
      <c r="AG88" s="98"/>
      <c r="AH88" s="98"/>
      <c r="AI88" s="98"/>
      <c r="AJ88" s="98"/>
      <c r="AK88" s="98"/>
      <c r="AL88" s="98"/>
    </row>
    <row r="89" spans="1:38" x14ac:dyDescent="0.2">
      <c r="A89" s="98"/>
      <c r="B89" s="98"/>
      <c r="C89" s="98"/>
      <c r="D89" s="98"/>
      <c r="E89" s="98"/>
      <c r="F89" s="98"/>
      <c r="G89" s="98"/>
      <c r="H89" s="98"/>
      <c r="I89" s="98"/>
      <c r="J89" s="98"/>
      <c r="K89" s="98"/>
      <c r="L89" s="98"/>
      <c r="M89" s="98"/>
      <c r="N89" s="98"/>
      <c r="O89" s="98"/>
      <c r="Q89" s="98"/>
      <c r="R89" s="98"/>
      <c r="S89" s="98"/>
      <c r="T89" s="98"/>
      <c r="U89" s="98"/>
      <c r="V89" s="98"/>
      <c r="W89" s="98"/>
      <c r="X89" s="98"/>
      <c r="Y89" s="98"/>
      <c r="Z89" s="98"/>
      <c r="AA89" s="98"/>
      <c r="AB89" s="98"/>
      <c r="AC89" s="98"/>
      <c r="AD89" s="98"/>
      <c r="AE89" s="98"/>
      <c r="AF89" s="98"/>
      <c r="AG89" s="98"/>
      <c r="AH89" s="98"/>
      <c r="AI89" s="98"/>
      <c r="AJ89" s="98"/>
      <c r="AK89" s="98"/>
      <c r="AL89" s="98"/>
    </row>
    <row r="90" spans="1:38" x14ac:dyDescent="0.2">
      <c r="A90" s="98"/>
      <c r="B90" s="98"/>
      <c r="C90" s="98"/>
      <c r="D90" s="98"/>
      <c r="E90" s="98"/>
      <c r="F90" s="98"/>
      <c r="G90" s="98"/>
      <c r="H90" s="98"/>
      <c r="I90" s="98"/>
      <c r="J90" s="98"/>
      <c r="K90" s="98"/>
      <c r="L90" s="98"/>
      <c r="M90" s="98"/>
      <c r="N90" s="98"/>
      <c r="O90" s="98"/>
      <c r="Q90" s="98"/>
      <c r="R90" s="98"/>
      <c r="S90" s="98"/>
      <c r="T90" s="98"/>
      <c r="U90" s="98"/>
      <c r="V90" s="98"/>
      <c r="W90" s="98"/>
      <c r="X90" s="98"/>
      <c r="Y90" s="98"/>
      <c r="Z90" s="98"/>
      <c r="AA90" s="98"/>
      <c r="AB90" s="98"/>
      <c r="AC90" s="98"/>
      <c r="AD90" s="98"/>
      <c r="AE90" s="98"/>
      <c r="AF90" s="98"/>
      <c r="AG90" s="98"/>
      <c r="AH90" s="98"/>
      <c r="AI90" s="98"/>
      <c r="AJ90" s="98"/>
      <c r="AK90" s="98"/>
      <c r="AL90" s="98"/>
    </row>
    <row r="91" spans="1:38" x14ac:dyDescent="0.2">
      <c r="A91" s="98"/>
      <c r="B91" s="98"/>
      <c r="C91" s="98"/>
      <c r="D91" s="98"/>
      <c r="E91" s="98"/>
      <c r="F91" s="98"/>
      <c r="G91" s="98"/>
      <c r="H91" s="98"/>
      <c r="I91" s="98"/>
      <c r="J91" s="98"/>
      <c r="K91" s="98"/>
      <c r="L91" s="98"/>
      <c r="M91" s="98"/>
      <c r="N91" s="98"/>
      <c r="O91" s="98"/>
      <c r="Q91" s="98"/>
      <c r="R91" s="98"/>
      <c r="S91" s="98"/>
      <c r="T91" s="98"/>
      <c r="U91" s="98"/>
      <c r="V91" s="98"/>
      <c r="W91" s="98"/>
      <c r="X91" s="98"/>
      <c r="Y91" s="98"/>
      <c r="Z91" s="98"/>
      <c r="AA91" s="98"/>
      <c r="AB91" s="98"/>
      <c r="AC91" s="98"/>
      <c r="AD91" s="98"/>
      <c r="AE91" s="98"/>
      <c r="AF91" s="98"/>
      <c r="AG91" s="98"/>
      <c r="AH91" s="98"/>
      <c r="AI91" s="98"/>
      <c r="AJ91" s="98"/>
      <c r="AK91" s="98"/>
      <c r="AL91" s="98"/>
    </row>
    <row r="92" spans="1:38" x14ac:dyDescent="0.2">
      <c r="A92" s="98"/>
      <c r="B92" s="98"/>
      <c r="C92" s="98"/>
      <c r="D92" s="98"/>
      <c r="E92" s="98"/>
      <c r="F92" s="98"/>
      <c r="G92" s="98"/>
      <c r="H92" s="98"/>
      <c r="I92" s="98"/>
      <c r="J92" s="98"/>
      <c r="K92" s="98"/>
      <c r="L92" s="98"/>
      <c r="M92" s="98"/>
      <c r="N92" s="98"/>
      <c r="O92" s="98"/>
      <c r="Q92" s="98"/>
      <c r="R92" s="98"/>
      <c r="S92" s="98"/>
      <c r="T92" s="98"/>
      <c r="U92" s="98"/>
      <c r="V92" s="98"/>
      <c r="W92" s="98"/>
      <c r="X92" s="98"/>
      <c r="Y92" s="98"/>
      <c r="Z92" s="98"/>
      <c r="AA92" s="98"/>
      <c r="AB92" s="98"/>
      <c r="AC92" s="98"/>
      <c r="AD92" s="98"/>
      <c r="AE92" s="98"/>
      <c r="AF92" s="98"/>
      <c r="AG92" s="98"/>
      <c r="AH92" s="98"/>
      <c r="AI92" s="98"/>
      <c r="AJ92" s="98"/>
      <c r="AK92" s="98"/>
      <c r="AL92" s="98"/>
    </row>
    <row r="93" spans="1:38" x14ac:dyDescent="0.2">
      <c r="A93" s="98"/>
      <c r="B93" s="98"/>
      <c r="C93" s="98"/>
      <c r="D93" s="98"/>
      <c r="E93" s="98"/>
      <c r="F93" s="98"/>
      <c r="G93" s="98"/>
      <c r="H93" s="98"/>
      <c r="I93" s="98"/>
      <c r="J93" s="98"/>
      <c r="K93" s="98"/>
      <c r="L93" s="98"/>
      <c r="M93" s="98"/>
      <c r="N93" s="98"/>
      <c r="O93" s="98"/>
      <c r="Q93" s="98"/>
      <c r="R93" s="98"/>
      <c r="S93" s="98"/>
      <c r="T93" s="98"/>
      <c r="U93" s="98"/>
      <c r="V93" s="98"/>
      <c r="W93" s="98"/>
      <c r="X93" s="98"/>
      <c r="Y93" s="98"/>
      <c r="Z93" s="98"/>
      <c r="AA93" s="98"/>
      <c r="AB93" s="98"/>
      <c r="AC93" s="98"/>
      <c r="AD93" s="98"/>
      <c r="AE93" s="98"/>
      <c r="AF93" s="98"/>
      <c r="AG93" s="98"/>
      <c r="AH93" s="98"/>
      <c r="AI93" s="98"/>
      <c r="AJ93" s="98"/>
      <c r="AK93" s="98"/>
      <c r="AL93" s="98"/>
    </row>
    <row r="94" spans="1:38" x14ac:dyDescent="0.2">
      <c r="A94" s="98"/>
      <c r="B94" s="98"/>
      <c r="C94" s="98"/>
      <c r="D94" s="98"/>
      <c r="E94" s="98"/>
      <c r="F94" s="98"/>
      <c r="G94" s="98"/>
      <c r="H94" s="98"/>
      <c r="I94" s="98"/>
      <c r="J94" s="98"/>
      <c r="K94" s="98"/>
      <c r="L94" s="98"/>
      <c r="M94" s="98"/>
      <c r="N94" s="98"/>
      <c r="O94" s="98"/>
      <c r="Q94" s="98"/>
      <c r="R94" s="98"/>
      <c r="S94" s="98"/>
      <c r="T94" s="98"/>
      <c r="U94" s="98"/>
      <c r="V94" s="98"/>
      <c r="W94" s="98"/>
      <c r="X94" s="98"/>
      <c r="Y94" s="98"/>
      <c r="Z94" s="98"/>
      <c r="AA94" s="98"/>
      <c r="AB94" s="98"/>
      <c r="AC94" s="98"/>
      <c r="AD94" s="98"/>
      <c r="AE94" s="98"/>
      <c r="AF94" s="98"/>
      <c r="AG94" s="98"/>
      <c r="AH94" s="98"/>
      <c r="AI94" s="98"/>
      <c r="AJ94" s="98"/>
      <c r="AK94" s="98"/>
      <c r="AL94" s="98"/>
    </row>
    <row r="95" spans="1:38" ht="13.5" customHeight="1" x14ac:dyDescent="0.2">
      <c r="A95" s="98"/>
      <c r="B95" s="98"/>
      <c r="C95" s="98"/>
      <c r="D95" s="98"/>
      <c r="E95" s="98"/>
      <c r="F95" s="98"/>
      <c r="G95" s="98"/>
      <c r="H95" s="98"/>
      <c r="I95" s="98"/>
      <c r="J95" s="98"/>
      <c r="K95" s="98"/>
      <c r="L95" s="98"/>
      <c r="M95" s="98"/>
      <c r="N95" s="98"/>
      <c r="O95" s="98"/>
      <c r="Q95" s="98"/>
      <c r="R95" s="98"/>
      <c r="S95" s="98"/>
      <c r="T95" s="98"/>
      <c r="U95" s="98"/>
      <c r="V95" s="98"/>
      <c r="W95" s="98"/>
      <c r="X95" s="98"/>
      <c r="Y95" s="98"/>
      <c r="Z95" s="98"/>
      <c r="AA95" s="98"/>
      <c r="AB95" s="98"/>
      <c r="AC95" s="98"/>
      <c r="AD95" s="98"/>
      <c r="AE95" s="98"/>
      <c r="AF95" s="98"/>
      <c r="AG95" s="98"/>
      <c r="AH95" s="98"/>
      <c r="AI95" s="98"/>
      <c r="AJ95" s="98"/>
      <c r="AK95" s="98"/>
      <c r="AL95" s="98"/>
    </row>
    <row r="96" spans="1:38" x14ac:dyDescent="0.2">
      <c r="A96" s="98"/>
      <c r="B96" s="98"/>
      <c r="C96" s="98"/>
      <c r="D96" s="98"/>
      <c r="E96" s="98"/>
      <c r="F96" s="98"/>
      <c r="G96" s="98"/>
      <c r="H96" s="98"/>
      <c r="I96" s="98"/>
      <c r="J96" s="98"/>
      <c r="K96" s="98"/>
      <c r="L96" s="98"/>
      <c r="M96" s="98"/>
      <c r="N96" s="98"/>
      <c r="O96" s="98"/>
      <c r="Q96" s="98"/>
      <c r="R96" s="98"/>
      <c r="S96" s="98"/>
      <c r="T96" s="98"/>
      <c r="U96" s="98"/>
      <c r="V96" s="98"/>
      <c r="W96" s="98"/>
      <c r="X96" s="98"/>
      <c r="Y96" s="98"/>
      <c r="Z96" s="98"/>
      <c r="AA96" s="98"/>
      <c r="AB96" s="98"/>
      <c r="AC96" s="98"/>
      <c r="AD96" s="98"/>
      <c r="AE96" s="98"/>
      <c r="AF96" s="98"/>
      <c r="AG96" s="98"/>
      <c r="AH96" s="98"/>
      <c r="AI96" s="98"/>
      <c r="AJ96" s="98"/>
      <c r="AK96" s="98"/>
      <c r="AL96" s="98"/>
    </row>
    <row r="97" spans="16:16" s="98" customFormat="1" x14ac:dyDescent="0.2">
      <c r="P97" s="96"/>
    </row>
    <row r="98" spans="16:16" s="98" customFormat="1" x14ac:dyDescent="0.2">
      <c r="P98" s="96"/>
    </row>
    <row r="99" spans="16:16" s="98" customFormat="1" x14ac:dyDescent="0.2">
      <c r="P99" s="96"/>
    </row>
    <row r="100" spans="16:16" s="98" customFormat="1" x14ac:dyDescent="0.2">
      <c r="P100" s="96"/>
    </row>
    <row r="101" spans="16:16" s="98" customFormat="1" x14ac:dyDescent="0.2">
      <c r="P101" s="96"/>
    </row>
    <row r="102" spans="16:16" s="98" customFormat="1" x14ac:dyDescent="0.2">
      <c r="P102" s="96"/>
    </row>
    <row r="103" spans="16:16" s="98" customFormat="1" x14ac:dyDescent="0.2">
      <c r="P103" s="96"/>
    </row>
    <row r="104" spans="16:16" s="98" customFormat="1" x14ac:dyDescent="0.2">
      <c r="P104" s="96"/>
    </row>
    <row r="105" spans="16:16" s="98" customFormat="1" x14ac:dyDescent="0.2">
      <c r="P105" s="96"/>
    </row>
    <row r="106" spans="16:16" s="98" customFormat="1" x14ac:dyDescent="0.2">
      <c r="P106" s="96"/>
    </row>
    <row r="107" spans="16:16" s="98" customFormat="1" x14ac:dyDescent="0.2">
      <c r="P107" s="96"/>
    </row>
    <row r="108" spans="16:16" s="98" customFormat="1" x14ac:dyDescent="0.2">
      <c r="P108" s="96"/>
    </row>
    <row r="109" spans="16:16" s="98" customFormat="1" x14ac:dyDescent="0.2">
      <c r="P109" s="96"/>
    </row>
    <row r="110" spans="16:16" s="98" customFormat="1" x14ac:dyDescent="0.2">
      <c r="P110" s="96"/>
    </row>
    <row r="111" spans="16:16" s="98" customFormat="1" x14ac:dyDescent="0.2">
      <c r="P111" s="96"/>
    </row>
    <row r="112" spans="16:16" s="98" customFormat="1" x14ac:dyDescent="0.2">
      <c r="P112" s="96"/>
    </row>
    <row r="113" spans="16:16" s="98" customFormat="1" x14ac:dyDescent="0.2">
      <c r="P113" s="96"/>
    </row>
    <row r="114" spans="16:16" s="98" customFormat="1" x14ac:dyDescent="0.2">
      <c r="P114" s="96"/>
    </row>
    <row r="115" spans="16:16" s="98" customFormat="1" x14ac:dyDescent="0.2">
      <c r="P115" s="96"/>
    </row>
    <row r="116" spans="16:16" s="98" customFormat="1" x14ac:dyDescent="0.2">
      <c r="P116" s="96"/>
    </row>
    <row r="117" spans="16:16" s="98" customFormat="1" x14ac:dyDescent="0.2">
      <c r="P117" s="96"/>
    </row>
    <row r="118" spans="16:16" s="98" customFormat="1" x14ac:dyDescent="0.2">
      <c r="P118" s="96"/>
    </row>
    <row r="119" spans="16:16" s="98" customFormat="1" x14ac:dyDescent="0.2">
      <c r="P119" s="96"/>
    </row>
    <row r="120" spans="16:16" s="98" customFormat="1" x14ac:dyDescent="0.2">
      <c r="P120" s="96"/>
    </row>
  </sheetData>
  <pageMargins left="0.70833333333333304" right="0.70833333333333304" top="0.74791666666666701" bottom="0.74791666666666701" header="0.511811023622047" footer="0.511811023622047"/>
  <pageSetup paperSize="9" fitToWidth="0" orientation="landscape" horizontalDpi="300" verticalDpi="30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79"/>
  <sheetViews>
    <sheetView zoomScaleNormal="100" workbookViewId="0">
      <selection activeCell="B17" sqref="B17"/>
    </sheetView>
  </sheetViews>
  <sheetFormatPr defaultColWidth="10.28515625" defaultRowHeight="12.75" x14ac:dyDescent="0.2"/>
  <cols>
    <col min="1" max="1" width="34" style="231" customWidth="1"/>
    <col min="2" max="9" width="9.140625" style="231" customWidth="1"/>
    <col min="10" max="10" width="1.85546875" style="231" customWidth="1"/>
    <col min="11" max="11" width="13" style="231" customWidth="1"/>
    <col min="12" max="12" width="10.28515625" style="231"/>
    <col min="13" max="13" width="13.140625" style="231" customWidth="1"/>
    <col min="14" max="16384" width="10.28515625" style="231"/>
  </cols>
  <sheetData>
    <row r="1" spans="1:10" x14ac:dyDescent="0.2">
      <c r="A1" s="232"/>
      <c r="B1" s="233"/>
      <c r="C1" s="233"/>
      <c r="D1" s="233"/>
      <c r="E1" s="233"/>
      <c r="F1" s="233"/>
      <c r="G1" s="233"/>
      <c r="H1" s="233"/>
      <c r="I1" s="233"/>
      <c r="J1" s="75"/>
    </row>
    <row r="2" spans="1:10" x14ac:dyDescent="0.2">
      <c r="A2" s="481" t="s">
        <v>215</v>
      </c>
      <c r="B2" s="481"/>
      <c r="C2" s="481"/>
      <c r="D2" s="481"/>
      <c r="E2" s="481"/>
      <c r="F2" s="481"/>
      <c r="G2" s="481"/>
      <c r="H2" s="234"/>
      <c r="I2" s="234"/>
      <c r="J2" s="77"/>
    </row>
    <row r="3" spans="1:10" x14ac:dyDescent="0.2">
      <c r="A3" s="235" t="s">
        <v>216</v>
      </c>
      <c r="B3" s="78"/>
      <c r="C3" s="78"/>
      <c r="D3" s="78"/>
      <c r="E3" s="78"/>
      <c r="F3" s="78"/>
      <c r="G3" s="78"/>
      <c r="H3" s="78"/>
      <c r="I3" s="78"/>
      <c r="J3" s="77"/>
    </row>
    <row r="4" spans="1:10" x14ac:dyDescent="0.2">
      <c r="A4" s="236" t="s">
        <v>217</v>
      </c>
      <c r="B4" s="78"/>
      <c r="C4" s="78"/>
      <c r="D4" s="78"/>
      <c r="E4" s="78"/>
      <c r="F4" s="78"/>
      <c r="G4" s="78"/>
      <c r="H4" s="78"/>
      <c r="I4" s="78"/>
      <c r="J4" s="77"/>
    </row>
    <row r="5" spans="1:10" x14ac:dyDescent="0.2">
      <c r="A5" s="236" t="s">
        <v>218</v>
      </c>
      <c r="B5" s="78"/>
      <c r="C5" s="78"/>
      <c r="D5" s="78"/>
      <c r="E5" s="78"/>
      <c r="F5" s="78"/>
      <c r="G5" s="78"/>
      <c r="H5" s="78"/>
      <c r="I5" s="78"/>
      <c r="J5" s="77"/>
    </row>
    <row r="6" spans="1:10" x14ac:dyDescent="0.2">
      <c r="A6" s="236" t="s">
        <v>219</v>
      </c>
      <c r="B6" s="78"/>
      <c r="C6" s="78"/>
      <c r="D6" s="78"/>
      <c r="E6" s="78"/>
      <c r="F6" s="78"/>
      <c r="G6" s="78"/>
      <c r="H6" s="78"/>
      <c r="I6" s="78"/>
      <c r="J6" s="77"/>
    </row>
    <row r="7" spans="1:10" x14ac:dyDescent="0.2">
      <c r="A7" s="235" t="s">
        <v>220</v>
      </c>
      <c r="B7" s="78"/>
      <c r="C7" s="78"/>
      <c r="D7" s="78"/>
      <c r="E7" s="78"/>
      <c r="F7" s="78"/>
      <c r="G7" s="78"/>
      <c r="H7" s="78"/>
      <c r="I7" s="78"/>
      <c r="J7" s="77"/>
    </row>
    <row r="8" spans="1:10" x14ac:dyDescent="0.2">
      <c r="A8" s="236" t="s">
        <v>221</v>
      </c>
      <c r="B8" s="78"/>
      <c r="C8" s="78"/>
      <c r="D8" s="78"/>
      <c r="E8" s="78"/>
      <c r="F8" s="78"/>
      <c r="G8" s="78"/>
      <c r="H8" s="78"/>
      <c r="I8" s="78"/>
      <c r="J8" s="77"/>
    </row>
    <row r="9" spans="1:10" x14ac:dyDescent="0.2">
      <c r="A9" s="235" t="s">
        <v>222</v>
      </c>
      <c r="B9" s="78"/>
      <c r="C9" s="78"/>
      <c r="D9" s="78"/>
      <c r="E9" s="78"/>
      <c r="F9" s="78"/>
      <c r="G9" s="78"/>
      <c r="H9" s="78"/>
      <c r="I9" s="78"/>
      <c r="J9" s="77"/>
    </row>
    <row r="10" spans="1:10" x14ac:dyDescent="0.2">
      <c r="A10" s="236" t="s">
        <v>223</v>
      </c>
      <c r="B10" s="78"/>
      <c r="C10" s="78"/>
      <c r="D10" s="78"/>
      <c r="E10" s="78"/>
      <c r="F10" s="78"/>
      <c r="G10" s="78"/>
      <c r="H10" s="78"/>
      <c r="I10" s="78"/>
      <c r="J10" s="77"/>
    </row>
    <row r="11" spans="1:10" x14ac:dyDescent="0.2">
      <c r="A11" s="237" t="s">
        <v>224</v>
      </c>
      <c r="B11" s="94"/>
      <c r="C11" s="94"/>
      <c r="D11" s="94"/>
      <c r="E11" s="94"/>
      <c r="F11" s="94"/>
      <c r="G11" s="94"/>
      <c r="H11" s="94"/>
      <c r="I11" s="94"/>
      <c r="J11" s="95"/>
    </row>
    <row r="12" spans="1:10" x14ac:dyDescent="0.2">
      <c r="A12" s="236" t="s">
        <v>225</v>
      </c>
      <c r="B12" s="78"/>
      <c r="C12" s="78"/>
      <c r="D12" s="78"/>
      <c r="E12" s="78"/>
      <c r="F12" s="78"/>
      <c r="G12" s="78"/>
      <c r="H12" s="78"/>
      <c r="I12" s="78"/>
      <c r="J12" s="78"/>
    </row>
    <row r="13" spans="1:10" x14ac:dyDescent="0.2">
      <c r="A13" s="235"/>
      <c r="B13" s="78"/>
      <c r="C13" s="78"/>
      <c r="D13" s="78"/>
      <c r="E13" s="78"/>
      <c r="F13" s="78"/>
      <c r="G13" s="78"/>
      <c r="H13" s="78"/>
      <c r="I13" s="78"/>
      <c r="J13" s="78"/>
    </row>
    <row r="14" spans="1:10" ht="22.5" customHeight="1" x14ac:dyDescent="0.2">
      <c r="A14" s="236"/>
      <c r="B14" s="78"/>
      <c r="C14" s="78"/>
      <c r="D14" s="78"/>
      <c r="E14" s="482" t="s">
        <v>226</v>
      </c>
      <c r="F14" s="482"/>
      <c r="G14" s="482"/>
      <c r="H14" s="238"/>
      <c r="I14" s="238"/>
      <c r="J14" s="78"/>
    </row>
    <row r="15" spans="1:10" x14ac:dyDescent="0.2">
      <c r="A15" s="239" t="str">
        <f>IF(Accounts!A4="[Insert Company Name]","Track Record &amp; Projections",CONCATENATE("Track Record &amp; Projections: ",Accounts!A4))</f>
        <v>Track Record &amp; Projections: ACME Corp</v>
      </c>
      <c r="B15" s="240"/>
      <c r="C15" s="240"/>
      <c r="D15" s="241" t="s">
        <v>227</v>
      </c>
      <c r="E15" s="241"/>
      <c r="F15" s="241" t="e">
        <f>+#REF!</f>
        <v>#REF!</v>
      </c>
      <c r="G15" s="240"/>
      <c r="H15" s="240"/>
      <c r="I15" s="240"/>
      <c r="J15" s="242"/>
    </row>
    <row r="16" spans="1:10" ht="9" customHeight="1" x14ac:dyDescent="0.2">
      <c r="A16" s="90" t="s">
        <v>228</v>
      </c>
      <c r="B16" s="32" t="s">
        <v>23</v>
      </c>
      <c r="C16" s="32" t="s">
        <v>24</v>
      </c>
      <c r="D16" s="32" t="s">
        <v>25</v>
      </c>
      <c r="E16" s="32" t="s">
        <v>229</v>
      </c>
      <c r="F16" s="32" t="s">
        <v>27</v>
      </c>
      <c r="G16" s="32" t="s">
        <v>28</v>
      </c>
      <c r="H16" s="32" t="s">
        <v>29</v>
      </c>
      <c r="I16" s="32" t="s">
        <v>30</v>
      </c>
      <c r="J16" s="77"/>
    </row>
    <row r="17" spans="1:10" ht="9" customHeight="1" x14ac:dyDescent="0.2">
      <c r="A17" s="90" t="s">
        <v>31</v>
      </c>
      <c r="B17" s="243">
        <f>Accounts!B34</f>
        <v>43465</v>
      </c>
      <c r="C17" s="243">
        <f>Accounts!C34</f>
        <v>43830</v>
      </c>
      <c r="D17" s="243">
        <f>Accounts!D34</f>
        <v>44196</v>
      </c>
      <c r="E17" s="243">
        <f>Accounts!E34</f>
        <v>44561</v>
      </c>
      <c r="F17" s="243">
        <f>Accounts!F34</f>
        <v>44926</v>
      </c>
      <c r="G17" s="243">
        <f>Accounts!G34</f>
        <v>45291</v>
      </c>
      <c r="H17" s="243">
        <f>Accounts!H34</f>
        <v>45656</v>
      </c>
      <c r="I17" s="243">
        <f>Accounts!I34</f>
        <v>46022</v>
      </c>
      <c r="J17" s="77"/>
    </row>
    <row r="18" spans="1:10" ht="9" customHeight="1" x14ac:dyDescent="0.2">
      <c r="A18" s="90" t="s">
        <v>50</v>
      </c>
      <c r="B18" s="244" t="str">
        <f>Accounts!B35</f>
        <v>Audited</v>
      </c>
      <c r="C18" s="244" t="str">
        <f>Accounts!C35</f>
        <v>Audited</v>
      </c>
      <c r="D18" s="244" t="str">
        <f>Accounts!D35</f>
        <v>Actual</v>
      </c>
      <c r="E18" s="244" t="str">
        <f>Accounts!E35</f>
        <v>Projected</v>
      </c>
      <c r="F18" s="244" t="str">
        <f>Accounts!F35</f>
        <v>Projected</v>
      </c>
      <c r="G18" s="244" t="str">
        <f>Accounts!G35</f>
        <v>Projected</v>
      </c>
      <c r="H18" s="244" t="str">
        <f>Accounts!H35</f>
        <v>Projected</v>
      </c>
      <c r="I18" s="244" t="str">
        <f>Accounts!I35</f>
        <v>Projected</v>
      </c>
      <c r="J18" s="77"/>
    </row>
    <row r="19" spans="1:10" ht="6" customHeight="1" x14ac:dyDescent="0.2">
      <c r="A19" s="236"/>
      <c r="B19" s="245"/>
      <c r="C19" s="245"/>
      <c r="D19" s="245"/>
      <c r="E19" s="245"/>
      <c r="F19" s="245"/>
      <c r="G19" s="245"/>
      <c r="H19" s="245"/>
      <c r="I19" s="245"/>
      <c r="J19" s="77"/>
    </row>
    <row r="20" spans="1:10" ht="10.5" customHeight="1" x14ac:dyDescent="0.2">
      <c r="A20" s="246" t="s">
        <v>230</v>
      </c>
      <c r="B20" s="247"/>
      <c r="C20" s="247"/>
      <c r="D20" s="247"/>
      <c r="E20" s="247"/>
      <c r="F20" s="247"/>
      <c r="G20" s="248"/>
      <c r="H20" s="249"/>
      <c r="I20" s="249"/>
      <c r="J20" s="77"/>
    </row>
    <row r="21" spans="1:10" ht="10.5" customHeight="1" x14ac:dyDescent="0.2">
      <c r="A21" s="250" t="s">
        <v>231</v>
      </c>
      <c r="B21" s="84">
        <f t="shared" ref="B21:I21" si="0">B$133</f>
        <v>3117</v>
      </c>
      <c r="C21" s="84">
        <f t="shared" si="0"/>
        <v>3983</v>
      </c>
      <c r="D21" s="84">
        <f t="shared" si="0"/>
        <v>3218</v>
      </c>
      <c r="E21" s="84">
        <f t="shared" si="0"/>
        <v>2718</v>
      </c>
      <c r="F21" s="84">
        <f t="shared" si="0"/>
        <v>3540</v>
      </c>
      <c r="G21" s="251">
        <f t="shared" si="0"/>
        <v>3811</v>
      </c>
      <c r="H21" s="251">
        <f t="shared" si="0"/>
        <v>3811</v>
      </c>
      <c r="I21" s="251">
        <f t="shared" si="0"/>
        <v>3811</v>
      </c>
      <c r="J21" s="33"/>
    </row>
    <row r="22" spans="1:10" ht="10.5" customHeight="1" x14ac:dyDescent="0.2">
      <c r="A22" s="250" t="s">
        <v>232</v>
      </c>
      <c r="B22" s="84">
        <f>(B$21-(B$23+B$24))</f>
        <v>2783</v>
      </c>
      <c r="C22" s="84">
        <f t="shared" ref="C22:I22" si="1">(C21-(C23+C24))</f>
        <v>3344</v>
      </c>
      <c r="D22" s="84">
        <f t="shared" si="1"/>
        <v>2407</v>
      </c>
      <c r="E22" s="84">
        <f t="shared" si="1"/>
        <v>1636</v>
      </c>
      <c r="F22" s="84">
        <f t="shared" si="1"/>
        <v>2440</v>
      </c>
      <c r="G22" s="251">
        <f t="shared" si="1"/>
        <v>2609</v>
      </c>
      <c r="H22" s="251">
        <f t="shared" si="1"/>
        <v>2609</v>
      </c>
      <c r="I22" s="251">
        <f t="shared" si="1"/>
        <v>2609</v>
      </c>
      <c r="J22" s="33"/>
    </row>
    <row r="23" spans="1:10" ht="10.5" customHeight="1" x14ac:dyDescent="0.2">
      <c r="A23" s="250" t="s">
        <v>233</v>
      </c>
      <c r="B23" s="84">
        <f t="shared" ref="B23:I23" si="2">B$129</f>
        <v>334</v>
      </c>
      <c r="C23" s="84">
        <f t="shared" si="2"/>
        <v>639</v>
      </c>
      <c r="D23" s="84">
        <f t="shared" si="2"/>
        <v>811</v>
      </c>
      <c r="E23" s="84">
        <f t="shared" si="2"/>
        <v>1082</v>
      </c>
      <c r="F23" s="84">
        <f t="shared" si="2"/>
        <v>1100</v>
      </c>
      <c r="G23" s="251">
        <f t="shared" si="2"/>
        <v>1202</v>
      </c>
      <c r="H23" s="251">
        <f t="shared" si="2"/>
        <v>1202</v>
      </c>
      <c r="I23" s="251">
        <f t="shared" si="2"/>
        <v>1202</v>
      </c>
      <c r="J23" s="33"/>
    </row>
    <row r="24" spans="1:10" ht="10.5" customHeight="1" x14ac:dyDescent="0.2">
      <c r="A24" s="250" t="s">
        <v>234</v>
      </c>
      <c r="B24" s="84">
        <f t="shared" ref="B24:I24" si="3">B$130</f>
        <v>0</v>
      </c>
      <c r="C24" s="84">
        <f t="shared" si="3"/>
        <v>0</v>
      </c>
      <c r="D24" s="84">
        <f t="shared" si="3"/>
        <v>0</v>
      </c>
      <c r="E24" s="84">
        <f t="shared" si="3"/>
        <v>0</v>
      </c>
      <c r="F24" s="84">
        <f t="shared" si="3"/>
        <v>0</v>
      </c>
      <c r="G24" s="251">
        <f t="shared" si="3"/>
        <v>0</v>
      </c>
      <c r="H24" s="251">
        <f t="shared" si="3"/>
        <v>0</v>
      </c>
      <c r="I24" s="251">
        <f t="shared" si="3"/>
        <v>0</v>
      </c>
      <c r="J24" s="33"/>
    </row>
    <row r="25" spans="1:10" ht="10.5" customHeight="1" x14ac:dyDescent="0.2">
      <c r="A25" s="250" t="s">
        <v>235</v>
      </c>
      <c r="B25" s="252">
        <f t="shared" ref="B25:I25" si="4">IF(B$21&gt;0,B$23/B$21,"n/a")</f>
        <v>0.10715431504651909</v>
      </c>
      <c r="C25" s="252">
        <f t="shared" si="4"/>
        <v>0.16043183530002511</v>
      </c>
      <c r="D25" s="252">
        <f t="shared" si="4"/>
        <v>0.25201988812927284</v>
      </c>
      <c r="E25" s="252">
        <f t="shared" si="4"/>
        <v>0.39808682855040473</v>
      </c>
      <c r="F25" s="252">
        <f t="shared" si="4"/>
        <v>0.31073446327683618</v>
      </c>
      <c r="G25" s="253">
        <f t="shared" si="4"/>
        <v>0.31540278142219891</v>
      </c>
      <c r="H25" s="253">
        <f t="shared" si="4"/>
        <v>0.31540278142219891</v>
      </c>
      <c r="I25" s="253">
        <f t="shared" si="4"/>
        <v>0.31540278142219891</v>
      </c>
      <c r="J25" s="33"/>
    </row>
    <row r="26" spans="1:10" ht="10.5" customHeight="1" x14ac:dyDescent="0.2">
      <c r="A26" s="254" t="s">
        <v>236</v>
      </c>
      <c r="B26" s="255">
        <f t="shared" ref="B26:I26" si="5">IF(B$21&gt;0,B$24/B$21,"n/a")</f>
        <v>0</v>
      </c>
      <c r="C26" s="255">
        <f t="shared" si="5"/>
        <v>0</v>
      </c>
      <c r="D26" s="255">
        <f t="shared" si="5"/>
        <v>0</v>
      </c>
      <c r="E26" s="255">
        <f t="shared" si="5"/>
        <v>0</v>
      </c>
      <c r="F26" s="255">
        <f t="shared" si="5"/>
        <v>0</v>
      </c>
      <c r="G26" s="256">
        <f t="shared" si="5"/>
        <v>0</v>
      </c>
      <c r="H26" s="256">
        <f t="shared" si="5"/>
        <v>0</v>
      </c>
      <c r="I26" s="256">
        <f t="shared" si="5"/>
        <v>0</v>
      </c>
      <c r="J26" s="33"/>
    </row>
    <row r="27" spans="1:10" ht="10.5" customHeight="1" x14ac:dyDescent="0.2">
      <c r="A27" s="246" t="s">
        <v>237</v>
      </c>
      <c r="B27" s="257"/>
      <c r="C27" s="257"/>
      <c r="D27" s="257"/>
      <c r="E27" s="257"/>
      <c r="F27" s="257"/>
      <c r="G27" s="258"/>
      <c r="H27" s="258"/>
      <c r="I27" s="258"/>
      <c r="J27" s="33"/>
    </row>
    <row r="28" spans="1:10" ht="10.5" customHeight="1" x14ac:dyDescent="0.2">
      <c r="A28" s="250" t="s">
        <v>238</v>
      </c>
      <c r="B28" s="84">
        <f t="shared" ref="B28:I28" si="6">B$140</f>
        <v>1031.0999999999999</v>
      </c>
      <c r="C28" s="84">
        <f t="shared" si="6"/>
        <v>1817</v>
      </c>
      <c r="D28" s="84">
        <f t="shared" si="6"/>
        <v>1029.3000000000002</v>
      </c>
      <c r="E28" s="84">
        <f t="shared" si="6"/>
        <v>663.55000000000018</v>
      </c>
      <c r="F28" s="84">
        <f t="shared" si="6"/>
        <v>1098</v>
      </c>
      <c r="G28" s="251">
        <f t="shared" si="6"/>
        <v>1209</v>
      </c>
      <c r="H28" s="251">
        <f t="shared" si="6"/>
        <v>1209</v>
      </c>
      <c r="I28" s="251">
        <f t="shared" si="6"/>
        <v>1209</v>
      </c>
      <c r="J28" s="33"/>
    </row>
    <row r="29" spans="1:10" ht="10.5" customHeight="1" x14ac:dyDescent="0.2">
      <c r="A29" s="250" t="s">
        <v>239</v>
      </c>
      <c r="B29" s="259">
        <f t="shared" ref="B29:I29" si="7">B$148</f>
        <v>0</v>
      </c>
      <c r="C29" s="259">
        <f t="shared" si="7"/>
        <v>0</v>
      </c>
      <c r="D29" s="259">
        <f t="shared" si="7"/>
        <v>0</v>
      </c>
      <c r="E29" s="259">
        <f t="shared" si="7"/>
        <v>0</v>
      </c>
      <c r="F29" s="259">
        <f t="shared" si="7"/>
        <v>0</v>
      </c>
      <c r="G29" s="260">
        <f t="shared" si="7"/>
        <v>0</v>
      </c>
      <c r="H29" s="260">
        <f t="shared" si="7"/>
        <v>0</v>
      </c>
      <c r="I29" s="260">
        <f t="shared" si="7"/>
        <v>0</v>
      </c>
      <c r="J29" s="33"/>
    </row>
    <row r="30" spans="1:10" ht="10.5" customHeight="1" x14ac:dyDescent="0.2">
      <c r="A30" s="250" t="s">
        <v>240</v>
      </c>
      <c r="B30" s="84">
        <f t="shared" ref="B30:I30" si="8">B$160</f>
        <v>122.09999999999991</v>
      </c>
      <c r="C30" s="84">
        <f t="shared" si="8"/>
        <v>730.1</v>
      </c>
      <c r="D30" s="84">
        <f t="shared" si="8"/>
        <v>207.80000000000018</v>
      </c>
      <c r="E30" s="84">
        <f t="shared" si="8"/>
        <v>-296.14999999999981</v>
      </c>
      <c r="F30" s="84">
        <f t="shared" si="8"/>
        <v>42</v>
      </c>
      <c r="G30" s="251">
        <f t="shared" si="8"/>
        <v>113.79999999999998</v>
      </c>
      <c r="H30" s="251">
        <f t="shared" si="8"/>
        <v>113.79999999999998</v>
      </c>
      <c r="I30" s="251">
        <f t="shared" si="8"/>
        <v>113.79999999999998</v>
      </c>
      <c r="J30" s="33"/>
    </row>
    <row r="31" spans="1:10" ht="10.5" customHeight="1" x14ac:dyDescent="0.2">
      <c r="A31" s="261" t="s">
        <v>241</v>
      </c>
      <c r="B31" s="262">
        <f t="shared" ref="B31:I31" si="9">IF(B$133&gt;0,B$140/B$133, "n/a")</f>
        <v>0.33079884504331086</v>
      </c>
      <c r="C31" s="262">
        <f t="shared" si="9"/>
        <v>0.45618880241024351</v>
      </c>
      <c r="D31" s="262">
        <f t="shared" si="9"/>
        <v>0.31985705407085152</v>
      </c>
      <c r="E31" s="262">
        <f t="shared" si="9"/>
        <v>0.24413171449595297</v>
      </c>
      <c r="F31" s="262">
        <f t="shared" si="9"/>
        <v>0.31016949152542372</v>
      </c>
      <c r="G31" s="263">
        <f t="shared" si="9"/>
        <v>0.31723956966675415</v>
      </c>
      <c r="H31" s="263">
        <f t="shared" si="9"/>
        <v>0.31723956966675415</v>
      </c>
      <c r="I31" s="263">
        <f t="shared" si="9"/>
        <v>0.31723956966675415</v>
      </c>
      <c r="J31" s="33"/>
    </row>
    <row r="32" spans="1:10" ht="10.5" customHeight="1" x14ac:dyDescent="0.2">
      <c r="A32" s="261" t="s">
        <v>242</v>
      </c>
      <c r="B32" s="262">
        <f t="shared" ref="B32:I32" si="10">IF(B$133&gt;0,B$146/B$133,"n/a")</f>
        <v>0</v>
      </c>
      <c r="C32" s="262">
        <f t="shared" si="10"/>
        <v>0</v>
      </c>
      <c r="D32" s="262">
        <f t="shared" si="10"/>
        <v>0</v>
      </c>
      <c r="E32" s="262">
        <f t="shared" si="10"/>
        <v>0</v>
      </c>
      <c r="F32" s="262">
        <f t="shared" si="10"/>
        <v>0</v>
      </c>
      <c r="G32" s="263">
        <f t="shared" si="10"/>
        <v>0</v>
      </c>
      <c r="H32" s="263">
        <f t="shared" si="10"/>
        <v>0</v>
      </c>
      <c r="I32" s="263">
        <f t="shared" si="10"/>
        <v>0</v>
      </c>
      <c r="J32" s="264"/>
    </row>
    <row r="33" spans="1:16" ht="10.5" customHeight="1" x14ac:dyDescent="0.2">
      <c r="A33" s="261" t="s">
        <v>243</v>
      </c>
      <c r="B33" s="262">
        <f t="shared" ref="B33:I33" si="11">IF(B$133&gt;0,B$148/B$133, "n/a")</f>
        <v>0</v>
      </c>
      <c r="C33" s="262">
        <f t="shared" si="11"/>
        <v>0</v>
      </c>
      <c r="D33" s="262">
        <f t="shared" si="11"/>
        <v>0</v>
      </c>
      <c r="E33" s="262">
        <f t="shared" si="11"/>
        <v>0</v>
      </c>
      <c r="F33" s="262">
        <f t="shared" si="11"/>
        <v>0</v>
      </c>
      <c r="G33" s="263">
        <f t="shared" si="11"/>
        <v>0</v>
      </c>
      <c r="H33" s="263">
        <f t="shared" si="11"/>
        <v>0</v>
      </c>
      <c r="I33" s="263">
        <f t="shared" si="11"/>
        <v>0</v>
      </c>
      <c r="J33" s="33"/>
    </row>
    <row r="34" spans="1:16" ht="10.5" customHeight="1" x14ac:dyDescent="0.2">
      <c r="A34" s="250" t="s">
        <v>244</v>
      </c>
      <c r="B34" s="265">
        <f t="shared" ref="B34:I34" si="12">IF(B$21&gt;0,B$30/B$21,"n/a")</f>
        <v>3.9172281039460993E-2</v>
      </c>
      <c r="C34" s="265">
        <f t="shared" si="12"/>
        <v>0.18330404217926186</v>
      </c>
      <c r="D34" s="265">
        <f t="shared" si="12"/>
        <v>6.457426973275332E-2</v>
      </c>
      <c r="E34" s="265">
        <f t="shared" si="12"/>
        <v>-0.10895879323031633</v>
      </c>
      <c r="F34" s="265">
        <f t="shared" si="12"/>
        <v>1.1864406779661017E-2</v>
      </c>
      <c r="G34" s="266">
        <f t="shared" si="12"/>
        <v>2.9860928890055097E-2</v>
      </c>
      <c r="H34" s="266">
        <f t="shared" si="12"/>
        <v>2.9860928890055097E-2</v>
      </c>
      <c r="I34" s="266">
        <f t="shared" si="12"/>
        <v>2.9860928890055097E-2</v>
      </c>
      <c r="J34" s="33"/>
    </row>
    <row r="35" spans="1:16" ht="10.5" customHeight="1" x14ac:dyDescent="0.2">
      <c r="A35" s="254" t="s">
        <v>245</v>
      </c>
      <c r="B35" s="255">
        <f t="shared" ref="B35:I35" si="13">IF(OR(B$174=0,B$211=0),"n/a",((B$160)/B$211))</f>
        <v>8.828633405639906E-2</v>
      </c>
      <c r="C35" s="255">
        <f t="shared" si="13"/>
        <v>0.5279103398409255</v>
      </c>
      <c r="D35" s="255">
        <f t="shared" si="13"/>
        <v>0.15025307302964583</v>
      </c>
      <c r="E35" s="267">
        <f t="shared" si="13"/>
        <v>-0.21413593637020956</v>
      </c>
      <c r="F35" s="267">
        <f t="shared" si="13"/>
        <v>3.0368763557483729E-2</v>
      </c>
      <c r="G35" s="268">
        <f t="shared" si="13"/>
        <v>8.2284887924801139E-2</v>
      </c>
      <c r="H35" s="268">
        <f t="shared" si="13"/>
        <v>8.2284887924801139E-2</v>
      </c>
      <c r="I35" s="268">
        <f t="shared" si="13"/>
        <v>8.2284887924801139E-2</v>
      </c>
      <c r="J35" s="33"/>
      <c r="K35" s="269"/>
    </row>
    <row r="36" spans="1:16" ht="10.5" customHeight="1" x14ac:dyDescent="0.2">
      <c r="A36" s="246" t="s">
        <v>246</v>
      </c>
      <c r="B36" s="270"/>
      <c r="C36" s="270"/>
      <c r="D36" s="270"/>
      <c r="E36" s="270"/>
      <c r="F36" s="270"/>
      <c r="G36" s="271"/>
      <c r="H36" s="271"/>
      <c r="I36" s="271"/>
      <c r="J36" s="33"/>
    </row>
    <row r="37" spans="1:16" ht="10.5" customHeight="1" x14ac:dyDescent="0.2">
      <c r="A37" s="250" t="s">
        <v>247</v>
      </c>
      <c r="B37" s="269"/>
      <c r="C37" s="265">
        <f t="shared" ref="C37:I37" si="14">IF(B$21&gt;0,C$21/B$21-1,"n/a")</f>
        <v>0.2778312479948668</v>
      </c>
      <c r="D37" s="265">
        <f t="shared" si="14"/>
        <v>-0.19206628169721318</v>
      </c>
      <c r="E37" s="265">
        <f t="shared" si="14"/>
        <v>-0.15537600994406464</v>
      </c>
      <c r="F37" s="265">
        <f t="shared" si="14"/>
        <v>0.30242825607064017</v>
      </c>
      <c r="G37" s="266">
        <f t="shared" si="14"/>
        <v>7.6553672316384214E-2</v>
      </c>
      <c r="H37" s="266">
        <f t="shared" si="14"/>
        <v>0</v>
      </c>
      <c r="I37" s="266">
        <f t="shared" si="14"/>
        <v>0</v>
      </c>
      <c r="J37" s="33"/>
    </row>
    <row r="38" spans="1:16" ht="10.5" customHeight="1" x14ac:dyDescent="0.2">
      <c r="A38" s="250" t="s">
        <v>248</v>
      </c>
      <c r="B38" s="269"/>
      <c r="C38" s="265">
        <f t="shared" ref="C38:I38" si="15">IF(B$23&gt;0,C$23/B$23-1,"n/a")</f>
        <v>0.91317365269461082</v>
      </c>
      <c r="D38" s="265">
        <f t="shared" si="15"/>
        <v>0.26917057902973407</v>
      </c>
      <c r="E38" s="265">
        <f t="shared" si="15"/>
        <v>0.33415536374845867</v>
      </c>
      <c r="F38" s="265">
        <f t="shared" si="15"/>
        <v>1.6635859519408491E-2</v>
      </c>
      <c r="G38" s="266">
        <f t="shared" si="15"/>
        <v>9.2727272727272769E-2</v>
      </c>
      <c r="H38" s="266">
        <f t="shared" si="15"/>
        <v>0</v>
      </c>
      <c r="I38" s="266">
        <f t="shared" si="15"/>
        <v>0</v>
      </c>
      <c r="J38" s="33"/>
    </row>
    <row r="39" spans="1:16" ht="10.5" customHeight="1" x14ac:dyDescent="0.2">
      <c r="A39" s="246" t="s">
        <v>249</v>
      </c>
      <c r="B39" s="270"/>
      <c r="C39" s="270"/>
      <c r="D39" s="270"/>
      <c r="E39" s="270"/>
      <c r="F39" s="270"/>
      <c r="G39" s="271"/>
      <c r="H39" s="271"/>
      <c r="I39" s="271"/>
      <c r="J39" s="33"/>
    </row>
    <row r="40" spans="1:16" ht="10.5" customHeight="1" x14ac:dyDescent="0.2">
      <c r="A40" s="250" t="s">
        <v>250</v>
      </c>
      <c r="B40" s="272">
        <f t="shared" ref="B40:I40" si="16">IF(SUM(B$174,B$182)-B$190=0,"n/a",B$133/(SUM(B$174,B$182)-B$190))</f>
        <v>2.2537960954446854</v>
      </c>
      <c r="C40" s="272">
        <f t="shared" si="16"/>
        <v>1.8867835149218379</v>
      </c>
      <c r="D40" s="272">
        <f t="shared" si="16"/>
        <v>1.3380179206253506</v>
      </c>
      <c r="E40" s="273">
        <f t="shared" si="16"/>
        <v>1.6105712254088647</v>
      </c>
      <c r="F40" s="273">
        <f t="shared" si="16"/>
        <v>2.055510393682499</v>
      </c>
      <c r="G40" s="274">
        <f t="shared" si="16"/>
        <v>2.2120965869514739</v>
      </c>
      <c r="H40" s="274">
        <f t="shared" si="16"/>
        <v>2.3106772570181286</v>
      </c>
      <c r="I40" s="274">
        <f t="shared" si="16"/>
        <v>2.4184541185429622</v>
      </c>
      <c r="J40" s="33"/>
    </row>
    <row r="41" spans="1:16" ht="10.5" customHeight="1" x14ac:dyDescent="0.2">
      <c r="A41" s="250" t="s">
        <v>251</v>
      </c>
      <c r="B41" s="275">
        <f t="shared" ref="B41:I41" si="17">IF(B$192=0,"n/a",B$133/B$192)</f>
        <v>5.566071428571429</v>
      </c>
      <c r="C41" s="275">
        <f t="shared" si="17"/>
        <v>5.6257062146892656</v>
      </c>
      <c r="D41" s="275">
        <f t="shared" si="17"/>
        <v>3.1424246862946146</v>
      </c>
      <c r="E41" s="276">
        <f t="shared" si="17"/>
        <v>6.7983991995998005</v>
      </c>
      <c r="F41" s="276">
        <f t="shared" si="17"/>
        <v>6.8551510457010076</v>
      </c>
      <c r="G41" s="277">
        <f t="shared" si="17"/>
        <v>6.4538526672311605</v>
      </c>
      <c r="H41" s="277">
        <f t="shared" si="17"/>
        <v>6.4538526672311605</v>
      </c>
      <c r="I41" s="277">
        <f t="shared" si="17"/>
        <v>6.4538526672311605</v>
      </c>
      <c r="J41" s="33"/>
    </row>
    <row r="42" spans="1:16" ht="10.5" customHeight="1" x14ac:dyDescent="0.2">
      <c r="A42" s="250" t="s">
        <v>252</v>
      </c>
      <c r="B42" s="272">
        <f t="shared" ref="B42:I42" si="18">IF(B$172=0,"n/a",B$133/B$172)</f>
        <v>3.7873633049817741</v>
      </c>
      <c r="C42" s="272">
        <f t="shared" si="18"/>
        <v>2.8389166072701353</v>
      </c>
      <c r="D42" s="272">
        <f t="shared" si="18"/>
        <v>2.3301955104996379</v>
      </c>
      <c r="E42" s="273">
        <f t="shared" si="18"/>
        <v>2.1105761764249107</v>
      </c>
      <c r="F42" s="273">
        <f t="shared" si="18"/>
        <v>2.9358102504561288</v>
      </c>
      <c r="G42" s="274">
        <f t="shared" si="18"/>
        <v>3.3657157996997262</v>
      </c>
      <c r="H42" s="274">
        <f t="shared" si="18"/>
        <v>3.5993577635058558</v>
      </c>
      <c r="I42" s="274">
        <f t="shared" si="18"/>
        <v>3.8678575053283266</v>
      </c>
      <c r="J42" s="33"/>
    </row>
    <row r="43" spans="1:16" x14ac:dyDescent="0.2">
      <c r="A43" s="278" t="s">
        <v>253</v>
      </c>
      <c r="B43" s="279">
        <f t="shared" ref="B43:I43" si="19">IF(AND(B$21&gt;0,B$71&gt;0),B$21/B$71,"n/a")</f>
        <v>194.8125</v>
      </c>
      <c r="C43" s="279">
        <f t="shared" si="19"/>
        <v>221.27777777777777</v>
      </c>
      <c r="D43" s="279">
        <f t="shared" si="19"/>
        <v>178.77777777777777</v>
      </c>
      <c r="E43" s="279">
        <f t="shared" si="19"/>
        <v>123.54545454545455</v>
      </c>
      <c r="F43" s="279">
        <f t="shared" si="19"/>
        <v>126.42857142857143</v>
      </c>
      <c r="G43" s="280">
        <f t="shared" si="19"/>
        <v>76.22</v>
      </c>
      <c r="H43" s="280">
        <f t="shared" si="19"/>
        <v>76.22</v>
      </c>
      <c r="I43" s="280">
        <f t="shared" si="19"/>
        <v>76.22</v>
      </c>
      <c r="J43" s="33"/>
    </row>
    <row r="44" spans="1:16" ht="10.5" customHeight="1" x14ac:dyDescent="0.2">
      <c r="A44" s="246" t="s">
        <v>254</v>
      </c>
      <c r="B44" s="270"/>
      <c r="C44" s="270"/>
      <c r="D44" s="270"/>
      <c r="E44" s="270"/>
      <c r="F44" s="270"/>
      <c r="G44" s="271"/>
      <c r="H44" s="271"/>
      <c r="I44" s="271"/>
      <c r="J44" s="33"/>
    </row>
    <row r="45" spans="1:16" ht="10.5" customHeight="1" x14ac:dyDescent="0.2">
      <c r="A45" s="250" t="s">
        <v>255</v>
      </c>
      <c r="B45" s="84">
        <f>Accounts!B55+Accounts!B19</f>
        <v>0</v>
      </c>
      <c r="C45" s="84">
        <f>Accounts!C55+Accounts!C19</f>
        <v>0</v>
      </c>
      <c r="D45" s="84">
        <f>Accounts!D55+Accounts!D19</f>
        <v>0</v>
      </c>
      <c r="E45" s="281">
        <f>Accounts!E55+Accounts!E19</f>
        <v>0</v>
      </c>
      <c r="F45" s="281">
        <f>Accounts!F55+Accounts!F19</f>
        <v>0</v>
      </c>
      <c r="G45" s="282">
        <f>Accounts!G55+Accounts!G19</f>
        <v>0</v>
      </c>
      <c r="H45" s="282">
        <f>Accounts!H55+Accounts!H19</f>
        <v>0</v>
      </c>
      <c r="I45" s="282">
        <f>Accounts!I55+Accounts!I19</f>
        <v>0</v>
      </c>
      <c r="J45" s="33"/>
    </row>
    <row r="46" spans="1:16" ht="10.5" customHeight="1" x14ac:dyDescent="0.2">
      <c r="A46" s="250" t="s">
        <v>256</v>
      </c>
      <c r="B46" s="252" t="str">
        <f t="shared" ref="B46:I46" si="20">IF(AND(B$21&gt;0,B$45&gt;0),IF(B$45/B$21&lt;0.1,TEXT(B$45/B$21,"0.00%"),TEXT(B$45/B$21,"0.0%")),"n/a")</f>
        <v>n/a</v>
      </c>
      <c r="C46" s="252" t="str">
        <f t="shared" si="20"/>
        <v>n/a</v>
      </c>
      <c r="D46" s="252" t="str">
        <f t="shared" si="20"/>
        <v>n/a</v>
      </c>
      <c r="E46" s="283" t="str">
        <f t="shared" si="20"/>
        <v>n/a</v>
      </c>
      <c r="F46" s="283" t="str">
        <f t="shared" si="20"/>
        <v>n/a</v>
      </c>
      <c r="G46" s="284" t="str">
        <f t="shared" si="20"/>
        <v>n/a</v>
      </c>
      <c r="H46" s="284" t="str">
        <f t="shared" si="20"/>
        <v>n/a</v>
      </c>
      <c r="I46" s="284" t="str">
        <f t="shared" si="20"/>
        <v>n/a</v>
      </c>
      <c r="J46" s="285"/>
      <c r="K46" s="286"/>
      <c r="L46" s="286"/>
      <c r="M46" s="286"/>
      <c r="N46" s="286"/>
      <c r="O46" s="286"/>
      <c r="P46" s="286"/>
    </row>
    <row r="47" spans="1:16" ht="10.5" customHeight="1" x14ac:dyDescent="0.2">
      <c r="A47" s="254" t="s">
        <v>257</v>
      </c>
      <c r="B47" s="287" t="str">
        <f t="shared" ref="B47:I47" si="21">IF(B$146=0, "n/a",(B$144/B$146))</f>
        <v>n/a</v>
      </c>
      <c r="C47" s="287" t="str">
        <f t="shared" si="21"/>
        <v>n/a</v>
      </c>
      <c r="D47" s="287" t="str">
        <f t="shared" si="21"/>
        <v>n/a</v>
      </c>
      <c r="E47" s="288" t="str">
        <f t="shared" si="21"/>
        <v>n/a</v>
      </c>
      <c r="F47" s="288" t="str">
        <f t="shared" si="21"/>
        <v>n/a</v>
      </c>
      <c r="G47" s="289" t="str">
        <f t="shared" si="21"/>
        <v>n/a</v>
      </c>
      <c r="H47" s="289" t="str">
        <f t="shared" si="21"/>
        <v>n/a</v>
      </c>
      <c r="I47" s="289" t="str">
        <f t="shared" si="21"/>
        <v>n/a</v>
      </c>
      <c r="J47" s="285"/>
    </row>
    <row r="48" spans="1:16" ht="10.5" customHeight="1" x14ac:dyDescent="0.2">
      <c r="A48" s="246" t="s">
        <v>258</v>
      </c>
      <c r="B48" s="270"/>
      <c r="C48" s="270"/>
      <c r="D48" s="270"/>
      <c r="E48" s="270"/>
      <c r="F48" s="270"/>
      <c r="G48" s="271"/>
      <c r="H48" s="271"/>
      <c r="I48" s="271"/>
      <c r="J48" s="33"/>
    </row>
    <row r="49" spans="1:17" ht="10.5" customHeight="1" x14ac:dyDescent="0.2">
      <c r="A49" s="250" t="s">
        <v>259</v>
      </c>
      <c r="B49" s="290">
        <f t="shared" ref="B49:I49" si="22">IF(SUM(B$174,B$182)&gt;0,B$21/(SUM(B$174,B$182)-B$190),"n/a")</f>
        <v>2.2537960954446854</v>
      </c>
      <c r="C49" s="290">
        <f t="shared" si="22"/>
        <v>1.8867835149218379</v>
      </c>
      <c r="D49" s="290">
        <f t="shared" si="22"/>
        <v>1.3380179206253506</v>
      </c>
      <c r="E49" s="291">
        <f t="shared" si="22"/>
        <v>1.6105712254088647</v>
      </c>
      <c r="F49" s="291">
        <f t="shared" si="22"/>
        <v>2.055510393682499</v>
      </c>
      <c r="G49" s="292">
        <f t="shared" si="22"/>
        <v>2.2120965869514739</v>
      </c>
      <c r="H49" s="292">
        <f t="shared" si="22"/>
        <v>2.3106772570181286</v>
      </c>
      <c r="I49" s="292">
        <f t="shared" si="22"/>
        <v>2.4184541185429622</v>
      </c>
      <c r="J49" s="33"/>
      <c r="L49" s="293"/>
      <c r="M49" s="293"/>
      <c r="N49" s="293"/>
      <c r="O49" s="293"/>
      <c r="P49" s="293"/>
    </row>
    <row r="50" spans="1:17" ht="10.5" customHeight="1" x14ac:dyDescent="0.2">
      <c r="A50" s="250" t="s">
        <v>260</v>
      </c>
      <c r="B50" s="275">
        <f t="shared" ref="B50:I50" si="23">IF(B$21=0,"n/a",B$21/(B$192))</f>
        <v>5.566071428571429</v>
      </c>
      <c r="C50" s="275">
        <f t="shared" si="23"/>
        <v>5.6257062146892656</v>
      </c>
      <c r="D50" s="275">
        <f t="shared" si="23"/>
        <v>3.1424246862946146</v>
      </c>
      <c r="E50" s="276">
        <f t="shared" si="23"/>
        <v>6.7983991995998005</v>
      </c>
      <c r="F50" s="276">
        <f t="shared" si="23"/>
        <v>6.8551510457010076</v>
      </c>
      <c r="G50" s="277">
        <f t="shared" si="23"/>
        <v>6.4538526672311605</v>
      </c>
      <c r="H50" s="277">
        <f t="shared" si="23"/>
        <v>6.4538526672311605</v>
      </c>
      <c r="I50" s="277">
        <f t="shared" si="23"/>
        <v>6.4538526672311605</v>
      </c>
      <c r="J50" s="294"/>
      <c r="K50" s="293"/>
      <c r="L50" s="293"/>
      <c r="M50" s="293"/>
      <c r="N50" s="293"/>
      <c r="O50" s="293"/>
      <c r="P50" s="293"/>
    </row>
    <row r="51" spans="1:17" ht="10.5" customHeight="1" x14ac:dyDescent="0.2">
      <c r="A51" s="254" t="s">
        <v>261</v>
      </c>
      <c r="B51" s="295">
        <f t="shared" ref="B51:I51" si="24">IF(SUM(B$185:B$189)&gt;0,SUM(B$177:B$181)/SUM(B$185:B$189),"n/a")</f>
        <v>1.9459459459459461</v>
      </c>
      <c r="C51" s="295">
        <f t="shared" si="24"/>
        <v>2.0216450216450217</v>
      </c>
      <c r="D51" s="295">
        <f t="shared" si="24"/>
        <v>3.8331719463272931</v>
      </c>
      <c r="E51" s="296">
        <f t="shared" si="24"/>
        <v>2.1485205400746912</v>
      </c>
      <c r="F51" s="296">
        <f t="shared" si="24"/>
        <v>2.3657762496693997</v>
      </c>
      <c r="G51" s="297">
        <f t="shared" si="24"/>
        <v>2.706154290667437</v>
      </c>
      <c r="H51" s="297">
        <f t="shared" si="24"/>
        <v>2.706154290667437</v>
      </c>
      <c r="I51" s="297">
        <f t="shared" si="24"/>
        <v>2.706154290667437</v>
      </c>
      <c r="J51" s="294"/>
      <c r="K51" s="293"/>
      <c r="L51" s="293"/>
      <c r="M51" s="293"/>
      <c r="N51" s="293"/>
      <c r="O51" s="293"/>
      <c r="P51" s="293"/>
    </row>
    <row r="52" spans="1:17" ht="10.5" customHeight="1" x14ac:dyDescent="0.2">
      <c r="A52" s="246" t="s">
        <v>262</v>
      </c>
      <c r="B52" s="298"/>
      <c r="C52" s="298"/>
      <c r="D52" s="298"/>
      <c r="E52" s="298"/>
      <c r="F52" s="298"/>
      <c r="G52" s="299"/>
      <c r="H52" s="299"/>
      <c r="I52" s="299"/>
      <c r="J52" s="294"/>
    </row>
    <row r="53" spans="1:17" ht="10.5" customHeight="1" x14ac:dyDescent="0.2">
      <c r="A53" s="250" t="s">
        <v>263</v>
      </c>
      <c r="B53" s="279">
        <f t="shared" ref="B53:I53" si="25">B$182-B$190</f>
        <v>560</v>
      </c>
      <c r="C53" s="279">
        <f t="shared" si="25"/>
        <v>708</v>
      </c>
      <c r="D53" s="279">
        <f t="shared" si="25"/>
        <v>1024.05</v>
      </c>
      <c r="E53" s="300">
        <f t="shared" si="25"/>
        <v>399.79999999999995</v>
      </c>
      <c r="F53" s="300">
        <f t="shared" si="25"/>
        <v>516.4</v>
      </c>
      <c r="G53" s="301">
        <f t="shared" si="25"/>
        <v>590.5</v>
      </c>
      <c r="H53" s="301">
        <f t="shared" si="25"/>
        <v>590.5</v>
      </c>
      <c r="I53" s="301">
        <f t="shared" si="25"/>
        <v>590.5</v>
      </c>
      <c r="J53" s="33"/>
    </row>
    <row r="54" spans="1:17" ht="10.5" customHeight="1" x14ac:dyDescent="0.2">
      <c r="A54" s="250" t="s">
        <v>264</v>
      </c>
      <c r="B54" s="302">
        <f t="shared" ref="B54:I54" si="26">((SUM(B$177,B$178,B$181))-(SUM(B$188,B$189)))</f>
        <v>268</v>
      </c>
      <c r="C54" s="302">
        <f t="shared" si="26"/>
        <v>447</v>
      </c>
      <c r="D54" s="302">
        <f t="shared" si="26"/>
        <v>536.5</v>
      </c>
      <c r="E54" s="303">
        <f t="shared" si="26"/>
        <v>453.29999999999995</v>
      </c>
      <c r="F54" s="303">
        <f t="shared" si="26"/>
        <v>558.4</v>
      </c>
      <c r="G54" s="304">
        <f t="shared" si="26"/>
        <v>612.5</v>
      </c>
      <c r="H54" s="304">
        <f t="shared" si="26"/>
        <v>612.5</v>
      </c>
      <c r="I54" s="304">
        <f t="shared" si="26"/>
        <v>612.5</v>
      </c>
      <c r="J54" s="33"/>
    </row>
    <row r="55" spans="1:17" ht="10.5" customHeight="1" x14ac:dyDescent="0.2">
      <c r="A55" s="250" t="s">
        <v>265</v>
      </c>
      <c r="B55" s="302">
        <f t="shared" ref="B55:I55" si="27">(SUM(B$179,B$180)-SUM(B$185,B$186,B$187))</f>
        <v>292</v>
      </c>
      <c r="C55" s="302">
        <f t="shared" si="27"/>
        <v>261</v>
      </c>
      <c r="D55" s="302">
        <f t="shared" si="27"/>
        <v>487.55</v>
      </c>
      <c r="E55" s="303">
        <f t="shared" si="27"/>
        <v>-53.5</v>
      </c>
      <c r="F55" s="303">
        <f t="shared" si="27"/>
        <v>-42</v>
      </c>
      <c r="G55" s="304">
        <f t="shared" si="27"/>
        <v>-22</v>
      </c>
      <c r="H55" s="304">
        <f t="shared" si="27"/>
        <v>-22</v>
      </c>
      <c r="I55" s="304">
        <f t="shared" si="27"/>
        <v>-22</v>
      </c>
      <c r="J55" s="33"/>
    </row>
    <row r="56" spans="1:17" ht="10.5" customHeight="1" x14ac:dyDescent="0.2">
      <c r="A56" s="250" t="s">
        <v>266</v>
      </c>
      <c r="B56" s="279">
        <f t="shared" ref="B56:I56" si="28">IF(B$53&lt;1,"n/a",+B$21/B$53)</f>
        <v>5.566071428571429</v>
      </c>
      <c r="C56" s="279">
        <f t="shared" si="28"/>
        <v>5.6257062146892656</v>
      </c>
      <c r="D56" s="279">
        <f t="shared" si="28"/>
        <v>3.1424246862946146</v>
      </c>
      <c r="E56" s="300">
        <f t="shared" si="28"/>
        <v>6.7983991995998005</v>
      </c>
      <c r="F56" s="300">
        <f t="shared" si="28"/>
        <v>6.8551510457010076</v>
      </c>
      <c r="G56" s="301">
        <f t="shared" si="28"/>
        <v>6.4538526672311605</v>
      </c>
      <c r="H56" s="301">
        <f t="shared" si="28"/>
        <v>6.4538526672311605</v>
      </c>
      <c r="I56" s="301">
        <f t="shared" si="28"/>
        <v>6.4538526672311605</v>
      </c>
      <c r="J56" s="33"/>
      <c r="L56" s="305" t="s">
        <v>267</v>
      </c>
      <c r="M56" s="306">
        <v>90</v>
      </c>
      <c r="N56" s="307"/>
      <c r="O56" s="307" t="s">
        <v>268</v>
      </c>
      <c r="P56" s="307"/>
      <c r="Q56" s="307"/>
    </row>
    <row r="57" spans="1:17" ht="10.5" customHeight="1" x14ac:dyDescent="0.2">
      <c r="A57" s="250" t="s">
        <v>269</v>
      </c>
      <c r="B57" s="272">
        <f t="shared" ref="B57:I57" si="29">IF(OR(B$136=0,B$177=0),"n/a",+B$138/B$177)</f>
        <v>10.326237623762376</v>
      </c>
      <c r="C57" s="272">
        <f t="shared" si="29"/>
        <v>10.939393939393939</v>
      </c>
      <c r="D57" s="272">
        <f t="shared" si="29"/>
        <v>11.082025316455695</v>
      </c>
      <c r="E57" s="273">
        <f t="shared" si="29"/>
        <v>10.402278481012658</v>
      </c>
      <c r="F57" s="273">
        <f t="shared" si="29"/>
        <v>12.395939086294415</v>
      </c>
      <c r="G57" s="274">
        <f t="shared" si="29"/>
        <v>13.208121827411167</v>
      </c>
      <c r="H57" s="274">
        <f t="shared" si="29"/>
        <v>13.208121827411167</v>
      </c>
      <c r="I57" s="274">
        <f t="shared" si="29"/>
        <v>13.208121827411167</v>
      </c>
      <c r="J57" s="33"/>
      <c r="L57" s="308" t="s">
        <v>270</v>
      </c>
      <c r="M57" s="309">
        <v>90</v>
      </c>
      <c r="N57" s="307"/>
      <c r="O57" s="307" t="s">
        <v>268</v>
      </c>
      <c r="P57" s="307"/>
      <c r="Q57" s="307"/>
    </row>
    <row r="58" spans="1:17" ht="10.5" customHeight="1" x14ac:dyDescent="0.2">
      <c r="A58" s="250" t="s">
        <v>271</v>
      </c>
      <c r="B58" s="310">
        <f t="shared" ref="B58:I58" si="30">IF(B$133=0, "n/a", (SUM(B$178,B$181)/(B$133/365)))</f>
        <v>75.880654475457177</v>
      </c>
      <c r="C58" s="310">
        <f t="shared" si="30"/>
        <v>85.316344463971873</v>
      </c>
      <c r="D58" s="310">
        <f t="shared" si="30"/>
        <v>73.272218769422011</v>
      </c>
      <c r="E58" s="311">
        <f t="shared" si="30"/>
        <v>73.913171449595282</v>
      </c>
      <c r="F58" s="311">
        <f t="shared" si="30"/>
        <v>71.917372881355931</v>
      </c>
      <c r="G58" s="312">
        <f t="shared" si="30"/>
        <v>70.835476252951992</v>
      </c>
      <c r="H58" s="312">
        <f t="shared" si="30"/>
        <v>70.835476252951992</v>
      </c>
      <c r="I58" s="312">
        <f t="shared" si="30"/>
        <v>70.835476252951992</v>
      </c>
      <c r="J58" s="33"/>
      <c r="L58" s="308" t="s">
        <v>272</v>
      </c>
      <c r="M58" s="309">
        <v>1</v>
      </c>
      <c r="N58" s="307"/>
      <c r="O58" s="307" t="s">
        <v>273</v>
      </c>
      <c r="P58" s="307"/>
      <c r="Q58" s="307"/>
    </row>
    <row r="59" spans="1:17" ht="10.5" customHeight="1" x14ac:dyDescent="0.2">
      <c r="A59" s="250" t="s">
        <v>274</v>
      </c>
      <c r="B59" s="252">
        <f>IF(Accounts!B$174=0,0,(Accounts!B$174/B$178))</f>
        <v>0</v>
      </c>
      <c r="C59" s="252">
        <f>IF(Accounts!C$174=0,0,(Accounts!C$174/C$178))</f>
        <v>0</v>
      </c>
      <c r="D59" s="252">
        <f>IF(Accounts!D$174=0,0,(Accounts!D$174/D$178))</f>
        <v>0</v>
      </c>
      <c r="E59" s="283">
        <f>IF(Accounts!E$174=0,0,(Accounts!E$174/E$178))</f>
        <v>0</v>
      </c>
      <c r="F59" s="283">
        <f>IF(Accounts!F$174=0,0,(Accounts!F$174/F$178))</f>
        <v>0</v>
      </c>
      <c r="G59" s="284">
        <f>IF(Accounts!G$174=0,0,(Accounts!G$174/G$178))</f>
        <v>0</v>
      </c>
      <c r="H59" s="284">
        <f>IF(Accounts!H$174=0,0,(Accounts!H$174/H$178))</f>
        <v>0</v>
      </c>
      <c r="I59" s="284">
        <f>IF(Accounts!I$174=0,0,(Accounts!I$174/I$178))</f>
        <v>0</v>
      </c>
      <c r="J59" s="33"/>
      <c r="L59" s="313" t="s">
        <v>275</v>
      </c>
      <c r="M59" s="314">
        <v>0.75</v>
      </c>
      <c r="N59" s="307"/>
      <c r="O59" s="307" t="s">
        <v>276</v>
      </c>
    </row>
    <row r="60" spans="1:17" ht="10.5" customHeight="1" x14ac:dyDescent="0.2">
      <c r="A60" s="250" t="s">
        <v>277</v>
      </c>
      <c r="B60" s="279">
        <f t="shared" ref="B60:I60" si="31">IF(B$136&gt;0,(B$188/(B$136/365)),IF(B$138&gt;0,(B$188/(B$138/365)),"n/a"))</f>
        <v>79.262355120858288</v>
      </c>
      <c r="C60" s="279">
        <f t="shared" si="31"/>
        <v>113.90070921985816</v>
      </c>
      <c r="D60" s="279">
        <f t="shared" si="31"/>
        <v>33.044019933554814</v>
      </c>
      <c r="E60" s="300">
        <f t="shared" si="31"/>
        <v>47.693285735243776</v>
      </c>
      <c r="F60" s="300">
        <f t="shared" si="31"/>
        <v>53.643079315707624</v>
      </c>
      <c r="G60" s="315">
        <f t="shared" si="31"/>
        <v>53.714539007092199</v>
      </c>
      <c r="H60" s="315">
        <f t="shared" si="31"/>
        <v>53.714539007092199</v>
      </c>
      <c r="I60" s="315">
        <f t="shared" si="31"/>
        <v>53.714539007092199</v>
      </c>
      <c r="J60" s="33"/>
      <c r="L60" s="307"/>
      <c r="M60" s="307"/>
      <c r="N60" s="307"/>
    </row>
    <row r="61" spans="1:17" ht="10.5" customHeight="1" x14ac:dyDescent="0.2">
      <c r="A61" s="246" t="s">
        <v>278</v>
      </c>
      <c r="B61" s="270"/>
      <c r="C61" s="270"/>
      <c r="D61" s="270"/>
      <c r="E61" s="270"/>
      <c r="F61" s="270"/>
      <c r="G61" s="271"/>
      <c r="H61" s="271"/>
      <c r="I61" s="271"/>
      <c r="J61" s="33"/>
    </row>
    <row r="62" spans="1:17" ht="10.5" customHeight="1" x14ac:dyDescent="0.2">
      <c r="A62" s="250" t="s">
        <v>279</v>
      </c>
      <c r="B62" s="84">
        <f t="shared" ref="B62:I62" si="32">+B$211+B$198</f>
        <v>1383</v>
      </c>
      <c r="C62" s="84">
        <f t="shared" si="32"/>
        <v>1383</v>
      </c>
      <c r="D62" s="84">
        <f t="shared" si="32"/>
        <v>1383</v>
      </c>
      <c r="E62" s="281">
        <f t="shared" si="32"/>
        <v>1383</v>
      </c>
      <c r="F62" s="281">
        <f t="shared" si="32"/>
        <v>1383</v>
      </c>
      <c r="G62" s="282">
        <f t="shared" si="32"/>
        <v>1383</v>
      </c>
      <c r="H62" s="282">
        <f t="shared" si="32"/>
        <v>1383</v>
      </c>
      <c r="I62" s="282">
        <f t="shared" si="32"/>
        <v>1383</v>
      </c>
      <c r="J62" s="33"/>
    </row>
    <row r="63" spans="1:17" ht="10.5" customHeight="1" x14ac:dyDescent="0.2">
      <c r="A63" s="250" t="s">
        <v>280</v>
      </c>
      <c r="B63" s="279">
        <f t="shared" ref="B63:I63" si="33">+B$185+B$186+B$187+B$195+B$196+B$197+B200</f>
        <v>10</v>
      </c>
      <c r="C63" s="279">
        <f t="shared" si="33"/>
        <v>11</v>
      </c>
      <c r="D63" s="279">
        <f t="shared" si="33"/>
        <v>142.44999999999999</v>
      </c>
      <c r="E63" s="300">
        <f t="shared" si="33"/>
        <v>97</v>
      </c>
      <c r="F63" s="300">
        <f t="shared" si="33"/>
        <v>54</v>
      </c>
      <c r="G63" s="301">
        <f t="shared" si="33"/>
        <v>22</v>
      </c>
      <c r="H63" s="301">
        <f t="shared" si="33"/>
        <v>22</v>
      </c>
      <c r="I63" s="301">
        <f t="shared" si="33"/>
        <v>22</v>
      </c>
      <c r="J63" s="33"/>
    </row>
    <row r="64" spans="1:17" ht="10.5" customHeight="1" x14ac:dyDescent="0.2">
      <c r="A64" s="250" t="s">
        <v>281</v>
      </c>
      <c r="B64" s="310">
        <f t="shared" ref="B64:I64" si="34">+B$185+B$186+B$187+B$195+B$196</f>
        <v>10</v>
      </c>
      <c r="C64" s="310">
        <f t="shared" si="34"/>
        <v>11</v>
      </c>
      <c r="D64" s="310">
        <f t="shared" si="34"/>
        <v>142.44999999999999</v>
      </c>
      <c r="E64" s="311">
        <f t="shared" si="34"/>
        <v>97</v>
      </c>
      <c r="F64" s="311">
        <f t="shared" si="34"/>
        <v>54</v>
      </c>
      <c r="G64" s="312">
        <f t="shared" si="34"/>
        <v>22</v>
      </c>
      <c r="H64" s="312">
        <f t="shared" si="34"/>
        <v>22</v>
      </c>
      <c r="I64" s="312">
        <f t="shared" si="34"/>
        <v>22</v>
      </c>
      <c r="J64" s="33"/>
    </row>
    <row r="65" spans="1:10" ht="10.5" customHeight="1" x14ac:dyDescent="0.2">
      <c r="A65" s="316" t="s">
        <v>282</v>
      </c>
      <c r="B65" s="317"/>
      <c r="C65" s="252"/>
      <c r="D65" s="252"/>
      <c r="E65" s="281">
        <f>SUM(Accounts!E$136,Accounts!E$138,Accounts!E$146,Accounts!E$152)</f>
        <v>0</v>
      </c>
      <c r="F65" s="281">
        <f>SUM(Accounts!F$136,Accounts!F$138,Accounts!F$146,Accounts!F$152)</f>
        <v>0</v>
      </c>
      <c r="G65" s="282">
        <f>SUM(Accounts!G$136,Accounts!G$138,Accounts!G$146,Accounts!G$152)</f>
        <v>0</v>
      </c>
      <c r="H65" s="282">
        <f>SUM(Accounts!H$136,Accounts!H$138,Accounts!H$146,Accounts!H$152)</f>
        <v>0</v>
      </c>
      <c r="I65" s="282">
        <f>SUM(Accounts!I$136,Accounts!I$138,Accounts!I$146,Accounts!I$152)</f>
        <v>0</v>
      </c>
      <c r="J65" s="33"/>
    </row>
    <row r="66" spans="1:10" ht="10.5" customHeight="1" x14ac:dyDescent="0.2">
      <c r="A66" s="250" t="s">
        <v>283</v>
      </c>
      <c r="B66" s="272">
        <f t="shared" ref="B66:I66" si="35">IF(B$63=0,"n/a",B$63/B$62)</f>
        <v>7.2306579898770785E-3</v>
      </c>
      <c r="C66" s="272">
        <f t="shared" si="35"/>
        <v>7.9537237888647871E-3</v>
      </c>
      <c r="D66" s="272">
        <f t="shared" si="35"/>
        <v>0.10300072306579898</v>
      </c>
      <c r="E66" s="273">
        <f t="shared" si="35"/>
        <v>7.0137382501807663E-2</v>
      </c>
      <c r="F66" s="273">
        <f t="shared" si="35"/>
        <v>3.9045553145336226E-2</v>
      </c>
      <c r="G66" s="274">
        <f t="shared" si="35"/>
        <v>1.5907447577729574E-2</v>
      </c>
      <c r="H66" s="274">
        <f t="shared" si="35"/>
        <v>1.5907447577729574E-2</v>
      </c>
      <c r="I66" s="274">
        <f t="shared" si="35"/>
        <v>1.5907447577729574E-2</v>
      </c>
      <c r="J66" s="33"/>
    </row>
    <row r="67" spans="1:10" ht="10.5" customHeight="1" x14ac:dyDescent="0.2">
      <c r="A67" s="250" t="s">
        <v>284</v>
      </c>
      <c r="B67" s="272">
        <f t="shared" ref="B67:I67" si="36">IF(SUM(B$201,B$211)=0,"n/a",(1+(B$201/B$211)))</f>
        <v>1</v>
      </c>
      <c r="C67" s="272">
        <f t="shared" si="36"/>
        <v>1</v>
      </c>
      <c r="D67" s="272">
        <f t="shared" si="36"/>
        <v>1.0636297903109182</v>
      </c>
      <c r="E67" s="273">
        <f t="shared" si="36"/>
        <v>1.0314533622559654</v>
      </c>
      <c r="F67" s="273">
        <f t="shared" si="36"/>
        <v>1.0086767895878526</v>
      </c>
      <c r="G67" s="274">
        <f t="shared" si="36"/>
        <v>1</v>
      </c>
      <c r="H67" s="274">
        <f t="shared" si="36"/>
        <v>1</v>
      </c>
      <c r="I67" s="274">
        <f t="shared" si="36"/>
        <v>1</v>
      </c>
      <c r="J67" s="33"/>
    </row>
    <row r="68" spans="1:10" ht="10.5" customHeight="1" x14ac:dyDescent="0.2">
      <c r="A68" s="254" t="s">
        <v>272</v>
      </c>
      <c r="B68" s="318" t="str">
        <f t="shared" ref="B68:I68" si="37">IF(B$150=0,"n/a",B$148/B$150)</f>
        <v>n/a</v>
      </c>
      <c r="C68" s="318" t="str">
        <f t="shared" si="37"/>
        <v>n/a</v>
      </c>
      <c r="D68" s="318">
        <f t="shared" si="37"/>
        <v>0</v>
      </c>
      <c r="E68" s="319">
        <f t="shared" si="37"/>
        <v>0</v>
      </c>
      <c r="F68" s="319">
        <f t="shared" si="37"/>
        <v>0</v>
      </c>
      <c r="G68" s="320">
        <f t="shared" si="37"/>
        <v>0</v>
      </c>
      <c r="H68" s="320">
        <f t="shared" si="37"/>
        <v>0</v>
      </c>
      <c r="I68" s="320">
        <f t="shared" si="37"/>
        <v>0</v>
      </c>
      <c r="J68" s="33"/>
    </row>
    <row r="69" spans="1:10" ht="10.5" customHeight="1" x14ac:dyDescent="0.2">
      <c r="A69" s="246" t="s">
        <v>285</v>
      </c>
      <c r="B69" s="270"/>
      <c r="C69" s="270"/>
      <c r="D69" s="270"/>
      <c r="E69" s="270"/>
      <c r="F69" s="270"/>
      <c r="G69" s="271"/>
      <c r="H69" s="271"/>
      <c r="I69" s="271"/>
      <c r="J69" s="33"/>
    </row>
    <row r="70" spans="1:10" ht="10.5" customHeight="1" x14ac:dyDescent="0.2">
      <c r="A70" s="250" t="s">
        <v>286</v>
      </c>
      <c r="B70" s="321">
        <f>Accounts!B14</f>
        <v>21</v>
      </c>
      <c r="C70" s="302">
        <f>Accounts!C14</f>
        <v>32</v>
      </c>
      <c r="D70" s="302">
        <f>Accounts!D14</f>
        <v>34</v>
      </c>
      <c r="E70" s="302">
        <f>Accounts!E14</f>
        <v>38</v>
      </c>
      <c r="F70" s="302">
        <f>Accounts!F14</f>
        <v>44</v>
      </c>
      <c r="G70" s="322">
        <f>Accounts!G14</f>
        <v>67</v>
      </c>
      <c r="H70" s="322">
        <f>Accounts!H14</f>
        <v>67</v>
      </c>
      <c r="I70" s="322">
        <f>Accounts!I14</f>
        <v>67</v>
      </c>
      <c r="J70" s="33"/>
    </row>
    <row r="71" spans="1:10" ht="10.5" customHeight="1" x14ac:dyDescent="0.2">
      <c r="A71" s="250" t="s">
        <v>287</v>
      </c>
      <c r="B71" s="321">
        <f>Accounts!B15</f>
        <v>16</v>
      </c>
      <c r="C71" s="302">
        <f>Accounts!C15</f>
        <v>18</v>
      </c>
      <c r="D71" s="302">
        <f>Accounts!D15</f>
        <v>18</v>
      </c>
      <c r="E71" s="302">
        <f>Accounts!E15</f>
        <v>22</v>
      </c>
      <c r="F71" s="302">
        <f>Accounts!F15</f>
        <v>28</v>
      </c>
      <c r="G71" s="322">
        <f>Accounts!G15</f>
        <v>50</v>
      </c>
      <c r="H71" s="322">
        <f>Accounts!H15</f>
        <v>50</v>
      </c>
      <c r="I71" s="322">
        <f>Accounts!I15</f>
        <v>50</v>
      </c>
      <c r="J71" s="33"/>
    </row>
    <row r="72" spans="1:10" ht="10.5" customHeight="1" x14ac:dyDescent="0.2">
      <c r="A72" s="250" t="s">
        <v>288</v>
      </c>
      <c r="B72" s="321">
        <f>Accounts!B16</f>
        <v>5</v>
      </c>
      <c r="C72" s="302">
        <f>Accounts!C16</f>
        <v>14</v>
      </c>
      <c r="D72" s="302">
        <f>Accounts!D16</f>
        <v>16</v>
      </c>
      <c r="E72" s="302">
        <f>Accounts!E16</f>
        <v>16</v>
      </c>
      <c r="F72" s="302">
        <f>Accounts!F16</f>
        <v>16</v>
      </c>
      <c r="G72" s="322">
        <f>Accounts!G16</f>
        <v>17</v>
      </c>
      <c r="H72" s="322">
        <f>Accounts!H16</f>
        <v>17</v>
      </c>
      <c r="I72" s="322">
        <f>Accounts!I16</f>
        <v>17</v>
      </c>
      <c r="J72" s="33"/>
    </row>
    <row r="73" spans="1:10" ht="10.5" customHeight="1" x14ac:dyDescent="0.2">
      <c r="A73" s="250" t="s">
        <v>289</v>
      </c>
      <c r="B73" s="321">
        <f>Accounts!B17</f>
        <v>0</v>
      </c>
      <c r="C73" s="302">
        <f>Accounts!C17</f>
        <v>0</v>
      </c>
      <c r="D73" s="302">
        <f>Accounts!D17</f>
        <v>0</v>
      </c>
      <c r="E73" s="302">
        <f>Accounts!E17</f>
        <v>0</v>
      </c>
      <c r="F73" s="302">
        <f>Accounts!F17</f>
        <v>0</v>
      </c>
      <c r="G73" s="322">
        <f>Accounts!G17</f>
        <v>0</v>
      </c>
      <c r="H73" s="322">
        <f>Accounts!H17</f>
        <v>0</v>
      </c>
      <c r="I73" s="322">
        <f>Accounts!I17</f>
        <v>0</v>
      </c>
      <c r="J73" s="33"/>
    </row>
    <row r="74" spans="1:10" ht="9" customHeight="1" x14ac:dyDescent="0.2">
      <c r="A74" s="323" t="e">
        <f>CONCATENATE("Base Employment = ",#REF!)</f>
        <v>#REF!</v>
      </c>
      <c r="B74" s="324"/>
      <c r="C74" s="324"/>
      <c r="D74" s="324"/>
      <c r="E74" s="324"/>
      <c r="F74" s="324"/>
      <c r="G74" s="325"/>
      <c r="H74" s="324"/>
      <c r="I74" s="324"/>
      <c r="J74" s="39"/>
    </row>
    <row r="75" spans="1:10" hidden="1" x14ac:dyDescent="0.2">
      <c r="A75" s="326"/>
      <c r="B75" s="269"/>
      <c r="C75" s="269"/>
      <c r="D75" s="269"/>
      <c r="E75" s="269"/>
      <c r="F75" s="269"/>
      <c r="G75" s="269"/>
      <c r="H75" s="269"/>
      <c r="I75" s="269"/>
      <c r="J75" s="78"/>
    </row>
    <row r="76" spans="1:10" hidden="1" x14ac:dyDescent="0.2">
      <c r="A76" s="326"/>
      <c r="B76" s="269"/>
      <c r="C76" s="269"/>
      <c r="D76" s="269"/>
      <c r="E76" s="269"/>
      <c r="F76" s="269"/>
      <c r="G76" s="269"/>
      <c r="H76" s="269"/>
      <c r="I76" s="269"/>
      <c r="J76" s="78"/>
    </row>
    <row r="77" spans="1:10" hidden="1" x14ac:dyDescent="0.2">
      <c r="A77" s="327" t="s">
        <v>290</v>
      </c>
      <c r="B77" s="328"/>
      <c r="C77" s="328"/>
      <c r="D77" s="328"/>
      <c r="E77" s="328"/>
      <c r="F77" s="328"/>
      <c r="G77" s="78"/>
      <c r="H77" s="78"/>
      <c r="I77" s="78"/>
      <c r="J77" s="78"/>
    </row>
    <row r="78" spans="1:10" hidden="1" x14ac:dyDescent="0.2">
      <c r="A78" s="90" t="s">
        <v>228</v>
      </c>
      <c r="B78" s="329" t="e">
        <f>+#REF!</f>
        <v>#REF!</v>
      </c>
      <c r="C78" s="329" t="e">
        <f>+#REF!</f>
        <v>#REF!</v>
      </c>
      <c r="D78" s="329" t="e">
        <f>+#REF!</f>
        <v>#REF!</v>
      </c>
      <c r="E78" s="329"/>
      <c r="F78" s="269"/>
      <c r="G78" s="328"/>
      <c r="H78" s="328"/>
      <c r="I78" s="328"/>
      <c r="J78" s="78"/>
    </row>
    <row r="79" spans="1:10" hidden="1" x14ac:dyDescent="0.2">
      <c r="A79" s="90" t="s">
        <v>31</v>
      </c>
      <c r="B79" s="243">
        <f>E17</f>
        <v>44561</v>
      </c>
      <c r="C79" s="243">
        <f>F17</f>
        <v>44926</v>
      </c>
      <c r="D79" s="243">
        <f>G17</f>
        <v>45291</v>
      </c>
      <c r="E79" s="243" t="s">
        <v>132</v>
      </c>
      <c r="F79" s="269"/>
      <c r="G79" s="328"/>
      <c r="H79" s="328"/>
      <c r="I79" s="328"/>
      <c r="J79" s="78"/>
    </row>
    <row r="80" spans="1:10" hidden="1" x14ac:dyDescent="0.2">
      <c r="A80" s="90"/>
      <c r="B80" s="47" t="s">
        <v>55</v>
      </c>
      <c r="C80" s="47" t="s">
        <v>55</v>
      </c>
      <c r="D80" s="47" t="s">
        <v>55</v>
      </c>
      <c r="E80" s="47" t="s">
        <v>55</v>
      </c>
      <c r="F80" s="269"/>
      <c r="G80" s="328"/>
      <c r="H80" s="328"/>
      <c r="I80" s="328"/>
      <c r="J80" s="78"/>
    </row>
    <row r="81" spans="1:10" hidden="1" x14ac:dyDescent="0.2">
      <c r="A81" s="76"/>
      <c r="B81" s="87"/>
      <c r="C81" s="87"/>
      <c r="D81" s="87"/>
      <c r="E81" s="87"/>
      <c r="F81" s="78"/>
      <c r="G81" s="328"/>
      <c r="H81" s="328"/>
      <c r="I81" s="328"/>
      <c r="J81" s="78"/>
    </row>
    <row r="82" spans="1:10" hidden="1" x14ac:dyDescent="0.2">
      <c r="A82" s="90" t="e">
        <f>IF(AND(B82&gt;=0,C82&gt;=0,D82&gt;=0),"Net Operating Cash Inflow","Net Operating Cash Inflow/(Outflow)")</f>
        <v>#REF!</v>
      </c>
      <c r="B82" s="92" t="e">
        <f>+B111-B107</f>
        <v>#REF!</v>
      </c>
      <c r="C82" s="92" t="e">
        <f>+C111-C107</f>
        <v>#REF!</v>
      </c>
      <c r="D82" s="92" t="e">
        <f>+D111-D107</f>
        <v>#REF!</v>
      </c>
      <c r="E82" s="92" t="e">
        <f>SUM(B82:D82)</f>
        <v>#REF!</v>
      </c>
      <c r="F82" s="78"/>
      <c r="G82" s="78"/>
      <c r="H82" s="78"/>
      <c r="I82" s="78"/>
      <c r="J82" s="78"/>
    </row>
    <row r="83" spans="1:10" hidden="1" x14ac:dyDescent="0.2">
      <c r="A83" s="76"/>
      <c r="B83" s="87"/>
      <c r="C83" s="87"/>
      <c r="D83" s="87"/>
      <c r="E83" s="87"/>
      <c r="F83" s="78"/>
      <c r="G83" s="78"/>
      <c r="H83" s="78"/>
      <c r="I83" s="78"/>
      <c r="J83" s="78"/>
    </row>
    <row r="84" spans="1:10" hidden="1" x14ac:dyDescent="0.2">
      <c r="A84" s="90" t="s">
        <v>291</v>
      </c>
      <c r="B84" s="330"/>
      <c r="C84" s="330"/>
      <c r="D84" s="330"/>
      <c r="E84" s="330"/>
      <c r="F84" s="78"/>
      <c r="G84" s="78"/>
      <c r="H84" s="78"/>
      <c r="I84" s="78"/>
      <c r="J84" s="78"/>
    </row>
    <row r="85" spans="1:10" hidden="1" x14ac:dyDescent="0.2">
      <c r="A85" s="90" t="s">
        <v>292</v>
      </c>
      <c r="B85" s="330"/>
      <c r="C85" s="330"/>
      <c r="D85" s="330"/>
      <c r="E85" s="330"/>
      <c r="F85" s="78"/>
      <c r="G85" s="78"/>
      <c r="H85" s="78"/>
      <c r="I85" s="78"/>
      <c r="J85" s="78"/>
    </row>
    <row r="86" spans="1:10" hidden="1" x14ac:dyDescent="0.2">
      <c r="A86" s="76" t="s">
        <v>143</v>
      </c>
      <c r="B86" s="84">
        <v>0</v>
      </c>
      <c r="C86" s="84">
        <v>0</v>
      </c>
      <c r="D86" s="84">
        <v>0</v>
      </c>
      <c r="E86" s="84">
        <f t="shared" ref="E86:E94" si="38">SUM(B86:D86)</f>
        <v>0</v>
      </c>
      <c r="F86" s="269"/>
      <c r="G86" s="78"/>
      <c r="H86" s="78"/>
      <c r="I86" s="78"/>
      <c r="J86" s="78"/>
    </row>
    <row r="87" spans="1:10" hidden="1" x14ac:dyDescent="0.2">
      <c r="A87" s="76" t="s">
        <v>293</v>
      </c>
      <c r="B87" s="84">
        <v>0</v>
      </c>
      <c r="C87" s="84">
        <v>0</v>
      </c>
      <c r="D87" s="84">
        <v>0</v>
      </c>
      <c r="E87" s="84">
        <f t="shared" si="38"/>
        <v>0</v>
      </c>
      <c r="F87" s="269"/>
      <c r="G87" s="78"/>
      <c r="H87" s="78"/>
      <c r="I87" s="78"/>
      <c r="J87" s="78"/>
    </row>
    <row r="88" spans="1:10" hidden="1" x14ac:dyDescent="0.2">
      <c r="A88" s="76" t="s">
        <v>168</v>
      </c>
      <c r="B88" s="84">
        <v>0</v>
      </c>
      <c r="C88" s="84">
        <v>0</v>
      </c>
      <c r="D88" s="84">
        <v>0</v>
      </c>
      <c r="E88" s="84">
        <f t="shared" si="38"/>
        <v>0</v>
      </c>
      <c r="F88" s="269"/>
      <c r="G88" s="78"/>
      <c r="H88" s="78"/>
      <c r="I88" s="78"/>
      <c r="J88" s="78"/>
    </row>
    <row r="89" spans="1:10" hidden="1" x14ac:dyDescent="0.2">
      <c r="A89" s="236" t="s">
        <v>294</v>
      </c>
      <c r="B89" s="84" t="e">
        <f>#REF!</f>
        <v>#REF!</v>
      </c>
      <c r="C89" s="84" t="e">
        <f>#REF!</f>
        <v>#REF!</v>
      </c>
      <c r="D89" s="84" t="e">
        <f>#REF!</f>
        <v>#REF!</v>
      </c>
      <c r="E89" s="84" t="e">
        <f t="shared" si="38"/>
        <v>#REF!</v>
      </c>
      <c r="F89" s="269"/>
      <c r="G89" s="78"/>
      <c r="H89" s="78"/>
      <c r="I89" s="78"/>
      <c r="J89" s="78"/>
    </row>
    <row r="90" spans="1:10" hidden="1" x14ac:dyDescent="0.2">
      <c r="A90" s="76" t="s">
        <v>295</v>
      </c>
      <c r="B90" s="84">
        <v>0</v>
      </c>
      <c r="C90" s="84">
        <v>0</v>
      </c>
      <c r="D90" s="84">
        <v>0</v>
      </c>
      <c r="E90" s="84">
        <f t="shared" si="38"/>
        <v>0</v>
      </c>
      <c r="F90" s="269"/>
      <c r="G90" s="78"/>
      <c r="H90" s="78"/>
      <c r="I90" s="78"/>
      <c r="J90" s="78"/>
    </row>
    <row r="91" spans="1:10" hidden="1" x14ac:dyDescent="0.2">
      <c r="A91" s="76" t="s">
        <v>296</v>
      </c>
      <c r="B91" s="84">
        <v>0</v>
      </c>
      <c r="C91" s="84">
        <v>0</v>
      </c>
      <c r="D91" s="84">
        <v>0</v>
      </c>
      <c r="E91" s="84">
        <f t="shared" si="38"/>
        <v>0</v>
      </c>
      <c r="F91" s="269"/>
      <c r="G91" s="78"/>
      <c r="H91" s="78"/>
      <c r="I91" s="78"/>
      <c r="J91" s="78"/>
    </row>
    <row r="92" spans="1:10" hidden="1" x14ac:dyDescent="0.2">
      <c r="A92" s="76" t="s">
        <v>141</v>
      </c>
      <c r="B92" s="84">
        <v>0</v>
      </c>
      <c r="C92" s="84">
        <v>0</v>
      </c>
      <c r="D92" s="84">
        <v>0</v>
      </c>
      <c r="E92" s="84">
        <f t="shared" si="38"/>
        <v>0</v>
      </c>
      <c r="F92" s="269"/>
      <c r="G92" s="78"/>
      <c r="H92" s="78"/>
      <c r="I92" s="78"/>
      <c r="J92" s="78"/>
    </row>
    <row r="93" spans="1:10" hidden="1" x14ac:dyDescent="0.2">
      <c r="A93" s="76" t="s">
        <v>297</v>
      </c>
      <c r="B93" s="84">
        <v>0</v>
      </c>
      <c r="C93" s="84">
        <v>0</v>
      </c>
      <c r="D93" s="84">
        <v>0</v>
      </c>
      <c r="E93" s="84">
        <f t="shared" si="38"/>
        <v>0</v>
      </c>
      <c r="F93" s="269"/>
      <c r="G93" s="78"/>
      <c r="H93" s="78"/>
      <c r="I93" s="78"/>
      <c r="J93" s="78"/>
    </row>
    <row r="94" spans="1:10" hidden="1" x14ac:dyDescent="0.2">
      <c r="A94" s="76"/>
      <c r="B94" s="87" t="e">
        <f>SUM(B86:B93)</f>
        <v>#REF!</v>
      </c>
      <c r="C94" s="87" t="e">
        <f>SUM(C86:C93)</f>
        <v>#REF!</v>
      </c>
      <c r="D94" s="87" t="e">
        <f>SUM(D86:D93)</f>
        <v>#REF!</v>
      </c>
      <c r="E94" s="87" t="e">
        <f t="shared" si="38"/>
        <v>#REF!</v>
      </c>
      <c r="F94" s="269"/>
      <c r="G94" s="78"/>
      <c r="H94" s="78"/>
      <c r="I94" s="78"/>
      <c r="J94" s="78"/>
    </row>
    <row r="95" spans="1:10" hidden="1" x14ac:dyDescent="0.2">
      <c r="A95" s="76"/>
      <c r="B95" s="84"/>
      <c r="C95" s="84"/>
      <c r="D95" s="84"/>
      <c r="E95" s="84"/>
      <c r="F95" s="269"/>
      <c r="G95" s="78"/>
      <c r="H95" s="78"/>
      <c r="I95" s="78"/>
      <c r="J95" s="78"/>
    </row>
    <row r="96" spans="1:10" hidden="1" x14ac:dyDescent="0.2">
      <c r="A96" s="90" t="s">
        <v>298</v>
      </c>
      <c r="B96" s="84"/>
      <c r="C96" s="84"/>
      <c r="D96" s="84"/>
      <c r="E96" s="84"/>
      <c r="F96" s="269"/>
      <c r="G96" s="78"/>
      <c r="H96" s="78"/>
      <c r="I96" s="78"/>
      <c r="J96" s="78"/>
    </row>
    <row r="97" spans="1:10" hidden="1" x14ac:dyDescent="0.2">
      <c r="A97" s="76" t="e">
        <f>IF(AND(B97&gt;=0,C97&gt;=0,D97&gt;=0),"Capital Expenditure","Capital Expenditure/(Asset Sale)")</f>
        <v>#REF!</v>
      </c>
      <c r="B97" s="84" t="e">
        <f>#REF!</f>
        <v>#REF!</v>
      </c>
      <c r="C97" s="84" t="e">
        <f>#REF!</f>
        <v>#REF!</v>
      </c>
      <c r="D97" s="84" t="e">
        <f>#REF!</f>
        <v>#REF!</v>
      </c>
      <c r="E97" s="84" t="e">
        <f t="shared" ref="E97:E105" si="39">SUM(B97:D97)</f>
        <v>#REF!</v>
      </c>
      <c r="F97" s="269"/>
      <c r="G97" s="78"/>
      <c r="H97" s="78"/>
      <c r="I97" s="78"/>
      <c r="J97" s="78"/>
    </row>
    <row r="98" spans="1:10" hidden="1" x14ac:dyDescent="0.2">
      <c r="A98" s="76" t="s">
        <v>299</v>
      </c>
      <c r="B98" s="84">
        <v>0</v>
      </c>
      <c r="C98" s="84">
        <v>0</v>
      </c>
      <c r="D98" s="84">
        <v>0</v>
      </c>
      <c r="E98" s="84">
        <f t="shared" si="39"/>
        <v>0</v>
      </c>
      <c r="F98" s="269"/>
      <c r="G98" s="78"/>
      <c r="H98" s="78"/>
      <c r="I98" s="78"/>
      <c r="J98" s="78"/>
    </row>
    <row r="99" spans="1:10" hidden="1" x14ac:dyDescent="0.2">
      <c r="A99" s="76" t="str">
        <f>IF(AND(B99&gt;=0,C99&gt;=0,D99&gt;=0),"Other Dividends","Other Dividends/(Dividends Received)")</f>
        <v>Other Dividends</v>
      </c>
      <c r="B99" s="84">
        <v>0</v>
      </c>
      <c r="C99" s="84">
        <v>0</v>
      </c>
      <c r="D99" s="84">
        <v>0</v>
      </c>
      <c r="E99" s="84">
        <f t="shared" si="39"/>
        <v>0</v>
      </c>
      <c r="F99" s="269"/>
      <c r="G99" s="78"/>
      <c r="H99" s="78"/>
      <c r="I99" s="78"/>
      <c r="J99" s="78"/>
    </row>
    <row r="100" spans="1:10" hidden="1" x14ac:dyDescent="0.2">
      <c r="A100" s="236" t="s">
        <v>300</v>
      </c>
      <c r="B100" s="84">
        <v>0</v>
      </c>
      <c r="C100" s="84">
        <v>0</v>
      </c>
      <c r="D100" s="84">
        <v>0</v>
      </c>
      <c r="E100" s="84">
        <f t="shared" si="39"/>
        <v>0</v>
      </c>
      <c r="F100" s="269"/>
      <c r="G100" s="78"/>
      <c r="H100" s="78"/>
      <c r="I100" s="78"/>
      <c r="J100" s="78"/>
    </row>
    <row r="101" spans="1:10" hidden="1" x14ac:dyDescent="0.2">
      <c r="A101" s="236" t="s">
        <v>294</v>
      </c>
      <c r="B101" s="84">
        <v>0</v>
      </c>
      <c r="C101" s="84">
        <v>0</v>
      </c>
      <c r="D101" s="84">
        <v>0</v>
      </c>
      <c r="E101" s="84">
        <f t="shared" si="39"/>
        <v>0</v>
      </c>
      <c r="F101" s="269"/>
      <c r="G101" s="78"/>
      <c r="H101" s="78"/>
      <c r="I101" s="78"/>
      <c r="J101" s="78"/>
    </row>
    <row r="102" spans="1:10" hidden="1" x14ac:dyDescent="0.2">
      <c r="A102" s="76" t="s">
        <v>301</v>
      </c>
      <c r="B102" s="84">
        <v>0</v>
      </c>
      <c r="C102" s="84">
        <v>0</v>
      </c>
      <c r="D102" s="84">
        <v>0</v>
      </c>
      <c r="E102" s="84">
        <f t="shared" si="39"/>
        <v>0</v>
      </c>
      <c r="F102" s="269"/>
      <c r="G102" s="78"/>
      <c r="H102" s="78"/>
      <c r="I102" s="78"/>
      <c r="J102" s="78"/>
    </row>
    <row r="103" spans="1:10" hidden="1" x14ac:dyDescent="0.2">
      <c r="A103" s="236" t="s">
        <v>302</v>
      </c>
      <c r="B103" s="84">
        <v>0</v>
      </c>
      <c r="C103" s="84">
        <v>0</v>
      </c>
      <c r="D103" s="84">
        <v>0</v>
      </c>
      <c r="E103" s="84">
        <f t="shared" si="39"/>
        <v>0</v>
      </c>
      <c r="F103" s="269"/>
      <c r="G103" s="78"/>
      <c r="H103" s="78"/>
      <c r="I103" s="78"/>
      <c r="J103" s="78"/>
    </row>
    <row r="104" spans="1:10" hidden="1" x14ac:dyDescent="0.2">
      <c r="A104" s="236" t="s">
        <v>303</v>
      </c>
      <c r="B104" s="84">
        <v>0</v>
      </c>
      <c r="C104" s="84">
        <v>0</v>
      </c>
      <c r="D104" s="84">
        <v>0</v>
      </c>
      <c r="E104" s="84">
        <f t="shared" si="39"/>
        <v>0</v>
      </c>
      <c r="F104" s="269"/>
      <c r="G104" s="78"/>
      <c r="H104" s="78"/>
      <c r="I104" s="78"/>
      <c r="J104" s="78"/>
    </row>
    <row r="105" spans="1:10" hidden="1" x14ac:dyDescent="0.2">
      <c r="A105" s="236"/>
      <c r="B105" s="87" t="e">
        <f>SUM(B97:B104)</f>
        <v>#REF!</v>
      </c>
      <c r="C105" s="87" t="e">
        <f>SUM(C97:C104)</f>
        <v>#REF!</v>
      </c>
      <c r="D105" s="87" t="e">
        <f>SUM(D97:D104)</f>
        <v>#REF!</v>
      </c>
      <c r="E105" s="87" t="e">
        <f t="shared" si="39"/>
        <v>#REF!</v>
      </c>
      <c r="F105" s="269"/>
      <c r="G105" s="78"/>
      <c r="H105" s="78"/>
      <c r="I105" s="78"/>
      <c r="J105" s="78"/>
    </row>
    <row r="106" spans="1:10" hidden="1" x14ac:dyDescent="0.2">
      <c r="A106" s="236"/>
      <c r="B106" s="87"/>
      <c r="C106" s="87"/>
      <c r="D106" s="87"/>
      <c r="E106" s="87"/>
      <c r="F106" s="269"/>
      <c r="G106" s="78"/>
      <c r="H106" s="78"/>
      <c r="I106" s="78"/>
      <c r="J106" s="78"/>
    </row>
    <row r="107" spans="1:10" hidden="1" x14ac:dyDescent="0.2">
      <c r="A107" s="90" t="e">
        <f>IF(AND(B107&gt;=0,C107&gt;=0,D107&gt;=0),"Non-Operating Cash Inflow","Non-Operating Cash Inflow/(Outflow)")</f>
        <v>#REF!</v>
      </c>
      <c r="B107" s="92" t="e">
        <f>+B94-B105</f>
        <v>#REF!</v>
      </c>
      <c r="C107" s="92" t="e">
        <f>+C94-C105</f>
        <v>#REF!</v>
      </c>
      <c r="D107" s="92" t="e">
        <f>+D94-D105</f>
        <v>#REF!</v>
      </c>
      <c r="E107" s="92" t="e">
        <f>SUM(B107:D107)</f>
        <v>#REF!</v>
      </c>
      <c r="F107" s="269"/>
      <c r="G107" s="78"/>
      <c r="H107" s="78"/>
      <c r="I107" s="78"/>
      <c r="J107" s="78"/>
    </row>
    <row r="108" spans="1:10" hidden="1" x14ac:dyDescent="0.2">
      <c r="A108" s="236"/>
      <c r="B108" s="87"/>
      <c r="C108" s="87"/>
      <c r="D108" s="87"/>
      <c r="E108" s="87"/>
      <c r="F108" s="269"/>
      <c r="G108" s="78"/>
      <c r="H108" s="78"/>
      <c r="I108" s="78"/>
      <c r="J108" s="78"/>
    </row>
    <row r="109" spans="1:10" hidden="1" x14ac:dyDescent="0.2">
      <c r="A109" s="235"/>
      <c r="B109" s="84"/>
      <c r="C109" s="84"/>
      <c r="D109" s="84"/>
      <c r="E109" s="84"/>
      <c r="F109" s="269"/>
      <c r="G109" s="78"/>
      <c r="H109" s="78"/>
      <c r="I109" s="78"/>
      <c r="J109" s="78"/>
    </row>
    <row r="110" spans="1:10" hidden="1" x14ac:dyDescent="0.2">
      <c r="A110" s="236"/>
      <c r="B110" s="92"/>
      <c r="C110" s="92"/>
      <c r="D110" s="92"/>
      <c r="E110" s="92"/>
      <c r="F110" s="269"/>
      <c r="G110" s="78"/>
      <c r="H110" s="78"/>
      <c r="I110" s="78"/>
      <c r="J110" s="78"/>
    </row>
    <row r="111" spans="1:10" hidden="1" x14ac:dyDescent="0.2">
      <c r="A111" s="90" t="e">
        <f>IF(AND(B111&gt;=0,C111&gt;=0,D111&gt;=0),"Total Net Cash Inflow","Total Net Cash Inflow/(Outflow)")</f>
        <v>#REF!</v>
      </c>
      <c r="B111" s="84" t="e">
        <f>#REF!</f>
        <v>#REF!</v>
      </c>
      <c r="C111" s="84" t="e">
        <f>#REF!</f>
        <v>#REF!</v>
      </c>
      <c r="D111" s="84" t="e">
        <f>#REF!</f>
        <v>#REF!</v>
      </c>
      <c r="E111" s="84" t="e">
        <f>SUM(B111:D111)</f>
        <v>#REF!</v>
      </c>
      <c r="F111" s="269"/>
      <c r="G111" s="78"/>
      <c r="H111" s="78"/>
      <c r="I111" s="78"/>
      <c r="J111" s="78"/>
    </row>
    <row r="112" spans="1:10" hidden="1" x14ac:dyDescent="0.2">
      <c r="A112" s="90"/>
      <c r="B112" s="84"/>
      <c r="C112" s="84"/>
      <c r="D112" s="84"/>
      <c r="E112" s="84"/>
      <c r="F112" s="269"/>
      <c r="G112" s="269"/>
      <c r="H112" s="269"/>
      <c r="I112" s="269"/>
      <c r="J112" s="78"/>
    </row>
    <row r="113" spans="1:10" hidden="1" x14ac:dyDescent="0.2">
      <c r="A113" s="90" t="s">
        <v>304</v>
      </c>
      <c r="B113" s="84">
        <v>0</v>
      </c>
      <c r="C113" s="84" t="e">
        <f>B114</f>
        <v>#REF!</v>
      </c>
      <c r="D113" s="84" t="e">
        <f>C114</f>
        <v>#REF!</v>
      </c>
      <c r="E113" s="84"/>
      <c r="F113" s="269"/>
      <c r="G113" s="269"/>
      <c r="H113" s="269"/>
      <c r="I113" s="269"/>
      <c r="J113" s="78"/>
    </row>
    <row r="114" spans="1:10" hidden="1" x14ac:dyDescent="0.2">
      <c r="A114" s="90" t="s">
        <v>305</v>
      </c>
      <c r="B114" s="87" t="e">
        <f>B113+B111</f>
        <v>#REF!</v>
      </c>
      <c r="C114" s="87" t="e">
        <f>C113+C111</f>
        <v>#REF!</v>
      </c>
      <c r="D114" s="87" t="e">
        <f>D113+D111</f>
        <v>#REF!</v>
      </c>
      <c r="E114" s="87"/>
      <c r="F114" s="269"/>
      <c r="G114" s="269"/>
      <c r="H114" s="269"/>
      <c r="I114" s="269"/>
      <c r="J114" s="78"/>
    </row>
    <row r="115" spans="1:10" hidden="1" x14ac:dyDescent="0.2">
      <c r="A115" s="90"/>
      <c r="B115" s="87"/>
      <c r="C115" s="87"/>
      <c r="D115" s="87"/>
      <c r="E115" s="87"/>
      <c r="F115" s="269"/>
      <c r="G115" s="269"/>
      <c r="H115" s="269"/>
      <c r="I115" s="269"/>
      <c r="J115" s="78"/>
    </row>
    <row r="116" spans="1:10" hidden="1" x14ac:dyDescent="0.2">
      <c r="A116" s="90" t="s">
        <v>306</v>
      </c>
      <c r="B116" s="87" t="e">
        <f>#REF!</f>
        <v>#REF!</v>
      </c>
      <c r="C116" s="87" t="e">
        <f>#REF!</f>
        <v>#REF!</v>
      </c>
      <c r="D116" s="87" t="e">
        <f>#REF!</f>
        <v>#REF!</v>
      </c>
      <c r="E116" s="87"/>
      <c r="F116" s="269"/>
      <c r="G116" s="269"/>
      <c r="H116" s="269"/>
      <c r="I116" s="269"/>
      <c r="J116" s="78"/>
    </row>
    <row r="117" spans="1:10" hidden="1" x14ac:dyDescent="0.2">
      <c r="A117" s="90" t="s">
        <v>307</v>
      </c>
      <c r="B117" s="87" t="e">
        <f>#REF!</f>
        <v>#REF!</v>
      </c>
      <c r="C117" s="87" t="e">
        <f>#REF!</f>
        <v>#REF!</v>
      </c>
      <c r="D117" s="87" t="e">
        <f>#REF!</f>
        <v>#REF!</v>
      </c>
      <c r="E117" s="87"/>
      <c r="F117" s="269"/>
      <c r="G117" s="269"/>
      <c r="H117" s="269"/>
      <c r="I117" s="269"/>
      <c r="J117" s="78"/>
    </row>
    <row r="118" spans="1:10" hidden="1" x14ac:dyDescent="0.2">
      <c r="A118" s="90"/>
      <c r="B118" s="87"/>
      <c r="C118" s="87"/>
      <c r="D118" s="87"/>
      <c r="E118" s="87"/>
      <c r="F118" s="269"/>
      <c r="G118" s="269"/>
      <c r="H118" s="269"/>
      <c r="I118" s="269"/>
      <c r="J118" s="78"/>
    </row>
    <row r="119" spans="1:10" hidden="1" x14ac:dyDescent="0.2">
      <c r="A119" s="236"/>
      <c r="B119" s="78"/>
      <c r="C119" s="78"/>
      <c r="D119" s="78"/>
      <c r="E119" s="84">
        <f>SUM(E65:G65)</f>
        <v>0</v>
      </c>
      <c r="F119" s="269"/>
      <c r="G119" s="269"/>
      <c r="H119" s="269"/>
      <c r="I119" s="269"/>
      <c r="J119" s="78"/>
    </row>
    <row r="120" spans="1:10" hidden="1" x14ac:dyDescent="0.2">
      <c r="A120" s="235"/>
      <c r="B120" s="84"/>
      <c r="C120" s="84"/>
      <c r="D120" s="84"/>
      <c r="E120" s="84"/>
      <c r="F120" s="269"/>
      <c r="G120" s="269"/>
      <c r="H120" s="269"/>
      <c r="I120" s="269"/>
      <c r="J120" s="78"/>
    </row>
    <row r="121" spans="1:10" hidden="1" x14ac:dyDescent="0.2">
      <c r="A121" s="235" t="s">
        <v>308</v>
      </c>
      <c r="B121" s="331" t="s">
        <v>309</v>
      </c>
      <c r="C121" s="84"/>
      <c r="D121" s="84"/>
      <c r="E121" s="84" t="e">
        <f>IF(#REF!=0,"",#REF!)</f>
        <v>#REF!</v>
      </c>
      <c r="F121" s="269"/>
      <c r="G121" s="269"/>
      <c r="H121" s="269"/>
      <c r="I121" s="269"/>
      <c r="J121" s="78"/>
    </row>
    <row r="122" spans="1:10" hidden="1" x14ac:dyDescent="0.2">
      <c r="A122" s="235"/>
      <c r="B122" s="91"/>
      <c r="C122" s="91"/>
      <c r="D122" s="91"/>
      <c r="E122" s="91"/>
      <c r="F122" s="91"/>
      <c r="G122" s="91"/>
      <c r="H122" s="91"/>
      <c r="I122" s="91"/>
      <c r="J122" s="78"/>
    </row>
    <row r="123" spans="1:10" x14ac:dyDescent="0.2">
      <c r="A123" s="94"/>
      <c r="B123" s="94"/>
      <c r="C123" s="94"/>
      <c r="D123" s="94"/>
      <c r="E123" s="94"/>
      <c r="F123" s="94"/>
      <c r="G123" s="94"/>
      <c r="H123" s="94"/>
      <c r="I123" s="94"/>
      <c r="J123" s="94"/>
    </row>
    <row r="124" spans="1:10" x14ac:dyDescent="0.2">
      <c r="A124" s="71" t="s">
        <v>49</v>
      </c>
      <c r="B124" s="332"/>
      <c r="C124" s="332"/>
      <c r="D124" s="332"/>
      <c r="E124" s="332"/>
      <c r="F124" s="332"/>
      <c r="G124" s="332"/>
      <c r="H124" s="332"/>
      <c r="I124" s="332"/>
      <c r="J124" s="333"/>
    </row>
    <row r="125" spans="1:10" x14ac:dyDescent="0.2">
      <c r="A125" s="334"/>
      <c r="B125" s="335" t="str">
        <f>Accounts!B12</f>
        <v>Base Year-2</v>
      </c>
      <c r="C125" s="335" t="str">
        <f>Accounts!C12</f>
        <v>Base Year-1</v>
      </c>
      <c r="D125" s="335" t="str">
        <f>Accounts!D12</f>
        <v>Base Year</v>
      </c>
      <c r="E125" s="335" t="str">
        <f>Accounts!E12</f>
        <v>Current Year</v>
      </c>
      <c r="F125" s="335" t="str">
        <f>Accounts!F12</f>
        <v>Base Year+2</v>
      </c>
      <c r="G125" s="335" t="str">
        <f>Accounts!G12</f>
        <v>Base Year+3</v>
      </c>
      <c r="H125" s="335" t="str">
        <f>Accounts!H12</f>
        <v>Base Year+4</v>
      </c>
      <c r="I125" s="335" t="str">
        <f>Accounts!I12</f>
        <v>Base Year+5</v>
      </c>
      <c r="J125" s="75"/>
    </row>
    <row r="126" spans="1:10" x14ac:dyDescent="0.2">
      <c r="A126" s="90" t="str">
        <f>Accounts!A34</f>
        <v>Year End</v>
      </c>
      <c r="B126" s="336">
        <f>Accounts!B34</f>
        <v>43465</v>
      </c>
      <c r="C126" s="336">
        <f>Accounts!C34</f>
        <v>43830</v>
      </c>
      <c r="D126" s="336">
        <f>Accounts!D34</f>
        <v>44196</v>
      </c>
      <c r="E126" s="336">
        <f>Accounts!E34</f>
        <v>44561</v>
      </c>
      <c r="F126" s="336">
        <f>Accounts!F34</f>
        <v>44926</v>
      </c>
      <c r="G126" s="336">
        <f>Accounts!G34</f>
        <v>45291</v>
      </c>
      <c r="H126" s="336">
        <f>Accounts!H34</f>
        <v>45656</v>
      </c>
      <c r="I126" s="336">
        <f>Accounts!I34</f>
        <v>46022</v>
      </c>
      <c r="J126" s="77"/>
    </row>
    <row r="127" spans="1:10" x14ac:dyDescent="0.2">
      <c r="A127" s="90" t="str">
        <f>Accounts!A35</f>
        <v>Account Status</v>
      </c>
      <c r="B127" s="329" t="str">
        <f>Accounts!B35</f>
        <v>Audited</v>
      </c>
      <c r="C127" s="329" t="str">
        <f>Accounts!C35</f>
        <v>Audited</v>
      </c>
      <c r="D127" s="329" t="str">
        <f>Accounts!D35</f>
        <v>Actual</v>
      </c>
      <c r="E127" s="329" t="str">
        <f>Accounts!E35</f>
        <v>Projected</v>
      </c>
      <c r="F127" s="329" t="str">
        <f>Accounts!F35</f>
        <v>Projected</v>
      </c>
      <c r="G127" s="329" t="str">
        <f>Accounts!G35</f>
        <v>Projected</v>
      </c>
      <c r="H127" s="329" t="str">
        <f>Accounts!H35</f>
        <v>Projected</v>
      </c>
      <c r="I127" s="329" t="str">
        <f>Accounts!I35</f>
        <v>Projected</v>
      </c>
      <c r="J127" s="77"/>
    </row>
    <row r="128" spans="1:10" x14ac:dyDescent="0.2">
      <c r="A128" s="76"/>
      <c r="B128" s="47" t="str">
        <f>Accounts!B36</f>
        <v>€000's</v>
      </c>
      <c r="C128" s="47" t="str">
        <f>Accounts!C36</f>
        <v>€000's</v>
      </c>
      <c r="D128" s="47" t="str">
        <f>Accounts!D36</f>
        <v>€000's</v>
      </c>
      <c r="E128" s="47" t="str">
        <f>Accounts!E36</f>
        <v>€000's</v>
      </c>
      <c r="F128" s="47" t="str">
        <f>Accounts!F36</f>
        <v>€000's</v>
      </c>
      <c r="G128" s="47" t="str">
        <f>Accounts!G36</f>
        <v>€000's</v>
      </c>
      <c r="H128" s="47" t="str">
        <f>Accounts!H36</f>
        <v>€000's</v>
      </c>
      <c r="I128" s="47" t="str">
        <f>Accounts!I36</f>
        <v>€000's</v>
      </c>
      <c r="J128" s="77"/>
    </row>
    <row r="129" spans="1:10" x14ac:dyDescent="0.2">
      <c r="A129" s="76" t="str">
        <f>Accounts!A37</f>
        <v>Own Product / Service Produced in Ireland &amp; Exported</v>
      </c>
      <c r="B129" s="84">
        <f>Accounts!B37</f>
        <v>334</v>
      </c>
      <c r="C129" s="84">
        <f>Accounts!C37</f>
        <v>639</v>
      </c>
      <c r="D129" s="84">
        <f>Accounts!D37</f>
        <v>811</v>
      </c>
      <c r="E129" s="84">
        <f>Accounts!E37</f>
        <v>1082</v>
      </c>
      <c r="F129" s="84">
        <f>Accounts!F37</f>
        <v>1100</v>
      </c>
      <c r="G129" s="84">
        <f>Accounts!G37</f>
        <v>1202</v>
      </c>
      <c r="H129" s="84">
        <f>Accounts!H37</f>
        <v>1202</v>
      </c>
      <c r="I129" s="84">
        <f>Accounts!I37</f>
        <v>1202</v>
      </c>
      <c r="J129" s="77"/>
    </row>
    <row r="130" spans="1:10" x14ac:dyDescent="0.2">
      <c r="A130" s="76" t="str">
        <f>Accounts!A38</f>
        <v>Own Product / Service Produced Abroad &amp; sold Abroad</v>
      </c>
      <c r="B130" s="84">
        <f>Accounts!B38</f>
        <v>0</v>
      </c>
      <c r="C130" s="84">
        <f>Accounts!C38</f>
        <v>0</v>
      </c>
      <c r="D130" s="84">
        <f>Accounts!D38</f>
        <v>0</v>
      </c>
      <c r="E130" s="84">
        <f>Accounts!E38</f>
        <v>0</v>
      </c>
      <c r="F130" s="84">
        <f>Accounts!F38</f>
        <v>0</v>
      </c>
      <c r="G130" s="84">
        <f>Accounts!G38</f>
        <v>0</v>
      </c>
      <c r="H130" s="84">
        <f>Accounts!H38</f>
        <v>0</v>
      </c>
      <c r="I130" s="84">
        <f>Accounts!I38</f>
        <v>0</v>
      </c>
      <c r="J130" s="77"/>
    </row>
    <row r="131" spans="1:10" x14ac:dyDescent="0.2">
      <c r="A131" s="76" t="str">
        <f>Accounts!A39</f>
        <v>Own Product / Service Produced &amp; Sold in Ireland</v>
      </c>
      <c r="B131" s="84">
        <f>Accounts!B39</f>
        <v>2751</v>
      </c>
      <c r="C131" s="84">
        <f>Accounts!C39</f>
        <v>3343</v>
      </c>
      <c r="D131" s="84">
        <f>Accounts!D39</f>
        <v>2405</v>
      </c>
      <c r="E131" s="84">
        <f>Accounts!E39</f>
        <v>1635</v>
      </c>
      <c r="F131" s="84">
        <f>Accounts!F39</f>
        <v>2439</v>
      </c>
      <c r="G131" s="84">
        <f>Accounts!G39</f>
        <v>2608</v>
      </c>
      <c r="H131" s="84">
        <f>Accounts!H39</f>
        <v>2608</v>
      </c>
      <c r="I131" s="84">
        <f>Accounts!I39</f>
        <v>2608</v>
      </c>
      <c r="J131" s="77"/>
    </row>
    <row r="132" spans="1:10" x14ac:dyDescent="0.2">
      <c r="A132" s="76" t="str">
        <f>Accounts!A40</f>
        <v>Distribution Sales of Other Co's Product</v>
      </c>
      <c r="B132" s="84">
        <f>Accounts!B40</f>
        <v>32</v>
      </c>
      <c r="C132" s="84">
        <f>Accounts!C40</f>
        <v>1</v>
      </c>
      <c r="D132" s="84">
        <f>Accounts!D40</f>
        <v>2</v>
      </c>
      <c r="E132" s="84">
        <f>Accounts!E40</f>
        <v>1</v>
      </c>
      <c r="F132" s="84">
        <f>Accounts!F40</f>
        <v>1</v>
      </c>
      <c r="G132" s="84">
        <f>Accounts!G40</f>
        <v>1</v>
      </c>
      <c r="H132" s="84">
        <f>Accounts!H40</f>
        <v>1</v>
      </c>
      <c r="I132" s="84">
        <f>Accounts!I40</f>
        <v>1</v>
      </c>
      <c r="J132" s="77"/>
    </row>
    <row r="133" spans="1:10" x14ac:dyDescent="0.2">
      <c r="A133" s="90" t="str">
        <f>Accounts!A41</f>
        <v xml:space="preserve">Total Sales </v>
      </c>
      <c r="B133" s="86">
        <f>Accounts!B41</f>
        <v>3117</v>
      </c>
      <c r="C133" s="86">
        <f>Accounts!C41</f>
        <v>3983</v>
      </c>
      <c r="D133" s="86">
        <f>Accounts!D41</f>
        <v>3218</v>
      </c>
      <c r="E133" s="86">
        <f>Accounts!E41</f>
        <v>2718</v>
      </c>
      <c r="F133" s="86">
        <f>Accounts!F41</f>
        <v>3540</v>
      </c>
      <c r="G133" s="86">
        <f>Accounts!G41</f>
        <v>3811</v>
      </c>
      <c r="H133" s="86">
        <f>Accounts!H41</f>
        <v>3811</v>
      </c>
      <c r="I133" s="86">
        <f>Accounts!I41</f>
        <v>3811</v>
      </c>
      <c r="J133" s="77"/>
    </row>
    <row r="134" spans="1:10" x14ac:dyDescent="0.2">
      <c r="A134" s="76"/>
      <c r="B134" s="84"/>
      <c r="C134" s="84"/>
      <c r="D134" s="84"/>
      <c r="E134" s="84"/>
      <c r="F134" s="84"/>
      <c r="G134" s="84"/>
      <c r="H134" s="84"/>
      <c r="I134" s="84"/>
      <c r="J134" s="77"/>
    </row>
    <row r="135" spans="1:10" x14ac:dyDescent="0.2">
      <c r="A135" s="76" t="str">
        <f>Accounts!A43</f>
        <v>Direct Labour</v>
      </c>
      <c r="B135" s="84">
        <f>Accounts!B43</f>
        <v>709.45</v>
      </c>
      <c r="C135" s="84">
        <f>Accounts!C43</f>
        <v>801</v>
      </c>
      <c r="D135" s="84">
        <f>Accounts!D43</f>
        <v>971</v>
      </c>
      <c r="E135" s="84">
        <f>Accounts!E43</f>
        <v>1020</v>
      </c>
      <c r="F135" s="84">
        <f>Accounts!F43</f>
        <v>1144</v>
      </c>
      <c r="G135" s="84">
        <f>Accounts!G43</f>
        <v>1180</v>
      </c>
      <c r="H135" s="84">
        <f>Accounts!H43</f>
        <v>1180</v>
      </c>
      <c r="I135" s="84">
        <f>Accounts!I43</f>
        <v>1180</v>
      </c>
      <c r="J135" s="77"/>
    </row>
    <row r="136" spans="1:10" x14ac:dyDescent="0.2">
      <c r="A136" s="76" t="str">
        <f>Accounts!A44</f>
        <v>Purchases</v>
      </c>
      <c r="B136" s="84">
        <f>Accounts!B44</f>
        <v>1160.45</v>
      </c>
      <c r="C136" s="84">
        <f>Accounts!C44</f>
        <v>1269</v>
      </c>
      <c r="D136" s="84">
        <f>Accounts!D44</f>
        <v>1204</v>
      </c>
      <c r="E136" s="84">
        <f>Accounts!E44</f>
        <v>1022.45</v>
      </c>
      <c r="F136" s="84">
        <f>Accounts!F44</f>
        <v>1286</v>
      </c>
      <c r="G136" s="84">
        <f>Accounts!G44</f>
        <v>1410</v>
      </c>
      <c r="H136" s="84">
        <f>Accounts!H44</f>
        <v>1410</v>
      </c>
      <c r="I136" s="84">
        <f>Accounts!I44</f>
        <v>1410</v>
      </c>
      <c r="J136" s="77"/>
    </row>
    <row r="137" spans="1:10" x14ac:dyDescent="0.2">
      <c r="A137" s="76" t="str">
        <f>Accounts!A45</f>
        <v>Other Cost of Goods Sold</v>
      </c>
      <c r="B137" s="84">
        <f>Accounts!B45</f>
        <v>216</v>
      </c>
      <c r="C137" s="84">
        <f>Accounts!C45</f>
        <v>96</v>
      </c>
      <c r="D137" s="84">
        <f>Accounts!D45</f>
        <v>13.7</v>
      </c>
      <c r="E137" s="84">
        <f>Accounts!E45</f>
        <v>12</v>
      </c>
      <c r="F137" s="84">
        <f>Accounts!F45</f>
        <v>12</v>
      </c>
      <c r="G137" s="84">
        <f>Accounts!G45</f>
        <v>12</v>
      </c>
      <c r="H137" s="84">
        <f>Accounts!H45</f>
        <v>12</v>
      </c>
      <c r="I137" s="84">
        <f>Accounts!I45</f>
        <v>12</v>
      </c>
      <c r="J137" s="77"/>
    </row>
    <row r="138" spans="1:10" x14ac:dyDescent="0.2">
      <c r="A138" s="90" t="str">
        <f>Accounts!A46</f>
        <v>Cost of Sales</v>
      </c>
      <c r="B138" s="84">
        <f>Accounts!B46</f>
        <v>2085.9</v>
      </c>
      <c r="C138" s="84">
        <f>Accounts!C46</f>
        <v>2166</v>
      </c>
      <c r="D138" s="84">
        <f>Accounts!D46</f>
        <v>2188.6999999999998</v>
      </c>
      <c r="E138" s="84">
        <f>Accounts!E46</f>
        <v>2054.4499999999998</v>
      </c>
      <c r="F138" s="84">
        <f>Accounts!F46</f>
        <v>2442</v>
      </c>
      <c r="G138" s="84">
        <f>Accounts!G46</f>
        <v>2602</v>
      </c>
      <c r="H138" s="84">
        <f>Accounts!H46</f>
        <v>2602</v>
      </c>
      <c r="I138" s="84">
        <f>Accounts!I46</f>
        <v>2602</v>
      </c>
      <c r="J138" s="77"/>
    </row>
    <row r="139" spans="1:10" x14ac:dyDescent="0.2">
      <c r="A139" s="76"/>
      <c r="B139" s="84"/>
      <c r="C139" s="84"/>
      <c r="D139" s="84"/>
      <c r="E139" s="84"/>
      <c r="F139" s="84"/>
      <c r="G139" s="84"/>
      <c r="H139" s="84"/>
      <c r="I139" s="84"/>
      <c r="J139" s="77"/>
    </row>
    <row r="140" spans="1:10" x14ac:dyDescent="0.2">
      <c r="A140" s="90" t="str">
        <f>Accounts!A48</f>
        <v>Gross Profit/(Loss)</v>
      </c>
      <c r="B140" s="86">
        <f>Accounts!B48</f>
        <v>1031.0999999999999</v>
      </c>
      <c r="C140" s="86">
        <f>Accounts!C48</f>
        <v>1817</v>
      </c>
      <c r="D140" s="86">
        <f>Accounts!D48</f>
        <v>1029.3000000000002</v>
      </c>
      <c r="E140" s="86">
        <f>Accounts!E48</f>
        <v>663.55000000000018</v>
      </c>
      <c r="F140" s="86">
        <f>Accounts!F48</f>
        <v>1098</v>
      </c>
      <c r="G140" s="86">
        <f>Accounts!G48</f>
        <v>1209</v>
      </c>
      <c r="H140" s="86">
        <f>Accounts!H48</f>
        <v>1209</v>
      </c>
      <c r="I140" s="86">
        <f>Accounts!I48</f>
        <v>1209</v>
      </c>
      <c r="J140" s="77"/>
    </row>
    <row r="141" spans="1:10" x14ac:dyDescent="0.2">
      <c r="A141" s="76"/>
      <c r="B141" s="84"/>
      <c r="C141" s="84"/>
      <c r="D141" s="84"/>
      <c r="E141" s="84"/>
      <c r="F141" s="84"/>
      <c r="G141" s="84"/>
      <c r="H141" s="84"/>
      <c r="I141" s="84"/>
      <c r="J141" s="77"/>
    </row>
    <row r="142" spans="1:10" x14ac:dyDescent="0.2">
      <c r="A142" s="76" t="str">
        <f>Accounts!A50</f>
        <v>Selling, General &amp; Admin Expenses</v>
      </c>
      <c r="B142" s="84">
        <f>Accounts!B50</f>
        <v>512</v>
      </c>
      <c r="C142" s="84">
        <f>Accounts!C50</f>
        <v>501</v>
      </c>
      <c r="D142" s="84">
        <f>Accounts!D50</f>
        <v>350</v>
      </c>
      <c r="E142" s="84">
        <f>Accounts!E50</f>
        <v>514</v>
      </c>
      <c r="F142" s="84">
        <f>Accounts!F50</f>
        <v>542</v>
      </c>
      <c r="G142" s="84">
        <f>Accounts!G50</f>
        <v>569.6</v>
      </c>
      <c r="H142" s="84">
        <f>Accounts!H50</f>
        <v>569.6</v>
      </c>
      <c r="I142" s="84">
        <f>Accounts!I50</f>
        <v>569.6</v>
      </c>
      <c r="J142" s="77"/>
    </row>
    <row r="143" spans="1:10" x14ac:dyDescent="0.2">
      <c r="A143" s="76" t="str">
        <f>Accounts!A51</f>
        <v>Indirect Labour (excluding R&amp;D Salaries)</v>
      </c>
      <c r="B143" s="84">
        <f>Accounts!B51</f>
        <v>350</v>
      </c>
      <c r="C143" s="84">
        <f>Accounts!C51</f>
        <v>384</v>
      </c>
      <c r="D143" s="84">
        <f>Accounts!D51</f>
        <v>340</v>
      </c>
      <c r="E143" s="84">
        <f>Accounts!E51</f>
        <v>412</v>
      </c>
      <c r="F143" s="84">
        <f>Accounts!F51</f>
        <v>423</v>
      </c>
      <c r="G143" s="84">
        <f>Accounts!G51</f>
        <v>435</v>
      </c>
      <c r="H143" s="84">
        <f>Accounts!H51</f>
        <v>435</v>
      </c>
      <c r="I143" s="84">
        <f>Accounts!I51</f>
        <v>435</v>
      </c>
      <c r="J143" s="77"/>
    </row>
    <row r="144" spans="1:10" x14ac:dyDescent="0.2">
      <c r="A144" s="76" t="str">
        <f>Accounts!A55</f>
        <v>R&amp;D Expenditure</v>
      </c>
      <c r="B144" s="84">
        <f>Accounts!B55</f>
        <v>0</v>
      </c>
      <c r="C144" s="84">
        <f>Accounts!C55</f>
        <v>0</v>
      </c>
      <c r="D144" s="84">
        <f>Accounts!D55</f>
        <v>0</v>
      </c>
      <c r="E144" s="84">
        <f>Accounts!E55</f>
        <v>0</v>
      </c>
      <c r="F144" s="84">
        <f>Accounts!F55</f>
        <v>0</v>
      </c>
      <c r="G144" s="84">
        <f>Accounts!G55</f>
        <v>0</v>
      </c>
      <c r="H144" s="84">
        <f>Accounts!H55</f>
        <v>0</v>
      </c>
      <c r="I144" s="84">
        <f>Accounts!I55</f>
        <v>0</v>
      </c>
      <c r="J144" s="77"/>
    </row>
    <row r="145" spans="1:10" x14ac:dyDescent="0.2">
      <c r="A145" s="76" t="str">
        <f>Accounts!A57</f>
        <v>Other Operating Expenses/(Gains)</v>
      </c>
      <c r="B145" s="84">
        <f>Accounts!B57</f>
        <v>862</v>
      </c>
      <c r="C145" s="84">
        <f>Accounts!C57</f>
        <v>885</v>
      </c>
      <c r="D145" s="84">
        <f>Accounts!D57</f>
        <v>690</v>
      </c>
      <c r="E145" s="84">
        <f>Accounts!E57</f>
        <v>926</v>
      </c>
      <c r="F145" s="84">
        <f>Accounts!F57</f>
        <v>965</v>
      </c>
      <c r="G145" s="84">
        <f>Accounts!G57</f>
        <v>1004.6</v>
      </c>
      <c r="H145" s="84">
        <f>Accounts!H57</f>
        <v>1004.6</v>
      </c>
      <c r="I145" s="84">
        <f>Accounts!I57</f>
        <v>1004.6</v>
      </c>
      <c r="J145" s="77"/>
    </row>
    <row r="146" spans="1:10" x14ac:dyDescent="0.2">
      <c r="A146" s="90" t="str">
        <f>Accounts!A58</f>
        <v>Operating Expenditure</v>
      </c>
      <c r="B146" s="84">
        <f>Accounts!B58</f>
        <v>0</v>
      </c>
      <c r="C146" s="84">
        <f>Accounts!C58</f>
        <v>0</v>
      </c>
      <c r="D146" s="84">
        <f>Accounts!D58</f>
        <v>0</v>
      </c>
      <c r="E146" s="84">
        <f>Accounts!E58</f>
        <v>0</v>
      </c>
      <c r="F146" s="84">
        <f>Accounts!F58</f>
        <v>0</v>
      </c>
      <c r="G146" s="84">
        <f>Accounts!G58</f>
        <v>0</v>
      </c>
      <c r="H146" s="84">
        <f>Accounts!H58</f>
        <v>0</v>
      </c>
      <c r="I146" s="84">
        <f>Accounts!I58</f>
        <v>0</v>
      </c>
      <c r="J146" s="77"/>
    </row>
    <row r="147" spans="1:10" x14ac:dyDescent="0.2">
      <c r="A147" s="76"/>
      <c r="B147" s="84"/>
      <c r="C147" s="84"/>
      <c r="D147" s="84"/>
      <c r="E147" s="84"/>
      <c r="F147" s="84"/>
      <c r="G147" s="84"/>
      <c r="H147" s="84"/>
      <c r="I147" s="84"/>
      <c r="J147" s="77"/>
    </row>
    <row r="148" spans="1:10" x14ac:dyDescent="0.2">
      <c r="A148" s="90" t="str">
        <f>Accounts!A60</f>
        <v>Operating Profit/(Loss) - EBITDA</v>
      </c>
      <c r="B148" s="88">
        <f>Accounts!B60</f>
        <v>0</v>
      </c>
      <c r="C148" s="88">
        <f>Accounts!C60</f>
        <v>0</v>
      </c>
      <c r="D148" s="88">
        <f>Accounts!D60</f>
        <v>0</v>
      </c>
      <c r="E148" s="88">
        <f>Accounts!E60</f>
        <v>0</v>
      </c>
      <c r="F148" s="88">
        <f>Accounts!F60</f>
        <v>0</v>
      </c>
      <c r="G148" s="88">
        <f>Accounts!G60</f>
        <v>0</v>
      </c>
      <c r="H148" s="88">
        <f>Accounts!H60</f>
        <v>0</v>
      </c>
      <c r="I148" s="88">
        <f>Accounts!I60</f>
        <v>0</v>
      </c>
      <c r="J148" s="77"/>
    </row>
    <row r="149" spans="1:10" x14ac:dyDescent="0.2">
      <c r="A149" s="90"/>
      <c r="B149" s="87"/>
      <c r="C149" s="87"/>
      <c r="D149" s="87"/>
      <c r="E149" s="87"/>
      <c r="F149" s="87"/>
      <c r="G149" s="87"/>
      <c r="H149" s="87"/>
      <c r="I149" s="87"/>
      <c r="J149" s="77"/>
    </row>
    <row r="150" spans="1:10" x14ac:dyDescent="0.2">
      <c r="A150" s="76" t="str">
        <f>Accounts!A62</f>
        <v>Interest Payable</v>
      </c>
      <c r="B150" s="84">
        <f>Accounts!B62</f>
        <v>0</v>
      </c>
      <c r="C150" s="84">
        <f>Accounts!C62</f>
        <v>0</v>
      </c>
      <c r="D150" s="84">
        <f>Accounts!D62</f>
        <v>7</v>
      </c>
      <c r="E150" s="84">
        <f>Accounts!E62</f>
        <v>7</v>
      </c>
      <c r="F150" s="84">
        <f>Accounts!F62</f>
        <v>7</v>
      </c>
      <c r="G150" s="84">
        <f>Accounts!G62</f>
        <v>6</v>
      </c>
      <c r="H150" s="84">
        <f>Accounts!H62</f>
        <v>6</v>
      </c>
      <c r="I150" s="84">
        <f>Accounts!I62</f>
        <v>6</v>
      </c>
      <c r="J150" s="77"/>
    </row>
    <row r="151" spans="1:10" x14ac:dyDescent="0.2">
      <c r="A151" s="76" t="str">
        <f>Accounts!A63</f>
        <v>Interest / Dividends (Receivable)</v>
      </c>
      <c r="B151" s="84">
        <f>Accounts!B63</f>
        <v>0</v>
      </c>
      <c r="C151" s="84">
        <f>Accounts!C63</f>
        <v>0</v>
      </c>
      <c r="D151" s="84">
        <f>Accounts!D63</f>
        <v>0</v>
      </c>
      <c r="E151" s="84">
        <f>Accounts!E63</f>
        <v>0</v>
      </c>
      <c r="F151" s="84">
        <f>Accounts!F63</f>
        <v>0</v>
      </c>
      <c r="G151" s="84">
        <f>Accounts!G63</f>
        <v>0</v>
      </c>
      <c r="H151" s="84">
        <f>Accounts!H63</f>
        <v>0</v>
      </c>
      <c r="I151" s="84">
        <f>Accounts!I63</f>
        <v>0</v>
      </c>
      <c r="J151" s="77"/>
    </row>
    <row r="152" spans="1:10" x14ac:dyDescent="0.2">
      <c r="A152" s="76" t="str">
        <f>Accounts!A64</f>
        <v>Depreciation</v>
      </c>
      <c r="B152" s="84">
        <f>Accounts!B64</f>
        <v>36</v>
      </c>
      <c r="C152" s="84">
        <f>Accounts!C64</f>
        <v>138.4</v>
      </c>
      <c r="D152" s="84">
        <f>Accounts!D64</f>
        <v>173</v>
      </c>
      <c r="E152" s="84">
        <f>Accounts!E64</f>
        <v>122.7</v>
      </c>
      <c r="F152" s="84">
        <f>Accounts!F64</f>
        <v>112</v>
      </c>
      <c r="G152" s="84">
        <f>Accounts!G64</f>
        <v>103</v>
      </c>
      <c r="H152" s="84">
        <f>Accounts!H64</f>
        <v>103</v>
      </c>
      <c r="I152" s="84">
        <f>Accounts!I64</f>
        <v>103</v>
      </c>
      <c r="J152" s="77"/>
    </row>
    <row r="153" spans="1:10" x14ac:dyDescent="0.2">
      <c r="A153" s="76" t="str">
        <f>Accounts!A65</f>
        <v>Amortisation</v>
      </c>
      <c r="B153" s="84">
        <f>Accounts!B65</f>
        <v>0</v>
      </c>
      <c r="C153" s="84">
        <f>Accounts!C65</f>
        <v>0</v>
      </c>
      <c r="D153" s="84">
        <f>Accounts!D65</f>
        <v>0</v>
      </c>
      <c r="E153" s="84">
        <f>Accounts!E65</f>
        <v>0</v>
      </c>
      <c r="F153" s="84">
        <f>Accounts!F65</f>
        <v>0</v>
      </c>
      <c r="G153" s="84">
        <f>Accounts!G65</f>
        <v>0</v>
      </c>
      <c r="H153" s="84">
        <f>Accounts!H65</f>
        <v>0</v>
      </c>
      <c r="I153" s="84">
        <f>Accounts!I65</f>
        <v>0</v>
      </c>
      <c r="J153" s="77"/>
    </row>
    <row r="154" spans="1:10" x14ac:dyDescent="0.2">
      <c r="A154" s="76" t="str">
        <f>Accounts!A66</f>
        <v>Grant Amortisation (This application only)</v>
      </c>
      <c r="B154" s="337"/>
      <c r="C154" s="337"/>
      <c r="D154" s="337"/>
      <c r="E154" s="338">
        <f>Accounts!E66</f>
        <v>0</v>
      </c>
      <c r="F154" s="338">
        <f>Accounts!F66</f>
        <v>0</v>
      </c>
      <c r="G154" s="338">
        <f>Accounts!G66</f>
        <v>0</v>
      </c>
      <c r="H154" s="338">
        <f>Accounts!H66</f>
        <v>0</v>
      </c>
      <c r="I154" s="338">
        <f>Accounts!I66</f>
        <v>0</v>
      </c>
      <c r="J154" s="77"/>
    </row>
    <row r="155" spans="1:10" x14ac:dyDescent="0.2">
      <c r="A155" s="76" t="str">
        <f>Accounts!A67</f>
        <v>Remitted Profits to Ireland From Foreign Subsidiary</v>
      </c>
      <c r="B155" s="84">
        <f>Accounts!B67</f>
        <v>0</v>
      </c>
      <c r="C155" s="84">
        <f>Accounts!C67</f>
        <v>0</v>
      </c>
      <c r="D155" s="84">
        <f>Accounts!D67</f>
        <v>0</v>
      </c>
      <c r="E155" s="84">
        <f>Accounts!E67</f>
        <v>0</v>
      </c>
      <c r="F155" s="84">
        <f>Accounts!F67</f>
        <v>0</v>
      </c>
      <c r="G155" s="84">
        <f>Accounts!G67</f>
        <v>0</v>
      </c>
      <c r="H155" s="84">
        <f>Accounts!H67</f>
        <v>0</v>
      </c>
      <c r="I155" s="84">
        <f>Accounts!I67</f>
        <v>0</v>
      </c>
      <c r="J155" s="77"/>
    </row>
    <row r="156" spans="1:10" x14ac:dyDescent="0.2">
      <c r="A156" s="76" t="str">
        <f>Accounts!A68</f>
        <v>Non-Operating Expenses/(Gains)</v>
      </c>
      <c r="B156" s="84">
        <f>Accounts!B68</f>
        <v>-8</v>
      </c>
      <c r="C156" s="84">
        <f>Accounts!C68</f>
        <v>-43.5</v>
      </c>
      <c r="D156" s="84">
        <f>Accounts!D68</f>
        <v>-77.5</v>
      </c>
      <c r="E156" s="84">
        <f>Accounts!E68</f>
        <v>-53</v>
      </c>
      <c r="F156" s="84">
        <f>Accounts!F68</f>
        <v>-34</v>
      </c>
      <c r="G156" s="84">
        <f>Accounts!G68</f>
        <v>-34.4</v>
      </c>
      <c r="H156" s="84">
        <f>Accounts!H68</f>
        <v>-34.4</v>
      </c>
      <c r="I156" s="84">
        <f>Accounts!I68</f>
        <v>-34.4</v>
      </c>
      <c r="J156" s="77"/>
    </row>
    <row r="157" spans="1:10" x14ac:dyDescent="0.2">
      <c r="A157" s="90" t="str">
        <f>Accounts!A69</f>
        <v>Profit/(Loss) before Tax</v>
      </c>
      <c r="B157" s="86">
        <f>Accounts!B69</f>
        <v>141.09999999999991</v>
      </c>
      <c r="C157" s="86">
        <f>Accounts!C69</f>
        <v>837.1</v>
      </c>
      <c r="D157" s="86">
        <f>Accounts!D69</f>
        <v>236.80000000000018</v>
      </c>
      <c r="E157" s="86">
        <f>Accounts!E69</f>
        <v>-339.14999999999981</v>
      </c>
      <c r="F157" s="86">
        <f>Accounts!F69</f>
        <v>48</v>
      </c>
      <c r="G157" s="86">
        <f>Accounts!G69</f>
        <v>129.79999999999998</v>
      </c>
      <c r="H157" s="86">
        <f>Accounts!H69</f>
        <v>129.79999999999998</v>
      </c>
      <c r="I157" s="86">
        <f>Accounts!I69</f>
        <v>129.79999999999998</v>
      </c>
      <c r="J157" s="77"/>
    </row>
    <row r="158" spans="1:10" x14ac:dyDescent="0.2">
      <c r="A158" s="90"/>
      <c r="B158" s="87"/>
      <c r="C158" s="87"/>
      <c r="D158" s="87"/>
      <c r="E158" s="87"/>
      <c r="F158" s="87"/>
      <c r="G158" s="87"/>
      <c r="H158" s="87"/>
      <c r="I158" s="87"/>
      <c r="J158" s="77"/>
    </row>
    <row r="159" spans="1:10" x14ac:dyDescent="0.2">
      <c r="A159" s="76" t="str">
        <f>Accounts!A71</f>
        <v>Tax</v>
      </c>
      <c r="B159" s="84">
        <f>Accounts!B71</f>
        <v>19</v>
      </c>
      <c r="C159" s="84">
        <f>Accounts!C71</f>
        <v>107</v>
      </c>
      <c r="D159" s="84">
        <f>Accounts!D71</f>
        <v>29</v>
      </c>
      <c r="E159" s="84">
        <f>Accounts!E71</f>
        <v>-43</v>
      </c>
      <c r="F159" s="84">
        <f>Accounts!F71</f>
        <v>6</v>
      </c>
      <c r="G159" s="84">
        <f>Accounts!G71</f>
        <v>16</v>
      </c>
      <c r="H159" s="84">
        <f>Accounts!H71</f>
        <v>16</v>
      </c>
      <c r="I159" s="84">
        <f>Accounts!I71</f>
        <v>16</v>
      </c>
      <c r="J159" s="77"/>
    </row>
    <row r="160" spans="1:10" x14ac:dyDescent="0.2">
      <c r="A160" s="90" t="str">
        <f>Accounts!A72</f>
        <v>Net Profit/(Loss)</v>
      </c>
      <c r="B160" s="86">
        <f>Accounts!B72</f>
        <v>122.09999999999991</v>
      </c>
      <c r="C160" s="86">
        <f>Accounts!C72</f>
        <v>730.1</v>
      </c>
      <c r="D160" s="86">
        <f>Accounts!D72</f>
        <v>207.80000000000018</v>
      </c>
      <c r="E160" s="86">
        <f>Accounts!E72</f>
        <v>-296.14999999999981</v>
      </c>
      <c r="F160" s="86">
        <f>Accounts!F72</f>
        <v>42</v>
      </c>
      <c r="G160" s="86">
        <f>Accounts!G72</f>
        <v>113.79999999999998</v>
      </c>
      <c r="H160" s="86">
        <f>Accounts!H72</f>
        <v>113.79999999999998</v>
      </c>
      <c r="I160" s="86">
        <f>Accounts!I72</f>
        <v>113.79999999999998</v>
      </c>
      <c r="J160" s="77"/>
    </row>
    <row r="161" spans="1:10" x14ac:dyDescent="0.2">
      <c r="A161" s="90"/>
      <c r="B161" s="87"/>
      <c r="C161" s="87"/>
      <c r="D161" s="87"/>
      <c r="E161" s="87"/>
      <c r="F161" s="87"/>
      <c r="G161" s="87"/>
      <c r="H161" s="87"/>
      <c r="I161" s="87"/>
      <c r="J161" s="77"/>
    </row>
    <row r="162" spans="1:10" x14ac:dyDescent="0.2">
      <c r="A162" s="76" t="str">
        <f>Accounts!A74</f>
        <v>Dividends (see Rows 30 &amp; 31)</v>
      </c>
      <c r="B162" s="84">
        <f>Accounts!B74</f>
        <v>0</v>
      </c>
      <c r="C162" s="84">
        <f>Accounts!C74</f>
        <v>0</v>
      </c>
      <c r="D162" s="84">
        <f>Accounts!D74</f>
        <v>0</v>
      </c>
      <c r="E162" s="84">
        <f>Accounts!E74</f>
        <v>0</v>
      </c>
      <c r="F162" s="84">
        <f>Accounts!F74</f>
        <v>0</v>
      </c>
      <c r="G162" s="84">
        <f>Accounts!G74</f>
        <v>0</v>
      </c>
      <c r="H162" s="84">
        <f>Accounts!H74</f>
        <v>0</v>
      </c>
      <c r="I162" s="84">
        <f>Accounts!I74</f>
        <v>0</v>
      </c>
      <c r="J162" s="77"/>
    </row>
    <row r="163" spans="1:10" x14ac:dyDescent="0.2">
      <c r="A163" s="90" t="str">
        <f>Accounts!A75</f>
        <v>Profit Retained for the Year</v>
      </c>
      <c r="B163" s="86">
        <f>Accounts!B75</f>
        <v>122.09999999999991</v>
      </c>
      <c r="C163" s="86">
        <f>Accounts!C75</f>
        <v>730.1</v>
      </c>
      <c r="D163" s="86">
        <f>Accounts!D75</f>
        <v>207.80000000000018</v>
      </c>
      <c r="E163" s="86">
        <f>Accounts!E75</f>
        <v>-296.14999999999981</v>
      </c>
      <c r="F163" s="86">
        <f>Accounts!F75</f>
        <v>42</v>
      </c>
      <c r="G163" s="86">
        <f>Accounts!G75</f>
        <v>113.79999999999998</v>
      </c>
      <c r="H163" s="86">
        <f>Accounts!H75</f>
        <v>113.79999999999998</v>
      </c>
      <c r="I163" s="86">
        <f>Accounts!I75</f>
        <v>113.79999999999998</v>
      </c>
      <c r="J163" s="77"/>
    </row>
    <row r="164" spans="1:10" x14ac:dyDescent="0.2">
      <c r="A164" s="339"/>
      <c r="B164" s="340"/>
      <c r="C164" s="340"/>
      <c r="D164" s="340"/>
      <c r="E164" s="340"/>
      <c r="F164" s="340"/>
      <c r="G164" s="340"/>
      <c r="H164" s="340"/>
      <c r="I164" s="340"/>
      <c r="J164" s="95"/>
    </row>
    <row r="165" spans="1:10" x14ac:dyDescent="0.2">
      <c r="A165" s="329"/>
      <c r="B165" s="87"/>
      <c r="C165" s="87"/>
      <c r="D165" s="87"/>
      <c r="E165" s="87"/>
      <c r="F165" s="87"/>
      <c r="G165" s="87"/>
      <c r="H165" s="87"/>
      <c r="I165" s="87"/>
      <c r="J165" s="78"/>
    </row>
    <row r="166" spans="1:10" x14ac:dyDescent="0.2">
      <c r="A166" s="71" t="s">
        <v>310</v>
      </c>
      <c r="B166" s="332"/>
      <c r="C166" s="332"/>
      <c r="D166" s="332"/>
      <c r="E166" s="332"/>
      <c r="F166" s="332"/>
      <c r="G166" s="332"/>
      <c r="H166" s="332"/>
      <c r="I166" s="332"/>
      <c r="J166" s="72"/>
    </row>
    <row r="167" spans="1:10" x14ac:dyDescent="0.2">
      <c r="A167" s="341" t="str">
        <f>IF(Accounts!A4="[Insert Company Name]","Balance Sheet",CONCATENATE("Balance Sheet: ",Accounts!A4))</f>
        <v>Balance Sheet: ACME Corp</v>
      </c>
      <c r="B167" s="342"/>
      <c r="C167" s="342"/>
      <c r="D167" s="343" t="s">
        <v>227</v>
      </c>
      <c r="E167" s="342"/>
      <c r="F167" s="343" t="e">
        <f>+#REF!</f>
        <v>#REF!</v>
      </c>
      <c r="G167" s="342"/>
      <c r="H167" s="342"/>
      <c r="I167" s="342"/>
      <c r="J167" s="44"/>
    </row>
    <row r="168" spans="1:10" x14ac:dyDescent="0.2">
      <c r="A168" s="73" t="str">
        <f>Accounts!A81</f>
        <v>Year End</v>
      </c>
      <c r="B168" s="74">
        <f>Accounts!B81</f>
        <v>43465</v>
      </c>
      <c r="C168" s="74">
        <f>Accounts!C81</f>
        <v>43830</v>
      </c>
      <c r="D168" s="74">
        <f>Accounts!D81</f>
        <v>44196</v>
      </c>
      <c r="E168" s="74">
        <f>Accounts!E81</f>
        <v>44561</v>
      </c>
      <c r="F168" s="74">
        <f>Accounts!F81</f>
        <v>44926</v>
      </c>
      <c r="G168" s="74">
        <f>Accounts!G81</f>
        <v>45291</v>
      </c>
      <c r="H168" s="74">
        <f>Accounts!H81</f>
        <v>45656</v>
      </c>
      <c r="I168" s="74">
        <f>Accounts!I81</f>
        <v>46022</v>
      </c>
      <c r="J168" s="77"/>
    </row>
    <row r="169" spans="1:10" x14ac:dyDescent="0.2">
      <c r="A169" s="90"/>
      <c r="B169" s="47" t="str">
        <f>Accounts!B82</f>
        <v>€000's</v>
      </c>
      <c r="C169" s="47" t="str">
        <f>Accounts!C82</f>
        <v>€000's</v>
      </c>
      <c r="D169" s="47" t="str">
        <f>Accounts!D82</f>
        <v>€000's</v>
      </c>
      <c r="E169" s="47" t="str">
        <f>Accounts!E82</f>
        <v>€000's</v>
      </c>
      <c r="F169" s="47" t="str">
        <f>Accounts!F82</f>
        <v>€000's</v>
      </c>
      <c r="G169" s="47" t="str">
        <f>Accounts!G82</f>
        <v>€000's</v>
      </c>
      <c r="H169" s="47" t="str">
        <f>Accounts!H82</f>
        <v>€000's</v>
      </c>
      <c r="I169" s="47" t="str">
        <f>Accounts!I82</f>
        <v>€000's</v>
      </c>
      <c r="J169" s="33"/>
    </row>
    <row r="170" spans="1:10" x14ac:dyDescent="0.2">
      <c r="A170" s="90" t="str">
        <f>Accounts!A83</f>
        <v>Fixed Assets</v>
      </c>
      <c r="B170" s="269"/>
      <c r="C170" s="269"/>
      <c r="D170" s="84"/>
      <c r="E170" s="302"/>
      <c r="F170" s="302"/>
      <c r="G170" s="302"/>
      <c r="H170" s="302"/>
      <c r="I170" s="302"/>
      <c r="J170" s="77"/>
    </row>
    <row r="171" spans="1:10" x14ac:dyDescent="0.2">
      <c r="A171" s="76" t="str">
        <f>Accounts!A84</f>
        <v xml:space="preserve">   Intangible</v>
      </c>
      <c r="B171" s="84">
        <f>Accounts!B84</f>
        <v>0</v>
      </c>
      <c r="C171" s="84">
        <f>Accounts!C84</f>
        <v>0</v>
      </c>
      <c r="D171" s="84">
        <f>Accounts!D84</f>
        <v>0</v>
      </c>
      <c r="E171" s="84">
        <f>Accounts!E84</f>
        <v>0</v>
      </c>
      <c r="F171" s="84">
        <f>Accounts!F84</f>
        <v>0</v>
      </c>
      <c r="G171" s="84">
        <f>Accounts!G84</f>
        <v>0</v>
      </c>
      <c r="H171" s="84">
        <f>Accounts!H84</f>
        <v>0</v>
      </c>
      <c r="I171" s="84">
        <f>Accounts!I84</f>
        <v>0</v>
      </c>
      <c r="J171" s="77"/>
    </row>
    <row r="172" spans="1:10" x14ac:dyDescent="0.2">
      <c r="A172" s="76" t="str">
        <f>Accounts!A85</f>
        <v xml:space="preserve">   Tangible Fixed Assets</v>
      </c>
      <c r="B172" s="84">
        <f>Accounts!B85</f>
        <v>823</v>
      </c>
      <c r="C172" s="84">
        <f>Accounts!C85</f>
        <v>1403</v>
      </c>
      <c r="D172" s="84">
        <f>Accounts!D85</f>
        <v>1381</v>
      </c>
      <c r="E172" s="84">
        <f>Accounts!E85</f>
        <v>1287.8</v>
      </c>
      <c r="F172" s="84">
        <f>Accounts!F85</f>
        <v>1205.8</v>
      </c>
      <c r="G172" s="84">
        <f>Accounts!G85</f>
        <v>1132.3</v>
      </c>
      <c r="H172" s="84">
        <f>Accounts!H85</f>
        <v>1058.8</v>
      </c>
      <c r="I172" s="84">
        <f>Accounts!I85</f>
        <v>985.3</v>
      </c>
      <c r="J172" s="77"/>
    </row>
    <row r="173" spans="1:10" x14ac:dyDescent="0.2">
      <c r="A173" s="76" t="str">
        <f>Accounts!A86</f>
        <v xml:space="preserve">   Investments</v>
      </c>
      <c r="B173" s="84">
        <f>Accounts!B86</f>
        <v>0</v>
      </c>
      <c r="C173" s="84">
        <f>Accounts!C86</f>
        <v>0</v>
      </c>
      <c r="D173" s="84">
        <f>Accounts!D86</f>
        <v>0</v>
      </c>
      <c r="E173" s="84">
        <f>Accounts!E86</f>
        <v>0</v>
      </c>
      <c r="F173" s="84">
        <f>Accounts!F86</f>
        <v>0</v>
      </c>
      <c r="G173" s="84">
        <f>Accounts!G86</f>
        <v>0</v>
      </c>
      <c r="H173" s="84">
        <f>Accounts!H86</f>
        <v>0</v>
      </c>
      <c r="I173" s="84">
        <f>Accounts!I86</f>
        <v>0</v>
      </c>
      <c r="J173" s="77"/>
    </row>
    <row r="174" spans="1:10" x14ac:dyDescent="0.2">
      <c r="A174" s="90" t="str">
        <f>Accounts!A87</f>
        <v>Total Fixed Assets</v>
      </c>
      <c r="B174" s="86">
        <f>Accounts!B87</f>
        <v>823</v>
      </c>
      <c r="C174" s="86">
        <f>Accounts!C87</f>
        <v>1403</v>
      </c>
      <c r="D174" s="86">
        <f>Accounts!D87</f>
        <v>1381</v>
      </c>
      <c r="E174" s="86">
        <f>Accounts!E87</f>
        <v>1287.8</v>
      </c>
      <c r="F174" s="86">
        <f>Accounts!F87</f>
        <v>1205.8</v>
      </c>
      <c r="G174" s="86">
        <f>Accounts!G87</f>
        <v>1132.3</v>
      </c>
      <c r="H174" s="86">
        <f>Accounts!H87</f>
        <v>1058.8</v>
      </c>
      <c r="I174" s="86">
        <f>Accounts!I87</f>
        <v>985.3</v>
      </c>
      <c r="J174" s="77"/>
    </row>
    <row r="175" spans="1:10" x14ac:dyDescent="0.2">
      <c r="A175" s="76"/>
      <c r="B175" s="84"/>
      <c r="C175" s="84"/>
      <c r="D175" s="84"/>
      <c r="E175" s="84"/>
      <c r="F175" s="84"/>
      <c r="G175" s="84"/>
      <c r="H175" s="84"/>
      <c r="I175" s="84"/>
      <c r="J175" s="77"/>
    </row>
    <row r="176" spans="1:10" x14ac:dyDescent="0.2">
      <c r="A176" s="90" t="str">
        <f>Accounts!A89</f>
        <v>Current Assets</v>
      </c>
      <c r="B176" s="84"/>
      <c r="C176" s="84"/>
      <c r="D176" s="84"/>
      <c r="E176" s="84"/>
      <c r="F176" s="84"/>
      <c r="G176" s="84"/>
      <c r="H176" s="84"/>
      <c r="I176" s="84"/>
      <c r="J176" s="77"/>
    </row>
    <row r="177" spans="1:10" x14ac:dyDescent="0.2">
      <c r="A177" s="76" t="str">
        <f>Accounts!A90</f>
        <v xml:space="preserve">   Inventory</v>
      </c>
      <c r="B177" s="84">
        <f>Accounts!B90</f>
        <v>202</v>
      </c>
      <c r="C177" s="84">
        <f>Accounts!C90</f>
        <v>198</v>
      </c>
      <c r="D177" s="84">
        <f>Accounts!D90</f>
        <v>197.5</v>
      </c>
      <c r="E177" s="84">
        <f>Accounts!E90</f>
        <v>197.5</v>
      </c>
      <c r="F177" s="84">
        <f>Accounts!F90</f>
        <v>197</v>
      </c>
      <c r="G177" s="84">
        <f>Accounts!G90</f>
        <v>197</v>
      </c>
      <c r="H177" s="84">
        <f>Accounts!H90</f>
        <v>197</v>
      </c>
      <c r="I177" s="84">
        <f>Accounts!I90</f>
        <v>197</v>
      </c>
      <c r="J177" s="77"/>
    </row>
    <row r="178" spans="1:10" x14ac:dyDescent="0.2">
      <c r="A178" s="76" t="str">
        <f>Accounts!A91</f>
        <v xml:space="preserve">   Trade Debtors</v>
      </c>
      <c r="B178" s="84">
        <f>Accounts!B91</f>
        <v>493</v>
      </c>
      <c r="C178" s="84">
        <f>Accounts!C91</f>
        <v>684</v>
      </c>
      <c r="D178" s="84">
        <f>Accounts!D91</f>
        <v>526</v>
      </c>
      <c r="E178" s="84">
        <f>Accounts!E91</f>
        <v>430</v>
      </c>
      <c r="F178" s="84">
        <f>Accounts!F91</f>
        <v>587.5</v>
      </c>
      <c r="G178" s="84">
        <f>Accounts!G91</f>
        <v>639.6</v>
      </c>
      <c r="H178" s="84">
        <f>Accounts!H91</f>
        <v>639.6</v>
      </c>
      <c r="I178" s="84">
        <f>Accounts!I91</f>
        <v>639.6</v>
      </c>
      <c r="J178" s="77"/>
    </row>
    <row r="179" spans="1:10" x14ac:dyDescent="0.2">
      <c r="A179" s="76" t="str">
        <f>Accounts!A92</f>
        <v xml:space="preserve">   Bank/Cash</v>
      </c>
      <c r="B179" s="84">
        <f>Accounts!B92</f>
        <v>302</v>
      </c>
      <c r="C179" s="84">
        <f>Accounts!C92</f>
        <v>272</v>
      </c>
      <c r="D179" s="84">
        <f>Accounts!D92</f>
        <v>542</v>
      </c>
      <c r="E179" s="84">
        <f>Accounts!E92</f>
        <v>0</v>
      </c>
      <c r="F179" s="84">
        <f>Accounts!F92</f>
        <v>0</v>
      </c>
      <c r="G179" s="84">
        <f>Accounts!G92</f>
        <v>0</v>
      </c>
      <c r="H179" s="84">
        <f>Accounts!H92</f>
        <v>0</v>
      </c>
      <c r="I179" s="84">
        <f>Accounts!I92</f>
        <v>0</v>
      </c>
      <c r="J179" s="77"/>
    </row>
    <row r="180" spans="1:10" x14ac:dyDescent="0.2">
      <c r="A180" s="76" t="str">
        <f>Accounts!A93</f>
        <v xml:space="preserve">   Connected Parties / Inter Company Loans</v>
      </c>
      <c r="B180" s="84">
        <f>Accounts!B93</f>
        <v>0</v>
      </c>
      <c r="C180" s="84">
        <f>Accounts!C93</f>
        <v>0</v>
      </c>
      <c r="D180" s="84">
        <f>Accounts!D93</f>
        <v>0</v>
      </c>
      <c r="E180" s="84">
        <f>Accounts!E93</f>
        <v>0</v>
      </c>
      <c r="F180" s="84">
        <f>Accounts!F93</f>
        <v>0</v>
      </c>
      <c r="G180" s="84">
        <f>Accounts!G93</f>
        <v>0</v>
      </c>
      <c r="H180" s="84">
        <f>Accounts!H93</f>
        <v>0</v>
      </c>
      <c r="I180" s="84">
        <f>Accounts!I93</f>
        <v>0</v>
      </c>
      <c r="J180" s="77"/>
    </row>
    <row r="181" spans="1:10" x14ac:dyDescent="0.2">
      <c r="A181" s="76" t="str">
        <f>Accounts!A94</f>
        <v xml:space="preserve">   Prepayments / Other Debtors</v>
      </c>
      <c r="B181" s="84">
        <f>Accounts!B94</f>
        <v>155</v>
      </c>
      <c r="C181" s="84">
        <f>Accounts!C94</f>
        <v>247</v>
      </c>
      <c r="D181" s="84">
        <f>Accounts!D94</f>
        <v>120</v>
      </c>
      <c r="E181" s="84">
        <f>Accounts!E94</f>
        <v>120.4</v>
      </c>
      <c r="F181" s="84">
        <f>Accounts!F94</f>
        <v>110</v>
      </c>
      <c r="G181" s="84">
        <f>Accounts!G94</f>
        <v>100</v>
      </c>
      <c r="H181" s="84">
        <f>Accounts!H94</f>
        <v>100</v>
      </c>
      <c r="I181" s="84">
        <f>Accounts!I94</f>
        <v>100</v>
      </c>
      <c r="J181" s="77"/>
    </row>
    <row r="182" spans="1:10" x14ac:dyDescent="0.2">
      <c r="A182" s="90" t="str">
        <f>Accounts!A95</f>
        <v>Total Current Assets</v>
      </c>
      <c r="B182" s="86">
        <f>Accounts!B95</f>
        <v>1152</v>
      </c>
      <c r="C182" s="86">
        <f>Accounts!C95</f>
        <v>1401</v>
      </c>
      <c r="D182" s="86">
        <f>Accounts!D95</f>
        <v>1385.5</v>
      </c>
      <c r="E182" s="86">
        <f>Accounts!E95</f>
        <v>747.9</v>
      </c>
      <c r="F182" s="86">
        <f>Accounts!F95</f>
        <v>894.5</v>
      </c>
      <c r="G182" s="86">
        <f>Accounts!G95</f>
        <v>936.6</v>
      </c>
      <c r="H182" s="86">
        <f>Accounts!H95</f>
        <v>936.6</v>
      </c>
      <c r="I182" s="86">
        <f>Accounts!I95</f>
        <v>936.6</v>
      </c>
      <c r="J182" s="77"/>
    </row>
    <row r="183" spans="1:10" x14ac:dyDescent="0.2">
      <c r="A183" s="76"/>
      <c r="B183" s="84"/>
      <c r="C183" s="84"/>
      <c r="D183" s="84"/>
      <c r="E183" s="84"/>
      <c r="F183" s="84"/>
      <c r="G183" s="84"/>
      <c r="H183" s="84"/>
      <c r="I183" s="84"/>
      <c r="J183" s="77"/>
    </row>
    <row r="184" spans="1:10" x14ac:dyDescent="0.2">
      <c r="A184" s="90" t="str">
        <f>Accounts!A97</f>
        <v>Current Liabilities</v>
      </c>
      <c r="B184" s="84"/>
      <c r="C184" s="84"/>
      <c r="D184" s="84"/>
      <c r="E184" s="84"/>
      <c r="F184" s="84"/>
      <c r="G184" s="84"/>
      <c r="H184" s="84"/>
      <c r="I184" s="84"/>
      <c r="J184" s="77"/>
    </row>
    <row r="185" spans="1:10" x14ac:dyDescent="0.2">
      <c r="A185" s="76" t="str">
        <f>Accounts!A98</f>
        <v xml:space="preserve">   Bank Overdraft (Facility Limit in Projected Years)</v>
      </c>
      <c r="B185" s="84">
        <f>Accounts!B98</f>
        <v>0</v>
      </c>
      <c r="C185" s="84">
        <f>Accounts!C98</f>
        <v>0</v>
      </c>
      <c r="D185" s="84">
        <f>Accounts!D98</f>
        <v>0</v>
      </c>
      <c r="E185" s="84">
        <f>Accounts!E98</f>
        <v>0</v>
      </c>
      <c r="F185" s="84">
        <f>Accounts!F98</f>
        <v>0</v>
      </c>
      <c r="G185" s="84">
        <f>Accounts!G98</f>
        <v>0</v>
      </c>
      <c r="H185" s="84">
        <f>Accounts!H98</f>
        <v>0</v>
      </c>
      <c r="I185" s="84">
        <f>Accounts!I98</f>
        <v>0</v>
      </c>
      <c r="J185" s="77"/>
    </row>
    <row r="186" spans="1:10" x14ac:dyDescent="0.2">
      <c r="A186" s="76" t="str">
        <f>Accounts!A99</f>
        <v xml:space="preserve">   Invoice discounting (YE Balance)</v>
      </c>
      <c r="B186" s="84">
        <f>Accounts!B99</f>
        <v>0</v>
      </c>
      <c r="C186" s="84">
        <f>Accounts!C99</f>
        <v>0</v>
      </c>
      <c r="D186" s="84">
        <f>Accounts!D99</f>
        <v>0</v>
      </c>
      <c r="E186" s="84">
        <f>Accounts!E99</f>
        <v>0</v>
      </c>
      <c r="F186" s="84">
        <f>Accounts!F99</f>
        <v>0</v>
      </c>
      <c r="G186" s="84">
        <f>Accounts!G99</f>
        <v>0</v>
      </c>
      <c r="H186" s="84">
        <f>Accounts!H99</f>
        <v>0</v>
      </c>
      <c r="I186" s="84">
        <f>Accounts!I99</f>
        <v>0</v>
      </c>
      <c r="J186" s="77"/>
    </row>
    <row r="187" spans="1:10" x14ac:dyDescent="0.2">
      <c r="A187" s="76" t="str">
        <f>Accounts!A100</f>
        <v xml:space="preserve">   Short Term loans / Leasing (&lt;1 year)</v>
      </c>
      <c r="B187" s="84">
        <f>Accounts!B100</f>
        <v>10</v>
      </c>
      <c r="C187" s="84">
        <f>Accounts!C100</f>
        <v>11</v>
      </c>
      <c r="D187" s="84">
        <f>Accounts!D100</f>
        <v>54.449999999999989</v>
      </c>
      <c r="E187" s="84">
        <f>Accounts!E100</f>
        <v>53.5</v>
      </c>
      <c r="F187" s="84">
        <f>Accounts!F100</f>
        <v>42</v>
      </c>
      <c r="G187" s="84">
        <f>Accounts!G100</f>
        <v>22</v>
      </c>
      <c r="H187" s="84">
        <f>Accounts!H100</f>
        <v>22</v>
      </c>
      <c r="I187" s="84">
        <f>Accounts!I100</f>
        <v>22</v>
      </c>
      <c r="J187" s="77"/>
    </row>
    <row r="188" spans="1:10" x14ac:dyDescent="0.2">
      <c r="A188" s="76" t="str">
        <f>Accounts!A101</f>
        <v xml:space="preserve">   Trade Creditors</v>
      </c>
      <c r="B188" s="84">
        <f>Accounts!B101</f>
        <v>252</v>
      </c>
      <c r="C188" s="84">
        <f>Accounts!C101</f>
        <v>396</v>
      </c>
      <c r="D188" s="84">
        <f>Accounts!D101</f>
        <v>109</v>
      </c>
      <c r="E188" s="84">
        <f>Accounts!E101</f>
        <v>133.6</v>
      </c>
      <c r="F188" s="84">
        <f>Accounts!F101</f>
        <v>189</v>
      </c>
      <c r="G188" s="84">
        <f>Accounts!G101</f>
        <v>207.5</v>
      </c>
      <c r="H188" s="84">
        <f>Accounts!H101</f>
        <v>207.5</v>
      </c>
      <c r="I188" s="84">
        <f>Accounts!I101</f>
        <v>207.5</v>
      </c>
      <c r="J188" s="77"/>
    </row>
    <row r="189" spans="1:10" x14ac:dyDescent="0.2">
      <c r="A189" s="76" t="str">
        <f>Accounts!A102</f>
        <v xml:space="preserve">   Accruals / Other Creditors</v>
      </c>
      <c r="B189" s="84">
        <f>Accounts!B102</f>
        <v>330</v>
      </c>
      <c r="C189" s="84">
        <f>Accounts!C102</f>
        <v>286</v>
      </c>
      <c r="D189" s="84">
        <f>Accounts!D102</f>
        <v>198</v>
      </c>
      <c r="E189" s="84">
        <f>Accounts!E102</f>
        <v>161</v>
      </c>
      <c r="F189" s="84">
        <f>Accounts!F102</f>
        <v>147.1</v>
      </c>
      <c r="G189" s="84">
        <f>Accounts!G102</f>
        <v>116.60000000000001</v>
      </c>
      <c r="H189" s="84">
        <f>Accounts!H102</f>
        <v>116.60000000000001</v>
      </c>
      <c r="I189" s="84">
        <f>Accounts!I102</f>
        <v>116.60000000000001</v>
      </c>
      <c r="J189" s="77"/>
    </row>
    <row r="190" spans="1:10" x14ac:dyDescent="0.2">
      <c r="A190" s="90" t="str">
        <f>Accounts!A103</f>
        <v>Total Current Liabilities</v>
      </c>
      <c r="B190" s="86">
        <f>Accounts!B103</f>
        <v>592</v>
      </c>
      <c r="C190" s="86">
        <f>Accounts!C103</f>
        <v>693</v>
      </c>
      <c r="D190" s="86">
        <f>Accounts!D103</f>
        <v>361.45</v>
      </c>
      <c r="E190" s="86">
        <f>Accounts!E103</f>
        <v>348.1</v>
      </c>
      <c r="F190" s="86">
        <f>Accounts!F103</f>
        <v>378.1</v>
      </c>
      <c r="G190" s="86">
        <f>Accounts!G103</f>
        <v>346.1</v>
      </c>
      <c r="H190" s="86">
        <f>Accounts!H103</f>
        <v>346.1</v>
      </c>
      <c r="I190" s="86">
        <f>Accounts!I103</f>
        <v>346.1</v>
      </c>
      <c r="J190" s="77"/>
    </row>
    <row r="191" spans="1:10" x14ac:dyDescent="0.2">
      <c r="A191" s="76"/>
      <c r="B191" s="84"/>
      <c r="C191" s="84"/>
      <c r="D191" s="84"/>
      <c r="E191" s="84"/>
      <c r="F191" s="84"/>
      <c r="G191" s="84"/>
      <c r="H191" s="84"/>
      <c r="I191" s="84"/>
      <c r="J191" s="77"/>
    </row>
    <row r="192" spans="1:10" x14ac:dyDescent="0.2">
      <c r="A192" s="90" t="str">
        <f>Accounts!A105</f>
        <v>Net Current Assets</v>
      </c>
      <c r="B192" s="88">
        <f>Accounts!B105</f>
        <v>560</v>
      </c>
      <c r="C192" s="88">
        <f>Accounts!C105</f>
        <v>708</v>
      </c>
      <c r="D192" s="88">
        <f>Accounts!D105</f>
        <v>1024.05</v>
      </c>
      <c r="E192" s="88">
        <f>Accounts!E105</f>
        <v>399.79999999999995</v>
      </c>
      <c r="F192" s="88">
        <f>Accounts!F105</f>
        <v>516.4</v>
      </c>
      <c r="G192" s="88">
        <f>Accounts!G105</f>
        <v>590.5</v>
      </c>
      <c r="H192" s="88">
        <f>Accounts!H105</f>
        <v>590.5</v>
      </c>
      <c r="I192" s="88">
        <f>Accounts!I105</f>
        <v>590.5</v>
      </c>
      <c r="J192" s="77"/>
    </row>
    <row r="193" spans="1:10" x14ac:dyDescent="0.2">
      <c r="A193" s="90"/>
      <c r="B193" s="87"/>
      <c r="C193" s="87"/>
      <c r="D193" s="87"/>
      <c r="E193" s="87"/>
      <c r="F193" s="87"/>
      <c r="G193" s="87"/>
      <c r="H193" s="87"/>
      <c r="I193" s="87"/>
      <c r="J193" s="77"/>
    </row>
    <row r="194" spans="1:10" x14ac:dyDescent="0.2">
      <c r="A194" s="90" t="str">
        <f>Accounts!A107</f>
        <v xml:space="preserve"> Liabilities &gt; 1 Year</v>
      </c>
      <c r="B194" s="84"/>
      <c r="C194" s="84"/>
      <c r="D194" s="84"/>
      <c r="E194" s="84"/>
      <c r="F194" s="84"/>
      <c r="G194" s="84"/>
      <c r="H194" s="84"/>
      <c r="I194" s="84"/>
      <c r="J194" s="77"/>
    </row>
    <row r="195" spans="1:10" x14ac:dyDescent="0.2">
      <c r="A195" s="76" t="str">
        <f>Accounts!A108</f>
        <v xml:space="preserve">  Long Term Loans</v>
      </c>
      <c r="B195" s="84">
        <f>Accounts!B108</f>
        <v>0</v>
      </c>
      <c r="C195" s="84">
        <f>Accounts!C108</f>
        <v>0</v>
      </c>
      <c r="D195" s="84">
        <f>Accounts!D108</f>
        <v>88</v>
      </c>
      <c r="E195" s="84">
        <f>Accounts!E108</f>
        <v>43.5</v>
      </c>
      <c r="F195" s="84">
        <f>Accounts!F108</f>
        <v>12</v>
      </c>
      <c r="G195" s="84">
        <f>Accounts!G108</f>
        <v>0</v>
      </c>
      <c r="H195" s="84">
        <f>Accounts!H108</f>
        <v>0</v>
      </c>
      <c r="I195" s="84">
        <f>Accounts!I108</f>
        <v>0</v>
      </c>
      <c r="J195" s="77"/>
    </row>
    <row r="196" spans="1:10" x14ac:dyDescent="0.2">
      <c r="A196" s="76" t="str">
        <f>Accounts!A109</f>
        <v xml:space="preserve">  Leases</v>
      </c>
      <c r="B196" s="84">
        <f>Accounts!B109</f>
        <v>0</v>
      </c>
      <c r="C196" s="84">
        <f>Accounts!C109</f>
        <v>0</v>
      </c>
      <c r="D196" s="84">
        <f>Accounts!D109</f>
        <v>0</v>
      </c>
      <c r="E196" s="84">
        <f>Accounts!E109</f>
        <v>0</v>
      </c>
      <c r="F196" s="84">
        <f>Accounts!F109</f>
        <v>0</v>
      </c>
      <c r="G196" s="84">
        <f>Accounts!G109</f>
        <v>0</v>
      </c>
      <c r="H196" s="84">
        <f>Accounts!H109</f>
        <v>0</v>
      </c>
      <c r="I196" s="84">
        <f>Accounts!I109</f>
        <v>0</v>
      </c>
      <c r="J196" s="77"/>
    </row>
    <row r="197" spans="1:10" x14ac:dyDescent="0.2">
      <c r="A197" s="76" t="str">
        <f>Accounts!A110</f>
        <v xml:space="preserve">  Connected Parties / Inter Company Loans</v>
      </c>
      <c r="B197" s="84">
        <f>Accounts!B110</f>
        <v>0</v>
      </c>
      <c r="C197" s="84">
        <f>Accounts!C110</f>
        <v>0</v>
      </c>
      <c r="D197" s="84">
        <f>Accounts!D110</f>
        <v>0</v>
      </c>
      <c r="E197" s="84">
        <f>Accounts!E110</f>
        <v>0</v>
      </c>
      <c r="F197" s="84">
        <f>Accounts!F110</f>
        <v>0</v>
      </c>
      <c r="G197" s="84">
        <f>Accounts!G110</f>
        <v>0</v>
      </c>
      <c r="H197" s="84">
        <f>Accounts!H110</f>
        <v>0</v>
      </c>
      <c r="I197" s="84">
        <f>Accounts!I110</f>
        <v>0</v>
      </c>
      <c r="J197" s="77"/>
    </row>
    <row r="198" spans="1:10" x14ac:dyDescent="0.2">
      <c r="A198" s="76" t="str">
        <f>Accounts!A111</f>
        <v xml:space="preserve">  Directors / Shareholders Loans</v>
      </c>
      <c r="B198" s="84">
        <f>Accounts!B111</f>
        <v>0</v>
      </c>
      <c r="C198" s="84">
        <f>Accounts!C111</f>
        <v>0</v>
      </c>
      <c r="D198" s="84">
        <f>Accounts!D111</f>
        <v>0</v>
      </c>
      <c r="E198" s="84">
        <f>Accounts!E111</f>
        <v>0</v>
      </c>
      <c r="F198" s="84">
        <f>Accounts!F111</f>
        <v>0</v>
      </c>
      <c r="G198" s="84">
        <f>Accounts!G111</f>
        <v>0</v>
      </c>
      <c r="H198" s="84">
        <f>Accounts!H111</f>
        <v>0</v>
      </c>
      <c r="I198" s="84">
        <f>Accounts!I111</f>
        <v>0</v>
      </c>
      <c r="J198" s="77"/>
    </row>
    <row r="199" spans="1:10" x14ac:dyDescent="0.2">
      <c r="A199" s="76" t="str">
        <f>Accounts!A112</f>
        <v xml:space="preserve">  EI Grant Liability  (This application only)</v>
      </c>
      <c r="B199" s="337"/>
      <c r="C199" s="337"/>
      <c r="D199" s="337"/>
      <c r="E199" s="84">
        <f>Accounts!E112</f>
        <v>0</v>
      </c>
      <c r="F199" s="84">
        <f>Accounts!F112</f>
        <v>0</v>
      </c>
      <c r="G199" s="84">
        <f>Accounts!G112</f>
        <v>0</v>
      </c>
      <c r="H199" s="84">
        <f>Accounts!H112</f>
        <v>0</v>
      </c>
      <c r="I199" s="84">
        <f>Accounts!I112</f>
        <v>0</v>
      </c>
      <c r="J199" s="77"/>
    </row>
    <row r="200" spans="1:10" x14ac:dyDescent="0.2">
      <c r="A200" s="76" t="str">
        <f>Accounts!A113</f>
        <v xml:space="preserve">  Other Long Term Liabilities incl  EI Repayable Advances  </v>
      </c>
      <c r="B200" s="84">
        <f>Accounts!B113</f>
        <v>0</v>
      </c>
      <c r="C200" s="84">
        <f>Accounts!C113</f>
        <v>0</v>
      </c>
      <c r="D200" s="84">
        <f>Accounts!D113</f>
        <v>0</v>
      </c>
      <c r="E200" s="84">
        <f>Accounts!E113</f>
        <v>0</v>
      </c>
      <c r="F200" s="84">
        <f>Accounts!F113</f>
        <v>0</v>
      </c>
      <c r="G200" s="84">
        <f>Accounts!G113</f>
        <v>0</v>
      </c>
      <c r="H200" s="84">
        <f>Accounts!H113</f>
        <v>0</v>
      </c>
      <c r="I200" s="84">
        <f>Accounts!I113</f>
        <v>0</v>
      </c>
      <c r="J200" s="77"/>
    </row>
    <row r="201" spans="1:10" x14ac:dyDescent="0.2">
      <c r="A201" s="90" t="str">
        <f>Accounts!A114</f>
        <v>Total Liabilities &gt; 1 Year</v>
      </c>
      <c r="B201" s="86">
        <f>Accounts!B114</f>
        <v>0</v>
      </c>
      <c r="C201" s="86">
        <f>Accounts!C114</f>
        <v>0</v>
      </c>
      <c r="D201" s="86">
        <f>Accounts!D114</f>
        <v>88</v>
      </c>
      <c r="E201" s="86">
        <f>Accounts!E114</f>
        <v>43.5</v>
      </c>
      <c r="F201" s="86">
        <f>Accounts!F114</f>
        <v>12</v>
      </c>
      <c r="G201" s="86">
        <f>Accounts!G114</f>
        <v>0</v>
      </c>
      <c r="H201" s="86">
        <f>Accounts!H114</f>
        <v>0</v>
      </c>
      <c r="I201" s="86">
        <f>Accounts!I114</f>
        <v>0</v>
      </c>
      <c r="J201" s="77"/>
    </row>
    <row r="202" spans="1:10" x14ac:dyDescent="0.2">
      <c r="A202" s="76"/>
      <c r="B202" s="84"/>
      <c r="C202" s="84"/>
      <c r="D202" s="84"/>
      <c r="E202" s="84"/>
      <c r="F202" s="84"/>
      <c r="G202" s="84"/>
      <c r="H202" s="84"/>
      <c r="I202" s="84"/>
      <c r="J202" s="77"/>
    </row>
    <row r="203" spans="1:10" x14ac:dyDescent="0.2">
      <c r="A203" s="90" t="str">
        <f>Accounts!A116</f>
        <v>Net Assets</v>
      </c>
      <c r="B203" s="88">
        <f>Accounts!B116</f>
        <v>1383</v>
      </c>
      <c r="C203" s="88">
        <f>Accounts!C116</f>
        <v>2111</v>
      </c>
      <c r="D203" s="88">
        <f>Accounts!D116</f>
        <v>2405</v>
      </c>
      <c r="E203" s="88">
        <f>Accounts!E116</f>
        <v>1688</v>
      </c>
      <c r="F203" s="88">
        <f>Accounts!F116</f>
        <v>1722</v>
      </c>
      <c r="G203" s="88">
        <f>Accounts!G116</f>
        <v>1723</v>
      </c>
      <c r="H203" s="88">
        <f>Accounts!H116</f>
        <v>1649</v>
      </c>
      <c r="I203" s="88">
        <f>Accounts!I116</f>
        <v>1576</v>
      </c>
      <c r="J203" s="77"/>
    </row>
    <row r="204" spans="1:10" x14ac:dyDescent="0.2">
      <c r="A204" s="90"/>
      <c r="B204" s="84"/>
      <c r="C204" s="84"/>
      <c r="D204" s="84"/>
      <c r="E204" s="344"/>
      <c r="F204" s="84"/>
      <c r="G204" s="84"/>
      <c r="H204" s="84"/>
      <c r="I204" s="84"/>
      <c r="J204" s="77"/>
    </row>
    <row r="205" spans="1:10" x14ac:dyDescent="0.2">
      <c r="A205" s="90" t="str">
        <f>Accounts!A118</f>
        <v>Financed by</v>
      </c>
      <c r="B205" s="84"/>
      <c r="C205" s="84"/>
      <c r="D205" s="345"/>
      <c r="E205" s="84"/>
      <c r="F205" s="84"/>
      <c r="G205" s="84"/>
      <c r="H205" s="84"/>
      <c r="I205" s="84"/>
      <c r="J205" s="77"/>
    </row>
    <row r="206" spans="1:10" x14ac:dyDescent="0.2">
      <c r="A206" s="76" t="str">
        <f>Accounts!A119</f>
        <v xml:space="preserve">  Preference Shares</v>
      </c>
      <c r="B206" s="84">
        <f>Accounts!B119</f>
        <v>0</v>
      </c>
      <c r="C206" s="84">
        <f>Accounts!C119</f>
        <v>0</v>
      </c>
      <c r="D206" s="84">
        <f>Accounts!D119</f>
        <v>0</v>
      </c>
      <c r="E206" s="84">
        <f>Accounts!E119</f>
        <v>0</v>
      </c>
      <c r="F206" s="84">
        <f>Accounts!F119</f>
        <v>0</v>
      </c>
      <c r="G206" s="84">
        <f>Accounts!G119</f>
        <v>0</v>
      </c>
      <c r="H206" s="84">
        <f>Accounts!H119</f>
        <v>0</v>
      </c>
      <c r="I206" s="84">
        <f>Accounts!I119</f>
        <v>0</v>
      </c>
      <c r="J206" s="77"/>
    </row>
    <row r="207" spans="1:10" x14ac:dyDescent="0.2">
      <c r="A207" s="76" t="str">
        <f>Accounts!A120</f>
        <v xml:space="preserve">  EI Equity Assistance  (This application only)</v>
      </c>
      <c r="B207" s="337"/>
      <c r="C207" s="337"/>
      <c r="D207" s="337"/>
      <c r="E207" s="84">
        <f>Accounts!E120</f>
        <v>0</v>
      </c>
      <c r="F207" s="84">
        <f>Accounts!F120</f>
        <v>0</v>
      </c>
      <c r="G207" s="84">
        <f>Accounts!G120</f>
        <v>0</v>
      </c>
      <c r="H207" s="84">
        <f>Accounts!H120</f>
        <v>0</v>
      </c>
      <c r="I207" s="84">
        <f>Accounts!I120</f>
        <v>0</v>
      </c>
      <c r="J207" s="77"/>
    </row>
    <row r="208" spans="1:10" x14ac:dyDescent="0.2">
      <c r="A208" s="76" t="str">
        <f>Accounts!A121</f>
        <v xml:space="preserve">  Ordinary Shares &amp; Share Premium</v>
      </c>
      <c r="B208" s="84">
        <f>Accounts!B121</f>
        <v>0</v>
      </c>
      <c r="C208" s="84">
        <f>Accounts!C121</f>
        <v>0</v>
      </c>
      <c r="D208" s="84">
        <f>Accounts!D121</f>
        <v>0</v>
      </c>
      <c r="E208" s="84">
        <f>Accounts!E121</f>
        <v>0</v>
      </c>
      <c r="F208" s="84">
        <f>Accounts!F121</f>
        <v>0</v>
      </c>
      <c r="G208" s="84">
        <f>Accounts!G121</f>
        <v>0</v>
      </c>
      <c r="H208" s="84">
        <f>Accounts!H121</f>
        <v>0</v>
      </c>
      <c r="I208" s="84">
        <f>Accounts!I121</f>
        <v>0</v>
      </c>
      <c r="J208" s="77"/>
    </row>
    <row r="209" spans="1:10" x14ac:dyDescent="0.2">
      <c r="A209" s="76" t="str">
        <f>Accounts!A122</f>
        <v xml:space="preserve">  Provisions/Grants/Other Reserves</v>
      </c>
      <c r="B209" s="84">
        <f>Accounts!B122</f>
        <v>0</v>
      </c>
      <c r="C209" s="84">
        <f>Accounts!C122</f>
        <v>0</v>
      </c>
      <c r="D209" s="84">
        <f>Accounts!D122</f>
        <v>0</v>
      </c>
      <c r="E209" s="84">
        <f>Accounts!E122</f>
        <v>0</v>
      </c>
      <c r="F209" s="84">
        <f>Accounts!F122</f>
        <v>0</v>
      </c>
      <c r="G209" s="84">
        <f>Accounts!G122</f>
        <v>0</v>
      </c>
      <c r="H209" s="84">
        <f>Accounts!H122</f>
        <v>0</v>
      </c>
      <c r="I209" s="84">
        <f>Accounts!I122</f>
        <v>0</v>
      </c>
      <c r="J209" s="77"/>
    </row>
    <row r="210" spans="1:10" x14ac:dyDescent="0.2">
      <c r="A210" s="76" t="str">
        <f>Accounts!A123</f>
        <v xml:space="preserve">  Retained Earnings</v>
      </c>
      <c r="B210" s="302">
        <f>Accounts!B123</f>
        <v>1383</v>
      </c>
      <c r="C210" s="84">
        <f>Accounts!C123</f>
        <v>1383</v>
      </c>
      <c r="D210" s="84">
        <f>Accounts!D123</f>
        <v>1383</v>
      </c>
      <c r="E210" s="269">
        <f>Accounts!E123</f>
        <v>1383</v>
      </c>
      <c r="F210" s="269">
        <f>Accounts!F123</f>
        <v>1383</v>
      </c>
      <c r="G210" s="269">
        <f>Accounts!G123</f>
        <v>1383</v>
      </c>
      <c r="H210" s="269">
        <f>Accounts!H123</f>
        <v>1383</v>
      </c>
      <c r="I210" s="269">
        <f>Accounts!I123</f>
        <v>1383</v>
      </c>
      <c r="J210" s="77"/>
    </row>
    <row r="211" spans="1:10" x14ac:dyDescent="0.2">
      <c r="A211" s="90" t="str">
        <f>Accounts!A124</f>
        <v>Shareholders Funds</v>
      </c>
      <c r="B211" s="86">
        <f>Accounts!B124</f>
        <v>1383</v>
      </c>
      <c r="C211" s="86">
        <f>Accounts!C124</f>
        <v>1383</v>
      </c>
      <c r="D211" s="86">
        <f>Accounts!D124</f>
        <v>1383</v>
      </c>
      <c r="E211" s="86">
        <f>Accounts!E124</f>
        <v>1383</v>
      </c>
      <c r="F211" s="86">
        <f>Accounts!F124</f>
        <v>1383</v>
      </c>
      <c r="G211" s="86">
        <f>Accounts!G124</f>
        <v>1383</v>
      </c>
      <c r="H211" s="86">
        <f>Accounts!H124</f>
        <v>1383</v>
      </c>
      <c r="I211" s="86">
        <f>Accounts!I124</f>
        <v>1383</v>
      </c>
      <c r="J211" s="77"/>
    </row>
    <row r="212" spans="1:10" x14ac:dyDescent="0.2">
      <c r="A212" s="346"/>
      <c r="B212" s="347"/>
      <c r="C212" s="347"/>
      <c r="D212" s="347"/>
      <c r="E212" s="347"/>
      <c r="F212" s="347"/>
      <c r="G212" s="347"/>
      <c r="H212" s="347"/>
      <c r="I212" s="347"/>
      <c r="J212" s="95"/>
    </row>
    <row r="213" spans="1:10" x14ac:dyDescent="0.2">
      <c r="A213" s="269"/>
      <c r="B213" s="269"/>
      <c r="C213" s="269"/>
      <c r="D213" s="269"/>
      <c r="E213" s="269"/>
      <c r="F213" s="269"/>
      <c r="G213" s="269"/>
      <c r="H213" s="269"/>
      <c r="I213" s="269"/>
      <c r="J213" s="78"/>
    </row>
    <row r="214" spans="1:10" x14ac:dyDescent="0.2">
      <c r="A214" s="78"/>
      <c r="B214" s="78"/>
      <c r="C214" s="78"/>
      <c r="D214" s="78"/>
      <c r="E214" s="78"/>
      <c r="F214" s="78"/>
      <c r="G214" s="78"/>
      <c r="H214" s="78"/>
      <c r="I214" s="78"/>
      <c r="J214" s="78"/>
    </row>
    <row r="215" spans="1:10" x14ac:dyDescent="0.2">
      <c r="A215" s="71" t="s">
        <v>136</v>
      </c>
      <c r="B215" s="332"/>
      <c r="C215" s="332"/>
      <c r="D215" s="332"/>
      <c r="E215" s="332"/>
      <c r="F215" s="332"/>
      <c r="G215" s="332"/>
      <c r="H215" s="332"/>
      <c r="I215" s="332"/>
      <c r="J215" s="72"/>
    </row>
    <row r="216" spans="1:10" x14ac:dyDescent="0.2">
      <c r="A216" s="348" t="s">
        <v>311</v>
      </c>
      <c r="B216" s="349"/>
      <c r="C216" s="350">
        <f>Accounts!B87+Accounts!B64+Accounts!B65-Accounts!C87</f>
        <v>-544</v>
      </c>
      <c r="D216" s="350">
        <f>Accounts!C87+Accounts!C64+Accounts!C65-Accounts!D87</f>
        <v>160.40000000000009</v>
      </c>
      <c r="E216" s="350">
        <f>Accounts!D87+Accounts!D64+Accounts!D65-Accounts!E87</f>
        <v>266.20000000000005</v>
      </c>
      <c r="F216" s="350">
        <f>Accounts!E87+Accounts!E64+Accounts!E65-Accounts!F87</f>
        <v>204.70000000000005</v>
      </c>
      <c r="G216" s="350">
        <f>Accounts!F87+Accounts!F64+Accounts!F65-Accounts!G87</f>
        <v>185.5</v>
      </c>
      <c r="H216" s="350">
        <f>Accounts!G87+Accounts!G64+Accounts!G65-Accounts!H87</f>
        <v>176.5</v>
      </c>
      <c r="I216" s="350">
        <f>Accounts!H87+Accounts!H64+Accounts!H65-Accounts!I87</f>
        <v>176.5</v>
      </c>
      <c r="J216" s="75"/>
    </row>
    <row r="217" spans="1:10" x14ac:dyDescent="0.2">
      <c r="A217" s="34" t="s">
        <v>312</v>
      </c>
      <c r="B217" s="351"/>
      <c r="C217" s="352">
        <f>SUM('Document Tables'!C$218:C$224)</f>
        <v>1</v>
      </c>
      <c r="D217" s="352">
        <f>SUM('Document Tables'!D$218:D$224)</f>
        <v>131.44999999999999</v>
      </c>
      <c r="E217" s="352">
        <f>SUM('Document Tables'!E$218:E$224)</f>
        <v>0</v>
      </c>
      <c r="F217" s="352">
        <f>SUM('Document Tables'!F$218:F$224)</f>
        <v>0</v>
      </c>
      <c r="G217" s="352">
        <f>SUM('Document Tables'!G$218:G$224)</f>
        <v>0</v>
      </c>
      <c r="H217" s="352">
        <f>SUM('Document Tables'!H$218:H$224)</f>
        <v>0</v>
      </c>
      <c r="I217" s="352">
        <f>SUM('Document Tables'!I$218:I$224)</f>
        <v>0</v>
      </c>
      <c r="J217" s="77"/>
    </row>
    <row r="218" spans="1:10" x14ac:dyDescent="0.2">
      <c r="A218" s="36" t="s">
        <v>313</v>
      </c>
      <c r="B218" s="351"/>
      <c r="C218" s="353">
        <f>IF(Accounts!C$98&gt;Accounts!B$98,(Accounts!C$98-Accounts!B$98),0)</f>
        <v>0</v>
      </c>
      <c r="D218" s="353">
        <f>IF(Accounts!D$98&gt;Accounts!C$98,(Accounts!D$98-Accounts!C$98),0)</f>
        <v>0</v>
      </c>
      <c r="E218" s="353">
        <f>IF(Accounts!E$98&gt;Accounts!D$98,(Accounts!E$98-Accounts!D$98),0)</f>
        <v>0</v>
      </c>
      <c r="F218" s="353">
        <f>IF(Accounts!F$98&gt;Accounts!E$98,(Accounts!F$98-Accounts!E$98),0)</f>
        <v>0</v>
      </c>
      <c r="G218" s="353">
        <f>IF(Accounts!G$98&gt;Accounts!F$98,(Accounts!G$98-Accounts!F$98),0)</f>
        <v>0</v>
      </c>
      <c r="H218" s="353">
        <f>IF(Accounts!H$98&gt;Accounts!G$98,(Accounts!H$98-Accounts!G$98),0)</f>
        <v>0</v>
      </c>
      <c r="I218" s="353">
        <f>IF(Accounts!I$98&gt;Accounts!H$98,(Accounts!I$98-Accounts!H$98),0)</f>
        <v>0</v>
      </c>
      <c r="J218" s="77"/>
    </row>
    <row r="219" spans="1:10" x14ac:dyDescent="0.2">
      <c r="A219" s="36" t="s">
        <v>314</v>
      </c>
      <c r="B219" s="351"/>
      <c r="C219" s="353">
        <f>IF(Accounts!C$99&gt;Accounts!B$99,(Accounts!C$99-Accounts!B$99),0)</f>
        <v>0</v>
      </c>
      <c r="D219" s="353">
        <f>IF(Accounts!D$99&gt;Accounts!C$99,(Accounts!D$99-Accounts!C$99),0)</f>
        <v>0</v>
      </c>
      <c r="E219" s="353">
        <f>IF(Accounts!E$99&gt;Accounts!D$99,(Accounts!E$99-Accounts!D$99),0)</f>
        <v>0</v>
      </c>
      <c r="F219" s="353">
        <f>IF(Accounts!F$99&gt;Accounts!E$99,(Accounts!F$99-Accounts!E$99),0)</f>
        <v>0</v>
      </c>
      <c r="G219" s="353">
        <f>IF(Accounts!G$99&gt;Accounts!F$99,(Accounts!G$99-Accounts!F$99),0)</f>
        <v>0</v>
      </c>
      <c r="H219" s="353">
        <f>IF(Accounts!H$99&gt;Accounts!G$99,(Accounts!H$99-Accounts!G$99),0)</f>
        <v>0</v>
      </c>
      <c r="I219" s="353">
        <f>IF(Accounts!I$99&gt;Accounts!H$99,(Accounts!I$99-Accounts!H$99),0)</f>
        <v>0</v>
      </c>
      <c r="J219" s="77"/>
    </row>
    <row r="220" spans="1:10" x14ac:dyDescent="0.2">
      <c r="A220" s="36" t="s">
        <v>139</v>
      </c>
      <c r="B220" s="351"/>
      <c r="C220" s="353">
        <f>IF(Accounts!C$100&gt;Accounts!B$100,(Accounts!C$100-Accounts!B$100),0)</f>
        <v>1</v>
      </c>
      <c r="D220" s="353">
        <f>IF(Accounts!D$100&gt;Accounts!C$100,(Accounts!D$100-Accounts!C$100),0)</f>
        <v>43.449999999999989</v>
      </c>
      <c r="E220" s="353">
        <f>IF(Accounts!E$100&gt;Accounts!D$100,(Accounts!E$100-Accounts!D$100),0)</f>
        <v>0</v>
      </c>
      <c r="F220" s="353">
        <f>IF(Accounts!F$100&gt;Accounts!E$100,(Accounts!F$100-Accounts!E$100),0)</f>
        <v>0</v>
      </c>
      <c r="G220" s="353">
        <f>IF(Accounts!G$100&gt;Accounts!F$100,(Accounts!G$100-Accounts!F$100),0)</f>
        <v>0</v>
      </c>
      <c r="H220" s="353">
        <f>IF(Accounts!H$100&gt;Accounts!G$100,(Accounts!H$100-Accounts!G$100),0)</f>
        <v>0</v>
      </c>
      <c r="I220" s="353">
        <f>IF(Accounts!I$100&gt;Accounts!H$100,(Accounts!I$100-Accounts!H$100),0)</f>
        <v>0</v>
      </c>
      <c r="J220" s="77"/>
    </row>
    <row r="221" spans="1:10" x14ac:dyDescent="0.2">
      <c r="A221" s="36" t="s">
        <v>296</v>
      </c>
      <c r="B221" s="351"/>
      <c r="C221" s="353">
        <f>IF(SUM(Accounts!C$108:C$109)&gt;SUM(Accounts!B$108:B$109),(SUM(Accounts!C$108:C$109)-SUM(Accounts!B$108:B$109)),0)</f>
        <v>0</v>
      </c>
      <c r="D221" s="353">
        <f>IF(SUM(Accounts!D$108:D$109)&gt;SUM(Accounts!C$108:C$109),(SUM(Accounts!D$108:D$109)-SUM(Accounts!C$108:C$109)),0)</f>
        <v>88</v>
      </c>
      <c r="E221" s="353">
        <f>IF(SUM(Accounts!E$108:E$109)&gt;SUM(Accounts!D$108:D$109),(SUM(Accounts!E$108:E$109)-SUM(Accounts!D$108:D$109)),0)</f>
        <v>0</v>
      </c>
      <c r="F221" s="353">
        <f>IF(SUM(Accounts!F$108:F$109)&gt;SUM(Accounts!E$108:E$109),(SUM(Accounts!F$108:F$109)-SUM(Accounts!E$108:E$109)),0)</f>
        <v>0</v>
      </c>
      <c r="G221" s="353">
        <f>IF(SUM(Accounts!G$108:G$109)&gt;SUM(Accounts!F$108:F$109),(SUM(Accounts!G$108:G$109)-SUM(Accounts!F$108:F$109)),0)</f>
        <v>0</v>
      </c>
      <c r="H221" s="353">
        <f>IF(SUM(Accounts!H$108:H$109)&gt;SUM(Accounts!G$108:G$109),(SUM(Accounts!H$108:H$109)-SUM(Accounts!G$108:G$109)),0)</f>
        <v>0</v>
      </c>
      <c r="I221" s="353">
        <f>IF(SUM(Accounts!I$108:I$109)&gt;SUM(Accounts!H$108:H$109),(SUM(Accounts!I$108:I$109)-SUM(Accounts!H$108:H$109)),0)</f>
        <v>0</v>
      </c>
      <c r="J221" s="77"/>
    </row>
    <row r="222" spans="1:10" x14ac:dyDescent="0.2">
      <c r="A222" s="36" t="s">
        <v>297</v>
      </c>
      <c r="B222" s="351"/>
      <c r="C222" s="353">
        <f>IF(Accounts!C$113&gt;Accounts!B$113,(Accounts!C$113-Accounts!B$113),0)</f>
        <v>0</v>
      </c>
      <c r="D222" s="353">
        <f>IF(Accounts!D$113&gt;Accounts!C$113,(Accounts!D$113-Accounts!C$113),0)</f>
        <v>0</v>
      </c>
      <c r="E222" s="353">
        <f>IF(Accounts!E$113&gt;Accounts!D$113,(Accounts!E$113-Accounts!D$113),0)</f>
        <v>0</v>
      </c>
      <c r="F222" s="353">
        <f>IF(Accounts!F$113&gt;Accounts!E$113,(Accounts!F$113-Accounts!E$113),0)</f>
        <v>0</v>
      </c>
      <c r="G222" s="353">
        <f>IF(Accounts!G$113&gt;Accounts!F$113,(Accounts!G$113-Accounts!F$113),0)</f>
        <v>0</v>
      </c>
      <c r="H222" s="353">
        <f>IF(Accounts!H$113&gt;Accounts!G$113,(Accounts!H$113-Accounts!G$113),0)</f>
        <v>0</v>
      </c>
      <c r="I222" s="353">
        <f>IF(Accounts!I$113&gt;Accounts!H$113,(Accounts!I$113-Accounts!H$113),0)</f>
        <v>0</v>
      </c>
      <c r="J222" s="77"/>
    </row>
    <row r="223" spans="1:10" x14ac:dyDescent="0.2">
      <c r="A223" s="36" t="s">
        <v>315</v>
      </c>
      <c r="B223" s="351"/>
      <c r="C223" s="353">
        <f>IF(Accounts!C$110&gt;Accounts!B$110,(Accounts!C$110-Accounts!B$110),0)+IF(Accounts!B$93&gt;Accounts!C$93,(Accounts!B$93-Accounts!C$93),0)</f>
        <v>0</v>
      </c>
      <c r="D223" s="353">
        <f>IF(Accounts!D$110&gt;Accounts!C$110,(Accounts!D$110-Accounts!C$110),0)+IF(Accounts!C$93&gt;Accounts!D$93,(Accounts!C$93-Accounts!D$93),0)</f>
        <v>0</v>
      </c>
      <c r="E223" s="353">
        <f>IF(Accounts!E$110&gt;Accounts!D$110,(Accounts!E$110-Accounts!D$110),0)+IF(Accounts!D$93&gt;Accounts!E$93,(Accounts!D$93-Accounts!E$93),0)</f>
        <v>0</v>
      </c>
      <c r="F223" s="353">
        <f>IF(Accounts!F$110&gt;Accounts!E$110,(Accounts!F$110-Accounts!E$110),0)+IF(Accounts!E$93&gt;Accounts!F$93,(Accounts!E$93-Accounts!F$93),0)</f>
        <v>0</v>
      </c>
      <c r="G223" s="353">
        <f>IF(Accounts!G$110&gt;Accounts!F$110,(Accounts!G$110-Accounts!F$110),0)+IF(Accounts!F$93&gt;Accounts!G$93,(Accounts!F$93-Accounts!G$93),0)</f>
        <v>0</v>
      </c>
      <c r="H223" s="353">
        <f>IF(Accounts!H$110&gt;Accounts!G$110,(Accounts!H$110-Accounts!G$110),0)+IF(Accounts!G$93&gt;Accounts!H$93,(Accounts!G$93-Accounts!H$93),0)</f>
        <v>0</v>
      </c>
      <c r="I223" s="353">
        <f>IF(Accounts!I$110&gt;Accounts!H$110,(Accounts!I$110-Accounts!H$110),0)+IF(Accounts!H$93&gt;Accounts!I$93,(Accounts!H$93-Accounts!I$93),0)</f>
        <v>0</v>
      </c>
      <c r="J223" s="77"/>
    </row>
    <row r="224" spans="1:10" x14ac:dyDescent="0.2">
      <c r="A224" s="36" t="s">
        <v>142</v>
      </c>
      <c r="B224" s="351"/>
      <c r="C224" s="353">
        <f>IF(Accounts!C$111&gt;Accounts!B$111,(Accounts!C$111-Accounts!B$111),0)</f>
        <v>0</v>
      </c>
      <c r="D224" s="353">
        <f>IF(Accounts!D$111&gt;Accounts!C$111,(Accounts!D$111-Accounts!C$111),0)</f>
        <v>0</v>
      </c>
      <c r="E224" s="353">
        <f>IF(Accounts!E$111&gt;Accounts!D$111,(Accounts!E$111-Accounts!D$111),0)</f>
        <v>0</v>
      </c>
      <c r="F224" s="353">
        <f>IF(Accounts!F$111&gt;Accounts!E$111,(Accounts!F$111-Accounts!E$111),0)</f>
        <v>0</v>
      </c>
      <c r="G224" s="353">
        <f>IF(Accounts!G$111&gt;Accounts!F$111,(Accounts!G$111-Accounts!F$111),0)</f>
        <v>0</v>
      </c>
      <c r="H224" s="353">
        <f>IF(Accounts!H$111&gt;Accounts!G$111,(Accounts!H$111-Accounts!G$111),0)</f>
        <v>0</v>
      </c>
      <c r="I224" s="353">
        <f>IF(Accounts!I$111&gt;Accounts!H$111,(Accounts!I$111-Accounts!H$111),0)</f>
        <v>0</v>
      </c>
      <c r="J224" s="77"/>
    </row>
    <row r="225" spans="1:10" x14ac:dyDescent="0.2">
      <c r="A225" s="49"/>
      <c r="B225" s="351"/>
      <c r="C225" s="353"/>
      <c r="D225" s="353"/>
      <c r="E225" s="353"/>
      <c r="F225" s="353"/>
      <c r="G225" s="353"/>
      <c r="H225" s="353"/>
      <c r="I225" s="353"/>
      <c r="J225" s="77"/>
    </row>
    <row r="226" spans="1:10" x14ac:dyDescent="0.2">
      <c r="A226" s="34" t="s">
        <v>316</v>
      </c>
      <c r="B226" s="351" t="s">
        <v>317</v>
      </c>
      <c r="C226" s="352">
        <f>SUM('Document Tables'!C$227:C$233)</f>
        <v>0</v>
      </c>
      <c r="D226" s="352">
        <f>SUM('Document Tables'!D$227:D$233)</f>
        <v>0</v>
      </c>
      <c r="E226" s="352">
        <f>SUM('Document Tables'!E$227:E$233)</f>
        <v>45.449999999999989</v>
      </c>
      <c r="F226" s="352">
        <f>SUM('Document Tables'!F$227:F$233)</f>
        <v>43</v>
      </c>
      <c r="G226" s="352">
        <f>SUM('Document Tables'!G$227:G$233)</f>
        <v>32</v>
      </c>
      <c r="H226" s="352">
        <f>SUM('Document Tables'!H$227:H$233)</f>
        <v>0</v>
      </c>
      <c r="I226" s="352">
        <f>SUM('Document Tables'!I$227:I$233)</f>
        <v>0</v>
      </c>
      <c r="J226" s="77"/>
    </row>
    <row r="227" spans="1:10" x14ac:dyDescent="0.2">
      <c r="A227" s="49" t="s">
        <v>318</v>
      </c>
      <c r="B227" s="351"/>
      <c r="C227" s="353">
        <f>IF(Accounts!B$98&gt;Accounts!C$98,(Accounts!B$98-Accounts!C$98),0)</f>
        <v>0</v>
      </c>
      <c r="D227" s="353">
        <f>IF(Accounts!C$98&gt;Accounts!D$98,(Accounts!C$98-Accounts!D$98),0)</f>
        <v>0</v>
      </c>
      <c r="E227" s="353">
        <f>IF(Accounts!D$98&gt;Accounts!E$98,(Accounts!D$98-Accounts!E$98),0)</f>
        <v>0</v>
      </c>
      <c r="F227" s="353">
        <f>IF(Accounts!E$98&gt;Accounts!F$98,(Accounts!E$98-Accounts!F$98),0)</f>
        <v>0</v>
      </c>
      <c r="G227" s="353">
        <f>IF(Accounts!F$98&gt;Accounts!G$98,(Accounts!F$98-Accounts!G$98),0)</f>
        <v>0</v>
      </c>
      <c r="H227" s="353">
        <f>IF(Accounts!G$98&gt;Accounts!H$98,(Accounts!G$98-Accounts!H$98),0)</f>
        <v>0</v>
      </c>
      <c r="I227" s="353">
        <f>IF(Accounts!H$98&gt;Accounts!I$98,(Accounts!H$98-Accounts!I$98),0)</f>
        <v>0</v>
      </c>
      <c r="J227" s="77"/>
    </row>
    <row r="228" spans="1:10" x14ac:dyDescent="0.2">
      <c r="A228" s="49" t="s">
        <v>319</v>
      </c>
      <c r="B228" s="351"/>
      <c r="C228" s="353">
        <f>IF(Accounts!B$99&gt;Accounts!C$99,(Accounts!B$99-Accounts!C$99),0)</f>
        <v>0</v>
      </c>
      <c r="D228" s="353">
        <f>IF(Accounts!C$99&gt;Accounts!D$99,(Accounts!C$99-Accounts!D$99),0)</f>
        <v>0</v>
      </c>
      <c r="E228" s="353">
        <f>IF(Accounts!D$99&gt;Accounts!E$99,(Accounts!D$99-Accounts!E$99),0)</f>
        <v>0</v>
      </c>
      <c r="F228" s="353">
        <f>IF(Accounts!E$99&gt;Accounts!F$99,(Accounts!E$99-Accounts!F$99),0)</f>
        <v>0</v>
      </c>
      <c r="G228" s="353">
        <f>IF(Accounts!F$99&gt;Accounts!G$99,(Accounts!F$99-Accounts!G$99),0)</f>
        <v>0</v>
      </c>
      <c r="H228" s="353">
        <f>IF(Accounts!G$99&gt;Accounts!H$99,(Accounts!G$99-Accounts!H$99),0)</f>
        <v>0</v>
      </c>
      <c r="I228" s="353">
        <f>IF(Accounts!H$99&gt;Accounts!I$99,(Accounts!H$99-Accounts!I$99),0)</f>
        <v>0</v>
      </c>
      <c r="J228" s="77"/>
    </row>
    <row r="229" spans="1:10" x14ac:dyDescent="0.2">
      <c r="A229" s="49" t="s">
        <v>320</v>
      </c>
      <c r="B229" s="351"/>
      <c r="C229" s="353">
        <f>IF(Accounts!B$100&gt;Accounts!C$100,(Accounts!B$100-Accounts!C$100),0)</f>
        <v>0</v>
      </c>
      <c r="D229" s="353">
        <f>IF(Accounts!C$100&gt;Accounts!D$100,(Accounts!C$100-Accounts!D$100),0)</f>
        <v>0</v>
      </c>
      <c r="E229" s="353">
        <f>IF(Accounts!D$100&gt;Accounts!E$100,(Accounts!D$100-Accounts!E$100),0)</f>
        <v>0.94999999999998863</v>
      </c>
      <c r="F229" s="353">
        <f>IF(Accounts!E$100&gt;Accounts!F$100,(Accounts!E$100-Accounts!F$100),0)</f>
        <v>11.5</v>
      </c>
      <c r="G229" s="353">
        <f>IF(Accounts!F$100&gt;Accounts!G$100,(Accounts!F$100-Accounts!G$100),0)</f>
        <v>20</v>
      </c>
      <c r="H229" s="353">
        <f>IF(Accounts!G$100&gt;Accounts!H$100,(Accounts!G$100-Accounts!H$100),0)</f>
        <v>0</v>
      </c>
      <c r="I229" s="353">
        <f>IF(Accounts!H$100&gt;Accounts!I$100,(Accounts!H$100-Accounts!I$100),0)</f>
        <v>0</v>
      </c>
      <c r="J229" s="77"/>
    </row>
    <row r="230" spans="1:10" x14ac:dyDescent="0.2">
      <c r="A230" s="49" t="s">
        <v>321</v>
      </c>
      <c r="B230" s="351" t="s">
        <v>317</v>
      </c>
      <c r="C230" s="353">
        <f>IF(SUM(Accounts!B$108:B$109)&gt;SUM(Accounts!C$108:C$109),(SUM(Accounts!B$108:B$109)-SUM(Accounts!C$108:C$109)),0)</f>
        <v>0</v>
      </c>
      <c r="D230" s="353">
        <f>IF(SUM(Accounts!C$108:C$109)&gt;SUM(Accounts!D$108:D$109),(SUM(Accounts!C$108:C$109)-SUM(Accounts!D$108:D$109)),0)</f>
        <v>0</v>
      </c>
      <c r="E230" s="353">
        <f>IF(SUM(Accounts!D$108:D$109)&gt;SUM(Accounts!E$108:E$109),(SUM(Accounts!D$108:D$109)-SUM(Accounts!E$108:E$109)),0)</f>
        <v>44.5</v>
      </c>
      <c r="F230" s="353">
        <f>IF(SUM(Accounts!E$108:E$109)&gt;SUM(Accounts!F$108:F$109),(SUM(Accounts!E$108:E$109)-SUM(Accounts!F$108:F$109)),0)</f>
        <v>31.5</v>
      </c>
      <c r="G230" s="353">
        <f>IF(SUM(Accounts!F$108:F$109)&gt;SUM(Accounts!G$108:G$109),(SUM(Accounts!F$108:F$109)-SUM(Accounts!G$108:G$109)),0)</f>
        <v>12</v>
      </c>
      <c r="H230" s="353">
        <f>IF(SUM(Accounts!G$108:G$109)&gt;SUM(Accounts!H$108:H$109),(SUM(Accounts!G$108:G$109)-SUM(Accounts!H$108:H$109)),0)</f>
        <v>0</v>
      </c>
      <c r="I230" s="353">
        <f>IF(SUM(Accounts!H$108:H$109)&gt;SUM(Accounts!I$108:I$109),(SUM(Accounts!H$108:H$109)-SUM(Accounts!I$108:I$109)),0)</f>
        <v>0</v>
      </c>
      <c r="J230" s="77"/>
    </row>
    <row r="231" spans="1:10" x14ac:dyDescent="0.2">
      <c r="A231" s="49" t="s">
        <v>322</v>
      </c>
      <c r="B231" s="351"/>
      <c r="C231" s="353">
        <f>IF(Accounts!B$113&gt;Accounts!C$113,(Accounts!B$113-Accounts!C$113),0)</f>
        <v>0</v>
      </c>
      <c r="D231" s="353">
        <f>IF(Accounts!C$113&gt;Accounts!D$113,(Accounts!C$113-Accounts!D$113),0)</f>
        <v>0</v>
      </c>
      <c r="E231" s="353">
        <f>IF(Accounts!D$113&gt;Accounts!E$113,(Accounts!D$113-Accounts!E$113),0)</f>
        <v>0</v>
      </c>
      <c r="F231" s="353">
        <f>IF(Accounts!E$113&gt;Accounts!F$113,(Accounts!E$113-Accounts!F$113),0)</f>
        <v>0</v>
      </c>
      <c r="G231" s="353">
        <f>IF(Accounts!F$113&gt;Accounts!G$113,(Accounts!F$113-Accounts!G$113),0)</f>
        <v>0</v>
      </c>
      <c r="H231" s="353">
        <f>IF(Accounts!G$113&gt;Accounts!H$113,(Accounts!G$113-Accounts!H$113),0)</f>
        <v>0</v>
      </c>
      <c r="I231" s="353">
        <f>IF(Accounts!H$113&gt;Accounts!I$113,(Accounts!H$113-Accounts!I$113),0)</f>
        <v>0</v>
      </c>
      <c r="J231" s="77"/>
    </row>
    <row r="232" spans="1:10" x14ac:dyDescent="0.2">
      <c r="A232" s="49" t="s">
        <v>323</v>
      </c>
      <c r="B232" s="351"/>
      <c r="C232" s="353">
        <f>IF(Accounts!B$110&gt;Accounts!C$110,(Accounts!B$110-Accounts!C$110),0)+IF(Accounts!C$93&gt;Accounts!B$93,(Accounts!C$93-Accounts!B$93),0)</f>
        <v>0</v>
      </c>
      <c r="D232" s="353">
        <f>IF(Accounts!C$110&gt;Accounts!D$110,(Accounts!C$110-Accounts!D$110),0)+IF(Accounts!D$93&gt;Accounts!C$93,(Accounts!D$93-Accounts!C$93),0)</f>
        <v>0</v>
      </c>
      <c r="E232" s="353">
        <f>IF(Accounts!D$110&gt;Accounts!E$110,(Accounts!D$110-Accounts!E$110),0)+IF(Accounts!E$93&gt;Accounts!D$93,(Accounts!E$93-Accounts!D$93),0)</f>
        <v>0</v>
      </c>
      <c r="F232" s="353">
        <f>IF(Accounts!E$110&gt;Accounts!F$110,(Accounts!E$110-Accounts!F$110),0)+IF(Accounts!F$93&gt;Accounts!E$93,(Accounts!F$93-Accounts!E$93),0)</f>
        <v>0</v>
      </c>
      <c r="G232" s="353">
        <f>IF(Accounts!F$110&gt;Accounts!G$110,(Accounts!F$110-Accounts!G$110),0)+IF(Accounts!G$93&gt;Accounts!F$93,(Accounts!G$93-Accounts!F$93),0)</f>
        <v>0</v>
      </c>
      <c r="H232" s="353">
        <f>IF(Accounts!G$110&gt;Accounts!H$110,(Accounts!G$110-Accounts!H$110),0)+IF(Accounts!H$93&gt;Accounts!G$93,(Accounts!H$93-Accounts!G$93),0)</f>
        <v>0</v>
      </c>
      <c r="I232" s="353">
        <f>IF(Accounts!H$110&gt;Accounts!I$110,(Accounts!H$110-Accounts!I$110),0)+IF(Accounts!I$93&gt;Accounts!H$93,(Accounts!I$93-Accounts!H$93),0)</f>
        <v>0</v>
      </c>
      <c r="J232" s="77"/>
    </row>
    <row r="233" spans="1:10" x14ac:dyDescent="0.2">
      <c r="A233" s="49" t="s">
        <v>324</v>
      </c>
      <c r="B233" s="351" t="s">
        <v>317</v>
      </c>
      <c r="C233" s="353">
        <f>IF(Accounts!B$111&gt;Accounts!C$111,(Accounts!B$111-Accounts!C$111),0)</f>
        <v>0</v>
      </c>
      <c r="D233" s="353">
        <f>IF(Accounts!C$111&gt;Accounts!D$111,(Accounts!C$111-Accounts!D$111),0)</f>
        <v>0</v>
      </c>
      <c r="E233" s="353">
        <f>IF(Accounts!D$111&gt;Accounts!E$111,(Accounts!D$111-Accounts!E$111),0)</f>
        <v>0</v>
      </c>
      <c r="F233" s="353">
        <f>IF(Accounts!E$111&gt;Accounts!F$111,(Accounts!E$111-Accounts!F$111),0)</f>
        <v>0</v>
      </c>
      <c r="G233" s="353">
        <f>IF(Accounts!F$111&gt;Accounts!G$111,(Accounts!F$111-Accounts!G$111),0)</f>
        <v>0</v>
      </c>
      <c r="H233" s="353">
        <f>IF(Accounts!G$111&gt;Accounts!H$111,(Accounts!G$111-Accounts!H$111),0)</f>
        <v>0</v>
      </c>
      <c r="I233" s="353">
        <f>IF(Accounts!H$111&gt;Accounts!I$111,(Accounts!H$111-Accounts!I$111),0)</f>
        <v>0</v>
      </c>
      <c r="J233" s="77"/>
    </row>
    <row r="234" spans="1:10" ht="10.5" customHeight="1" x14ac:dyDescent="0.2">
      <c r="A234" s="93"/>
      <c r="B234" s="94"/>
      <c r="C234" s="94"/>
      <c r="D234" s="94"/>
      <c r="E234" s="94"/>
      <c r="F234" s="94"/>
      <c r="G234" s="347"/>
      <c r="H234" s="347"/>
      <c r="I234" s="347"/>
      <c r="J234" s="95"/>
    </row>
    <row r="235" spans="1:10" x14ac:dyDescent="0.2">
      <c r="A235" s="233"/>
      <c r="B235" s="78"/>
      <c r="C235" s="78"/>
      <c r="D235" s="78"/>
      <c r="E235" s="78"/>
      <c r="F235" s="78"/>
      <c r="G235" s="354"/>
      <c r="H235" s="354"/>
      <c r="I235" s="354"/>
      <c r="J235" s="233"/>
    </row>
    <row r="236" spans="1:10" x14ac:dyDescent="0.2">
      <c r="A236" s="94"/>
      <c r="B236" s="78"/>
      <c r="C236" s="78"/>
      <c r="D236" s="78"/>
      <c r="E236" s="78"/>
      <c r="F236" s="78"/>
      <c r="G236" s="347"/>
      <c r="H236" s="347"/>
      <c r="I236" s="347"/>
      <c r="J236" s="94"/>
    </row>
    <row r="237" spans="1:10" x14ac:dyDescent="0.2">
      <c r="A237" s="27" t="s">
        <v>325</v>
      </c>
      <c r="B237" s="28"/>
      <c r="C237" s="28"/>
      <c r="D237" s="28"/>
      <c r="E237" s="28"/>
      <c r="F237" s="28"/>
      <c r="G237" s="28"/>
      <c r="H237" s="28"/>
      <c r="I237" s="28"/>
      <c r="J237" s="30"/>
    </row>
    <row r="238" spans="1:10" x14ac:dyDescent="0.2">
      <c r="A238" s="76"/>
      <c r="B238" s="32" t="s">
        <v>23</v>
      </c>
      <c r="C238" s="32" t="s">
        <v>24</v>
      </c>
      <c r="D238" s="32" t="s">
        <v>25</v>
      </c>
      <c r="E238" s="32" t="s">
        <v>229</v>
      </c>
      <c r="F238" s="32" t="s">
        <v>27</v>
      </c>
      <c r="G238" s="32" t="s">
        <v>28</v>
      </c>
      <c r="H238" s="32" t="s">
        <v>29</v>
      </c>
      <c r="I238" s="32" t="s">
        <v>30</v>
      </c>
      <c r="J238" s="77"/>
    </row>
    <row r="239" spans="1:10" x14ac:dyDescent="0.2">
      <c r="A239" s="90" t="s">
        <v>31</v>
      </c>
      <c r="B239" s="243">
        <f>Accounts!B13</f>
        <v>43465</v>
      </c>
      <c r="C239" s="243">
        <f>Accounts!C13</f>
        <v>43830</v>
      </c>
      <c r="D239" s="243">
        <f>Accounts!D13</f>
        <v>44196</v>
      </c>
      <c r="E239" s="243">
        <f>Accounts!E13</f>
        <v>44561</v>
      </c>
      <c r="F239" s="243">
        <f>Accounts!F13</f>
        <v>44926</v>
      </c>
      <c r="G239" s="243">
        <f>Accounts!G13</f>
        <v>45291</v>
      </c>
      <c r="H239" s="243">
        <f>Accounts!H13</f>
        <v>45656</v>
      </c>
      <c r="I239" s="243">
        <f>Accounts!I13</f>
        <v>46022</v>
      </c>
      <c r="J239" s="77"/>
    </row>
    <row r="240" spans="1:10" x14ac:dyDescent="0.2">
      <c r="A240" s="355" t="s">
        <v>50</v>
      </c>
      <c r="B240" s="356" t="str">
        <f>Accounts!B35</f>
        <v>Audited</v>
      </c>
      <c r="C240" s="356" t="str">
        <f>Accounts!C35</f>
        <v>Audited</v>
      </c>
      <c r="D240" s="356" t="str">
        <f>Accounts!D35</f>
        <v>Actual</v>
      </c>
      <c r="E240" s="356" t="str">
        <f>Accounts!E35</f>
        <v>Projected</v>
      </c>
      <c r="F240" s="356" t="str">
        <f>Accounts!F35</f>
        <v>Projected</v>
      </c>
      <c r="G240" s="356" t="str">
        <f>Accounts!G35</f>
        <v>Projected</v>
      </c>
      <c r="H240" s="356" t="str">
        <f>Accounts!H35</f>
        <v>Projected</v>
      </c>
      <c r="I240" s="356" t="str">
        <f>Accounts!I35</f>
        <v>Projected</v>
      </c>
      <c r="J240" s="77"/>
    </row>
    <row r="241" spans="1:11" x14ac:dyDescent="0.2">
      <c r="A241" s="246" t="s">
        <v>246</v>
      </c>
      <c r="B241" s="357"/>
      <c r="C241" s="357"/>
      <c r="D241" s="357"/>
      <c r="E241" s="357"/>
      <c r="F241" s="357"/>
      <c r="G241" s="358"/>
      <c r="H241" s="358"/>
      <c r="I241" s="358"/>
      <c r="J241" s="77"/>
    </row>
    <row r="242" spans="1:11" ht="10.5" customHeight="1" x14ac:dyDescent="0.2">
      <c r="A242" s="250" t="s">
        <v>326</v>
      </c>
      <c r="B242" s="269"/>
      <c r="C242" s="359">
        <f t="shared" ref="C242:I242" si="40">C$21-B$21</f>
        <v>866</v>
      </c>
      <c r="D242" s="359">
        <f t="shared" si="40"/>
        <v>-765</v>
      </c>
      <c r="E242" s="359">
        <f t="shared" si="40"/>
        <v>-500</v>
      </c>
      <c r="F242" s="359">
        <f t="shared" si="40"/>
        <v>822</v>
      </c>
      <c r="G242" s="360">
        <f t="shared" si="40"/>
        <v>271</v>
      </c>
      <c r="H242" s="360">
        <f t="shared" si="40"/>
        <v>0</v>
      </c>
      <c r="I242" s="360">
        <f t="shared" si="40"/>
        <v>0</v>
      </c>
      <c r="J242" s="33"/>
    </row>
    <row r="243" spans="1:11" ht="10.5" customHeight="1" x14ac:dyDescent="0.2">
      <c r="A243" s="254" t="s">
        <v>327</v>
      </c>
      <c r="B243" s="361"/>
      <c r="C243" s="362">
        <f t="shared" ref="C243:I243" si="41">C$23-B$23</f>
        <v>305</v>
      </c>
      <c r="D243" s="362">
        <f t="shared" si="41"/>
        <v>172</v>
      </c>
      <c r="E243" s="362">
        <f t="shared" si="41"/>
        <v>271</v>
      </c>
      <c r="F243" s="362">
        <f t="shared" si="41"/>
        <v>18</v>
      </c>
      <c r="G243" s="363">
        <f t="shared" si="41"/>
        <v>102</v>
      </c>
      <c r="H243" s="363">
        <f t="shared" si="41"/>
        <v>0</v>
      </c>
      <c r="I243" s="363">
        <f t="shared" si="41"/>
        <v>0</v>
      </c>
      <c r="J243" s="33"/>
    </row>
    <row r="244" spans="1:11" x14ac:dyDescent="0.2">
      <c r="A244" s="364" t="s">
        <v>237</v>
      </c>
      <c r="B244" s="365"/>
      <c r="C244" s="365"/>
      <c r="D244" s="365"/>
      <c r="E244" s="365"/>
      <c r="F244" s="365"/>
      <c r="G244" s="366"/>
      <c r="H244" s="366"/>
      <c r="I244" s="366"/>
      <c r="J244" s="77"/>
    </row>
    <row r="245" spans="1:11" ht="10.5" customHeight="1" x14ac:dyDescent="0.2">
      <c r="A245" s="250" t="s">
        <v>328</v>
      </c>
      <c r="B245" s="259">
        <f>(B$148-(B$152+B$153))</f>
        <v>-36</v>
      </c>
      <c r="C245" s="259">
        <f>(C$148-(C$152+C$153))</f>
        <v>-138.4</v>
      </c>
      <c r="D245" s="259">
        <f>(D$148-(D$152+D$153))</f>
        <v>-173</v>
      </c>
      <c r="E245" s="259">
        <f>(E$148-(E$152+E$153+E$154))</f>
        <v>-122.7</v>
      </c>
      <c r="F245" s="259">
        <f>(F$148-(F$152+F$153+F$154))</f>
        <v>-112</v>
      </c>
      <c r="G245" s="260">
        <f>(G$148-(G$152+G$153+G$154))</f>
        <v>-103</v>
      </c>
      <c r="H245" s="260">
        <f>(H$148-(H$152+H$153+H$154))</f>
        <v>-103</v>
      </c>
      <c r="I245" s="260">
        <f>(I$148-(I$152+I$153+I$154))</f>
        <v>-103</v>
      </c>
      <c r="J245" s="33"/>
    </row>
    <row r="246" spans="1:11" ht="10.5" customHeight="1" x14ac:dyDescent="0.2">
      <c r="A246" s="261" t="s">
        <v>329</v>
      </c>
      <c r="B246" s="262">
        <f t="shared" ref="B246:I246" si="42">IF(B$21=0,"n/a",B$245/B$21)</f>
        <v>-1.1549566891241578E-2</v>
      </c>
      <c r="C246" s="262">
        <f t="shared" si="42"/>
        <v>-3.4747677629927191E-2</v>
      </c>
      <c r="D246" s="262">
        <f t="shared" si="42"/>
        <v>-5.3760099440646365E-2</v>
      </c>
      <c r="E246" s="262">
        <f t="shared" si="42"/>
        <v>-4.5143487858719647E-2</v>
      </c>
      <c r="F246" s="262">
        <f t="shared" si="42"/>
        <v>-3.1638418079096044E-2</v>
      </c>
      <c r="G246" s="263">
        <f t="shared" si="42"/>
        <v>-2.7027027027027029E-2</v>
      </c>
      <c r="H246" s="263">
        <f t="shared" si="42"/>
        <v>-2.7027027027027029E-2</v>
      </c>
      <c r="I246" s="263">
        <f t="shared" si="42"/>
        <v>-2.7027027027027029E-2</v>
      </c>
      <c r="J246" s="33"/>
    </row>
    <row r="247" spans="1:11" x14ac:dyDescent="0.2">
      <c r="A247" s="250" t="s">
        <v>330</v>
      </c>
      <c r="B247" s="367">
        <f t="shared" ref="B247:I247" si="43">IF(B$136&gt;0,B$136/B$133, "n/a")</f>
        <v>0.37229708052614696</v>
      </c>
      <c r="C247" s="367">
        <f t="shared" si="43"/>
        <v>0.31860406728596535</v>
      </c>
      <c r="D247" s="367">
        <f t="shared" si="43"/>
        <v>0.37414543194530764</v>
      </c>
      <c r="E247" s="367">
        <f t="shared" si="43"/>
        <v>0.37617733627667405</v>
      </c>
      <c r="F247" s="367">
        <f t="shared" si="43"/>
        <v>0.36327683615819212</v>
      </c>
      <c r="G247" s="368">
        <f t="shared" si="43"/>
        <v>0.36998163211755447</v>
      </c>
      <c r="H247" s="368">
        <f t="shared" si="43"/>
        <v>0.36998163211755447</v>
      </c>
      <c r="I247" s="368">
        <f t="shared" si="43"/>
        <v>0.36998163211755447</v>
      </c>
      <c r="J247" s="33"/>
    </row>
    <row r="248" spans="1:11" x14ac:dyDescent="0.2">
      <c r="A248" s="250" t="s">
        <v>331</v>
      </c>
      <c r="B248" s="367">
        <f t="shared" ref="B248:I248" si="44">IF(B$135&gt;0,B$135/B$133,"n/a")</f>
        <v>0.22760667308309274</v>
      </c>
      <c r="C248" s="367">
        <f t="shared" si="44"/>
        <v>0.2011046949535526</v>
      </c>
      <c r="D248" s="367">
        <f t="shared" si="44"/>
        <v>0.30174021131137352</v>
      </c>
      <c r="E248" s="367">
        <f t="shared" si="44"/>
        <v>0.37527593818984545</v>
      </c>
      <c r="F248" s="367">
        <f t="shared" si="44"/>
        <v>0.32316384180790958</v>
      </c>
      <c r="G248" s="368">
        <f t="shared" si="44"/>
        <v>0.30963001836788245</v>
      </c>
      <c r="H248" s="368">
        <f t="shared" si="44"/>
        <v>0.30963001836788245</v>
      </c>
      <c r="I248" s="368">
        <f t="shared" si="44"/>
        <v>0.30963001836788245</v>
      </c>
      <c r="J248" s="33"/>
    </row>
    <row r="249" spans="1:11" x14ac:dyDescent="0.2">
      <c r="A249" s="250" t="s">
        <v>332</v>
      </c>
      <c r="B249" s="367">
        <f>IF(B$140&gt;0,B$142/B140,"n/a")</f>
        <v>0.49655707496848028</v>
      </c>
      <c r="C249" s="367">
        <f>IF(C$140&gt;0,C$142/C140,"n/a")</f>
        <v>0.27572922399559713</v>
      </c>
      <c r="D249" s="367">
        <f>IF(D$140&gt;0,D$142/D140,"n/a")</f>
        <v>0.34003691829398613</v>
      </c>
      <c r="E249" s="367">
        <f>IF(E$142&gt;0,E$142/E140,"n/a")</f>
        <v>0.77462135483384797</v>
      </c>
      <c r="F249" s="367">
        <f>IF(F$142&gt;0,F$142/F140,"n/a")</f>
        <v>0.49362477231329688</v>
      </c>
      <c r="G249" s="368">
        <f>IF(G$142&gt;0,G$142/G140,"n/a")</f>
        <v>0.47113316790736148</v>
      </c>
      <c r="H249" s="368">
        <f>IF(H$142&gt;0,H$142/H140,"n/a")</f>
        <v>0.47113316790736148</v>
      </c>
      <c r="I249" s="368">
        <f>IF(I$142&gt;0,I$142/I140,"n/a")</f>
        <v>0.47113316790736148</v>
      </c>
      <c r="J249" s="33"/>
      <c r="K249" s="269"/>
    </row>
    <row r="250" spans="1:11" x14ac:dyDescent="0.2">
      <c r="A250" s="250" t="s">
        <v>333</v>
      </c>
      <c r="B250" s="367">
        <f>IF(B$133&gt;0,B$143/B$133,"n/a")</f>
        <v>0.1122874558870709</v>
      </c>
      <c r="C250" s="367">
        <f>IF(C$133&gt;0,C$143/C$133,"n/a")</f>
        <v>9.6409741400954055E-2</v>
      </c>
      <c r="D250" s="367">
        <f>IF(D$133&gt;0,D$143/D$133,"n/a")</f>
        <v>0.10565568676196395</v>
      </c>
      <c r="E250" s="367">
        <f>IF(E$143&gt;0,E$143/E$133,"n/a")</f>
        <v>0.15158204562178071</v>
      </c>
      <c r="F250" s="367">
        <f>IF(F$143&gt;0,F$143/F$133,"n/a")</f>
        <v>0.11949152542372882</v>
      </c>
      <c r="G250" s="368">
        <f>IF(G$143&gt;0,G$143/G$133,"n/a")</f>
        <v>0.11414326948307531</v>
      </c>
      <c r="H250" s="368">
        <f>IF(H$143&gt;0,H$143/H$133,"n/a")</f>
        <v>0.11414326948307531</v>
      </c>
      <c r="I250" s="368">
        <f>IF(I$143&gt;0,I$143/I$133,"n/a")</f>
        <v>0.11414326948307531</v>
      </c>
      <c r="J250" s="33"/>
    </row>
    <row r="251" spans="1:11" x14ac:dyDescent="0.2">
      <c r="A251" s="250" t="s">
        <v>334</v>
      </c>
      <c r="B251" s="367">
        <f>IF(B$133&gt;0,B$144/B$133,"n/a")</f>
        <v>0</v>
      </c>
      <c r="C251" s="367">
        <f>IF(C$133&gt;0,C$144/C$133,"n/a")</f>
        <v>0</v>
      </c>
      <c r="D251" s="367">
        <f>IF(D$133&gt;0,D$144/D$133,"n/a")</f>
        <v>0</v>
      </c>
      <c r="E251" s="367" t="str">
        <f>IF(E$144&gt;0,E$144/E$133,"n/a")</f>
        <v>n/a</v>
      </c>
      <c r="F251" s="367" t="str">
        <f>IF(F$144&gt;0,F$144/F$133,"n/a")</f>
        <v>n/a</v>
      </c>
      <c r="G251" s="368" t="str">
        <f>IF(G$144&gt;0,G$144/G$133,"n/a")</f>
        <v>n/a</v>
      </c>
      <c r="H251" s="368" t="str">
        <f>IF(H$144&gt;0,H$144/H$133,"n/a")</f>
        <v>n/a</v>
      </c>
      <c r="I251" s="368" t="str">
        <f>IF(I$144&gt;0,I$144/I$133,"n/a")</f>
        <v>n/a</v>
      </c>
      <c r="J251" s="33"/>
    </row>
    <row r="252" spans="1:11" x14ac:dyDescent="0.2">
      <c r="A252" s="250" t="s">
        <v>335</v>
      </c>
      <c r="B252" s="367">
        <f t="shared" ref="B252:I252" si="45">IF(B$133&gt;0,B$145/B$133,"n/a")</f>
        <v>0.27654796278472893</v>
      </c>
      <c r="C252" s="367">
        <f t="shared" si="45"/>
        <v>0.22219432588501128</v>
      </c>
      <c r="D252" s="367">
        <f t="shared" si="45"/>
        <v>0.2144188937228092</v>
      </c>
      <c r="E252" s="367">
        <f t="shared" si="45"/>
        <v>0.34069168506254599</v>
      </c>
      <c r="F252" s="367">
        <f t="shared" si="45"/>
        <v>0.27259887005649719</v>
      </c>
      <c r="G252" s="368">
        <f t="shared" si="45"/>
        <v>0.26360535292574128</v>
      </c>
      <c r="H252" s="368">
        <f t="shared" si="45"/>
        <v>0.26360535292574128</v>
      </c>
      <c r="I252" s="368">
        <f t="shared" si="45"/>
        <v>0.26360535292574128</v>
      </c>
      <c r="J252" s="33"/>
    </row>
    <row r="253" spans="1:11" x14ac:dyDescent="0.2">
      <c r="A253" s="250" t="s">
        <v>336</v>
      </c>
      <c r="B253" s="367">
        <f t="shared" ref="B253:I253" si="46">IF(B$133&gt;0,((B$152+B$153)/B$133),"n/a")</f>
        <v>1.1549566891241578E-2</v>
      </c>
      <c r="C253" s="367">
        <f t="shared" si="46"/>
        <v>3.4747677629927191E-2</v>
      </c>
      <c r="D253" s="367">
        <f t="shared" si="46"/>
        <v>5.3760099440646365E-2</v>
      </c>
      <c r="E253" s="367">
        <f t="shared" si="46"/>
        <v>4.5143487858719647E-2</v>
      </c>
      <c r="F253" s="367">
        <f t="shared" si="46"/>
        <v>3.1638418079096044E-2</v>
      </c>
      <c r="G253" s="368">
        <f t="shared" si="46"/>
        <v>2.7027027027027029E-2</v>
      </c>
      <c r="H253" s="368">
        <f t="shared" si="46"/>
        <v>2.7027027027027029E-2</v>
      </c>
      <c r="I253" s="368">
        <f t="shared" si="46"/>
        <v>2.7027027027027029E-2</v>
      </c>
      <c r="J253" s="33"/>
    </row>
    <row r="254" spans="1:11" ht="10.5" customHeight="1" x14ac:dyDescent="0.2">
      <c r="A254" s="250" t="s">
        <v>337</v>
      </c>
      <c r="B254" s="265">
        <f t="shared" ref="B254:I254" si="47">IF(+B$157=0,"n/a",+(B$245/(B$211+B$201)))</f>
        <v>-2.6030368763557483E-2</v>
      </c>
      <c r="C254" s="265">
        <f t="shared" si="47"/>
        <v>-0.10007230657989878</v>
      </c>
      <c r="D254" s="265">
        <f t="shared" si="47"/>
        <v>-0.11760707002039429</v>
      </c>
      <c r="E254" s="265">
        <f t="shared" si="47"/>
        <v>-8.6014721345951631E-2</v>
      </c>
      <c r="F254" s="265">
        <f t="shared" si="47"/>
        <v>-8.028673835125448E-2</v>
      </c>
      <c r="G254" s="266">
        <f t="shared" si="47"/>
        <v>-7.4475777295733916E-2</v>
      </c>
      <c r="H254" s="266">
        <f t="shared" si="47"/>
        <v>-7.4475777295733916E-2</v>
      </c>
      <c r="I254" s="266">
        <f t="shared" si="47"/>
        <v>-7.4475777295733916E-2</v>
      </c>
      <c r="J254" s="33"/>
    </row>
    <row r="255" spans="1:11" ht="10.5" customHeight="1" x14ac:dyDescent="0.2">
      <c r="A255" s="254" t="s">
        <v>338</v>
      </c>
      <c r="B255" s="255">
        <f t="shared" ref="B255:I255" si="48">IF(OR(B$21=0,SUM(B$174,B$182)=0), "n/a",(B$29/B$21)*(B$21/(SUM(B$174,B$182))))</f>
        <v>0</v>
      </c>
      <c r="C255" s="255">
        <f t="shared" si="48"/>
        <v>0</v>
      </c>
      <c r="D255" s="255">
        <f t="shared" si="48"/>
        <v>0</v>
      </c>
      <c r="E255" s="255">
        <f t="shared" si="48"/>
        <v>0</v>
      </c>
      <c r="F255" s="255">
        <f t="shared" si="48"/>
        <v>0</v>
      </c>
      <c r="G255" s="256">
        <f t="shared" si="48"/>
        <v>0</v>
      </c>
      <c r="H255" s="256">
        <f t="shared" si="48"/>
        <v>0</v>
      </c>
      <c r="I255" s="256">
        <f t="shared" si="48"/>
        <v>0</v>
      </c>
      <c r="J255" s="33"/>
    </row>
    <row r="256" spans="1:11" x14ac:dyDescent="0.2">
      <c r="A256" s="246" t="s">
        <v>249</v>
      </c>
      <c r="B256" s="369"/>
      <c r="C256" s="369"/>
      <c r="D256" s="369"/>
      <c r="E256" s="369"/>
      <c r="F256" s="369"/>
      <c r="G256" s="370"/>
      <c r="H256" s="370"/>
      <c r="I256" s="370"/>
      <c r="J256" s="33"/>
    </row>
    <row r="257" spans="1:11" x14ac:dyDescent="0.2">
      <c r="A257" s="250" t="s">
        <v>339</v>
      </c>
      <c r="B257" s="279">
        <f t="shared" ref="B257:I257" si="49">(IF(AND(B$21&gt;0,B$70&gt;0),B$21/B$70,"n/a"))</f>
        <v>148.42857142857142</v>
      </c>
      <c r="C257" s="279">
        <f t="shared" si="49"/>
        <v>124.46875</v>
      </c>
      <c r="D257" s="279">
        <f t="shared" si="49"/>
        <v>94.647058823529406</v>
      </c>
      <c r="E257" s="279">
        <f t="shared" si="49"/>
        <v>71.526315789473685</v>
      </c>
      <c r="F257" s="279">
        <f t="shared" si="49"/>
        <v>80.454545454545453</v>
      </c>
      <c r="G257" s="280">
        <f t="shared" si="49"/>
        <v>56.880597014925371</v>
      </c>
      <c r="H257" s="280">
        <f t="shared" si="49"/>
        <v>56.880597014925371</v>
      </c>
      <c r="I257" s="280">
        <f t="shared" si="49"/>
        <v>56.880597014925371</v>
      </c>
      <c r="J257" s="33"/>
      <c r="K257" s="269"/>
    </row>
    <row r="258" spans="1:11" x14ac:dyDescent="0.2">
      <c r="A258" s="250" t="s">
        <v>340</v>
      </c>
      <c r="B258" s="259">
        <f t="shared" ref="B258:I258" si="50">B$133-B$136</f>
        <v>1956.55</v>
      </c>
      <c r="C258" s="259">
        <f t="shared" si="50"/>
        <v>2714</v>
      </c>
      <c r="D258" s="259">
        <f t="shared" si="50"/>
        <v>2014</v>
      </c>
      <c r="E258" s="259">
        <f t="shared" si="50"/>
        <v>1695.55</v>
      </c>
      <c r="F258" s="259">
        <f t="shared" si="50"/>
        <v>2254</v>
      </c>
      <c r="G258" s="260">
        <f t="shared" si="50"/>
        <v>2401</v>
      </c>
      <c r="H258" s="260">
        <f t="shared" si="50"/>
        <v>2401</v>
      </c>
      <c r="I258" s="260">
        <f t="shared" si="50"/>
        <v>2401</v>
      </c>
      <c r="J258" s="371"/>
    </row>
    <row r="259" spans="1:11" x14ac:dyDescent="0.2">
      <c r="A259" s="250" t="s">
        <v>341</v>
      </c>
      <c r="B259" s="279">
        <f>(IF(B$70&gt;0,B$258/B$70, "n/a"))</f>
        <v>93.169047619047618</v>
      </c>
      <c r="C259" s="279">
        <f t="shared" ref="C259:I259" si="51">(IF(C$70&gt;0,C$258/C$70, "na"))</f>
        <v>84.8125</v>
      </c>
      <c r="D259" s="279">
        <f t="shared" si="51"/>
        <v>59.235294117647058</v>
      </c>
      <c r="E259" s="279">
        <f t="shared" si="51"/>
        <v>44.619736842105262</v>
      </c>
      <c r="F259" s="279">
        <f t="shared" si="51"/>
        <v>51.227272727272727</v>
      </c>
      <c r="G259" s="280">
        <f t="shared" si="51"/>
        <v>35.835820895522389</v>
      </c>
      <c r="H259" s="280">
        <f t="shared" si="51"/>
        <v>35.835820895522389</v>
      </c>
      <c r="I259" s="280">
        <f t="shared" si="51"/>
        <v>35.835820895522389</v>
      </c>
      <c r="J259" s="371"/>
    </row>
    <row r="260" spans="1:11" x14ac:dyDescent="0.2">
      <c r="A260" s="254" t="s">
        <v>342</v>
      </c>
      <c r="B260" s="372">
        <f t="shared" ref="B260:I260" si="52">IF(B$71&gt;0,B$258/B$71, "n/a")</f>
        <v>122.284375</v>
      </c>
      <c r="C260" s="372">
        <f t="shared" si="52"/>
        <v>150.77777777777777</v>
      </c>
      <c r="D260" s="372">
        <f t="shared" si="52"/>
        <v>111.88888888888889</v>
      </c>
      <c r="E260" s="372">
        <f t="shared" si="52"/>
        <v>77.070454545454538</v>
      </c>
      <c r="F260" s="372">
        <f t="shared" si="52"/>
        <v>80.5</v>
      </c>
      <c r="G260" s="373">
        <f t="shared" si="52"/>
        <v>48.02</v>
      </c>
      <c r="H260" s="373">
        <f t="shared" si="52"/>
        <v>48.02</v>
      </c>
      <c r="I260" s="373">
        <f t="shared" si="52"/>
        <v>48.02</v>
      </c>
      <c r="J260" s="33"/>
    </row>
    <row r="261" spans="1:11" ht="10.5" customHeight="1" x14ac:dyDescent="0.2">
      <c r="A261" s="374" t="s">
        <v>258</v>
      </c>
      <c r="B261" s="375"/>
      <c r="C261" s="376"/>
      <c r="D261" s="376"/>
      <c r="E261" s="376"/>
      <c r="F261" s="376"/>
      <c r="G261" s="377"/>
      <c r="H261" s="377"/>
      <c r="I261" s="377"/>
      <c r="J261" s="33"/>
    </row>
    <row r="262" spans="1:11" ht="10.5" customHeight="1" x14ac:dyDescent="0.2">
      <c r="A262" s="254" t="s">
        <v>343</v>
      </c>
      <c r="B262" s="295" t="str">
        <f t="shared" ref="B262:I262" si="53">IF((B$174-B$172)=0,"n/a",B$133/(B$174-B$172))</f>
        <v>n/a</v>
      </c>
      <c r="C262" s="295" t="str">
        <f t="shared" si="53"/>
        <v>n/a</v>
      </c>
      <c r="D262" s="295" t="str">
        <f t="shared" si="53"/>
        <v>n/a</v>
      </c>
      <c r="E262" s="295" t="str">
        <f t="shared" si="53"/>
        <v>n/a</v>
      </c>
      <c r="F262" s="295" t="str">
        <f t="shared" si="53"/>
        <v>n/a</v>
      </c>
      <c r="G262" s="378" t="str">
        <f t="shared" si="53"/>
        <v>n/a</v>
      </c>
      <c r="H262" s="378" t="str">
        <f t="shared" si="53"/>
        <v>n/a</v>
      </c>
      <c r="I262" s="378" t="str">
        <f t="shared" si="53"/>
        <v>n/a</v>
      </c>
      <c r="J262" s="33"/>
    </row>
    <row r="263" spans="1:11" ht="10.5" customHeight="1" x14ac:dyDescent="0.2">
      <c r="A263" s="379" t="s">
        <v>344</v>
      </c>
      <c r="B263" s="380"/>
      <c r="C263" s="380"/>
      <c r="D263" s="380"/>
      <c r="E263" s="380"/>
      <c r="F263" s="380"/>
      <c r="G263" s="381"/>
      <c r="H263" s="381"/>
      <c r="I263" s="381"/>
      <c r="J263" s="33"/>
    </row>
    <row r="264" spans="1:11" ht="10.5" customHeight="1" x14ac:dyDescent="0.2">
      <c r="A264" s="250" t="s">
        <v>345</v>
      </c>
      <c r="B264" s="367">
        <f t="shared" ref="B264:I264" si="54">IF(B$133=0,"n/a",(((B$177+B$178+B$181)-(B$188+B$189))/B$133))</f>
        <v>8.5980109079242861E-2</v>
      </c>
      <c r="C264" s="367">
        <f t="shared" si="54"/>
        <v>0.11222696459954808</v>
      </c>
      <c r="D264" s="367">
        <f t="shared" si="54"/>
        <v>0.16671845866998136</v>
      </c>
      <c r="E264" s="367">
        <f t="shared" si="54"/>
        <v>0.16677704194260484</v>
      </c>
      <c r="F264" s="367">
        <f t="shared" si="54"/>
        <v>0.15774011299435028</v>
      </c>
      <c r="G264" s="368">
        <f t="shared" si="54"/>
        <v>0.16071897139858304</v>
      </c>
      <c r="H264" s="368">
        <f t="shared" si="54"/>
        <v>0.16071897139858304</v>
      </c>
      <c r="I264" s="368">
        <f t="shared" si="54"/>
        <v>0.16071897139858304</v>
      </c>
      <c r="J264" s="33"/>
    </row>
    <row r="265" spans="1:11" ht="10.5" customHeight="1" x14ac:dyDescent="0.2">
      <c r="A265" s="250" t="s">
        <v>346</v>
      </c>
      <c r="B265" s="310">
        <f t="shared" ref="B265:I265" si="55">IF(B$133=0, "n/a", B$192/B$133*365)</f>
        <v>65.575874238049408</v>
      </c>
      <c r="C265" s="310">
        <f t="shared" si="55"/>
        <v>64.8807431584233</v>
      </c>
      <c r="D265" s="310">
        <f t="shared" si="55"/>
        <v>116.15234617775016</v>
      </c>
      <c r="E265" s="310">
        <f t="shared" si="55"/>
        <v>53.689109639440758</v>
      </c>
      <c r="F265" s="310">
        <f t="shared" si="55"/>
        <v>53.244632768361583</v>
      </c>
      <c r="G265" s="382">
        <f t="shared" si="55"/>
        <v>56.555366045657308</v>
      </c>
      <c r="H265" s="382">
        <f t="shared" si="55"/>
        <v>56.555366045657308</v>
      </c>
      <c r="I265" s="382">
        <f t="shared" si="55"/>
        <v>56.555366045657308</v>
      </c>
      <c r="J265" s="33"/>
    </row>
    <row r="266" spans="1:11" ht="10.5" customHeight="1" x14ac:dyDescent="0.2">
      <c r="A266" s="250" t="s">
        <v>347</v>
      </c>
      <c r="B266" s="310">
        <f t="shared" ref="B266:I266" si="56">IF(B$136&gt;0,B$177/(B$136/365),IF(B$138&gt;0,B$177/(B$138/365), "n/a"))</f>
        <v>63.535697358783231</v>
      </c>
      <c r="C266" s="310">
        <f t="shared" si="56"/>
        <v>56.950354609929079</v>
      </c>
      <c r="D266" s="310">
        <f t="shared" si="56"/>
        <v>59.873338870431887</v>
      </c>
      <c r="E266" s="310">
        <f t="shared" si="56"/>
        <v>70.504670155019809</v>
      </c>
      <c r="F266" s="310">
        <f t="shared" si="56"/>
        <v>55.913685847589427</v>
      </c>
      <c r="G266" s="382">
        <f t="shared" si="56"/>
        <v>50.99645390070922</v>
      </c>
      <c r="H266" s="382">
        <f t="shared" si="56"/>
        <v>50.99645390070922</v>
      </c>
      <c r="I266" s="382">
        <f t="shared" si="56"/>
        <v>50.99645390070922</v>
      </c>
      <c r="J266" s="33"/>
    </row>
    <row r="267" spans="1:11" ht="10.5" customHeight="1" x14ac:dyDescent="0.2">
      <c r="A267" s="250" t="s">
        <v>348</v>
      </c>
      <c r="B267" s="310">
        <f t="shared" ref="B267:I267" si="57">IF(B$133&gt;0,B$178/(B$133/365),"na")</f>
        <v>57.730189284568503</v>
      </c>
      <c r="C267" s="310">
        <f t="shared" si="57"/>
        <v>62.681395932714032</v>
      </c>
      <c r="D267" s="310">
        <f t="shared" si="57"/>
        <v>59.661280298321941</v>
      </c>
      <c r="E267" s="310">
        <f t="shared" si="57"/>
        <v>57.744665194996315</v>
      </c>
      <c r="F267" s="310">
        <f t="shared" si="57"/>
        <v>60.575564971751412</v>
      </c>
      <c r="G267" s="382">
        <f t="shared" si="57"/>
        <v>61.257937549199696</v>
      </c>
      <c r="H267" s="382">
        <f t="shared" si="57"/>
        <v>61.257937549199696</v>
      </c>
      <c r="I267" s="382">
        <f t="shared" si="57"/>
        <v>61.257937549199696</v>
      </c>
      <c r="J267" s="33"/>
    </row>
    <row r="268" spans="1:11" ht="10.5" customHeight="1" x14ac:dyDescent="0.2">
      <c r="A268" s="383" t="s">
        <v>349</v>
      </c>
      <c r="B268" s="384">
        <f t="shared" ref="B268:I268" si="58">IF(B$136&gt;0,B$188/B$136*365,IF(B$138&gt;0,B$188/B$138*365, "na"))</f>
        <v>79.262355120858288</v>
      </c>
      <c r="C268" s="384">
        <f t="shared" si="58"/>
        <v>113.90070921985816</v>
      </c>
      <c r="D268" s="384">
        <f t="shared" si="58"/>
        <v>33.044019933554814</v>
      </c>
      <c r="E268" s="384">
        <f t="shared" si="58"/>
        <v>47.693285735243776</v>
      </c>
      <c r="F268" s="384">
        <f t="shared" si="58"/>
        <v>53.643079315707624</v>
      </c>
      <c r="G268" s="385">
        <f t="shared" si="58"/>
        <v>53.714539007092192</v>
      </c>
      <c r="H268" s="385">
        <f t="shared" si="58"/>
        <v>53.714539007092192</v>
      </c>
      <c r="I268" s="385">
        <f t="shared" si="58"/>
        <v>53.714539007092192</v>
      </c>
      <c r="J268" s="39"/>
    </row>
    <row r="269" spans="1:11" ht="10.5" customHeight="1" x14ac:dyDescent="0.2">
      <c r="A269" s="269"/>
      <c r="B269" s="272"/>
      <c r="C269" s="272"/>
      <c r="D269" s="272"/>
      <c r="E269" s="272"/>
      <c r="F269" s="272"/>
      <c r="G269" s="272"/>
      <c r="H269" s="272"/>
      <c r="I269" s="272"/>
      <c r="J269" s="18"/>
    </row>
    <row r="270" spans="1:11" ht="10.5" customHeight="1" x14ac:dyDescent="0.2">
      <c r="A270" s="269"/>
      <c r="B270" s="272"/>
      <c r="C270" s="272"/>
      <c r="D270" s="272"/>
      <c r="E270" s="272"/>
      <c r="F270" s="272"/>
      <c r="G270" s="272"/>
      <c r="H270" s="272"/>
      <c r="I270" s="272"/>
      <c r="J270" s="18"/>
    </row>
    <row r="271" spans="1:11" ht="10.5" customHeight="1" x14ac:dyDescent="0.2">
      <c r="A271" s="269"/>
      <c r="B271" s="265"/>
      <c r="C271" s="265"/>
      <c r="D271" s="265"/>
      <c r="E271" s="265"/>
      <c r="F271" s="265"/>
      <c r="G271" s="265"/>
      <c r="H271" s="265"/>
      <c r="I271" s="265"/>
      <c r="J271" s="18"/>
    </row>
    <row r="272" spans="1:11" x14ac:dyDescent="0.2">
      <c r="B272" s="483" t="s">
        <v>245</v>
      </c>
      <c r="C272" s="483"/>
      <c r="D272" s="483"/>
      <c r="E272" s="483"/>
      <c r="F272" s="483"/>
      <c r="G272" s="483"/>
      <c r="H272" s="386"/>
      <c r="I272" s="386"/>
    </row>
    <row r="273" spans="2:14" x14ac:dyDescent="0.2">
      <c r="B273" s="483"/>
      <c r="C273" s="483"/>
      <c r="D273" s="483"/>
      <c r="E273" s="483"/>
      <c r="F273" s="483"/>
      <c r="G273" s="483"/>
      <c r="H273" s="386"/>
      <c r="I273" s="386"/>
    </row>
    <row r="274" spans="2:14" x14ac:dyDescent="0.2">
      <c r="B274" s="76"/>
      <c r="C274" s="269"/>
      <c r="D274" s="269"/>
      <c r="E274" s="269"/>
      <c r="F274" s="269"/>
      <c r="G274" s="387"/>
      <c r="H274" s="269"/>
      <c r="I274" s="269"/>
    </row>
    <row r="275" spans="2:14" ht="17.25" customHeight="1" x14ac:dyDescent="0.2">
      <c r="B275" s="462" t="s">
        <v>350</v>
      </c>
      <c r="C275" s="462"/>
      <c r="D275" s="463" t="s">
        <v>351</v>
      </c>
      <c r="E275" s="463"/>
      <c r="F275" s="464" t="s">
        <v>352</v>
      </c>
      <c r="G275" s="464"/>
      <c r="H275" s="388"/>
      <c r="I275" s="388"/>
      <c r="K275" s="480"/>
      <c r="L275" s="480"/>
    </row>
    <row r="276" spans="2:14" ht="14.25" customHeight="1" x14ac:dyDescent="0.2">
      <c r="B276" s="476">
        <f>Accounts!$G$34</f>
        <v>45291</v>
      </c>
      <c r="C276" s="476">
        <v>44926</v>
      </c>
      <c r="D276" s="477">
        <f>IF(ISERR(PRODUCT(B$284,D$284,F$284)),"n/a",PRODUCT(B$284,D$284,F$284))</f>
        <v>7.5342465753424639E-2</v>
      </c>
      <c r="E276" s="477" t="e">
        <f>#REF!*#REF!*#REF!</f>
        <v>#REF!</v>
      </c>
      <c r="F276" s="389" t="s">
        <v>244</v>
      </c>
      <c r="G276" s="390"/>
      <c r="H276" s="389"/>
      <c r="I276" s="389"/>
      <c r="K276" s="269"/>
    </row>
    <row r="277" spans="2:14" ht="14.25" customHeight="1" x14ac:dyDescent="0.2">
      <c r="B277" s="478">
        <f>Accounts!$F$34</f>
        <v>44926</v>
      </c>
      <c r="C277" s="478">
        <v>44561</v>
      </c>
      <c r="D277" s="479">
        <f>IF(ISERR(PRODUCT(B$285,D$285,F$285)),"n/a",PRODUCT(B$285,D$285,F$285))</f>
        <v>2.8113161015106792E-2</v>
      </c>
      <c r="E277" s="479" t="e">
        <f>#REF!*#REF!*#REF!</f>
        <v>#REF!</v>
      </c>
      <c r="F277" s="85"/>
      <c r="G277" s="391">
        <v>1</v>
      </c>
      <c r="H277" s="392"/>
      <c r="I277" s="392"/>
      <c r="K277" s="393"/>
    </row>
    <row r="278" spans="2:14" ht="14.25" customHeight="1" x14ac:dyDescent="0.2">
      <c r="B278" s="476">
        <f>Accounts!$E$34</f>
        <v>44561</v>
      </c>
      <c r="C278" s="476">
        <v>44196</v>
      </c>
      <c r="D278" s="477">
        <f>IF(ISERR(PRODUCT(B$286,D$286,F$286)),"n/a",PRODUCT(B$286,D$286,F$286))</f>
        <v>-0.2072869209582309</v>
      </c>
      <c r="E278" s="477" t="e">
        <f>#REF!*#REF!*#REF!</f>
        <v>#REF!</v>
      </c>
      <c r="F278" s="389" t="s">
        <v>353</v>
      </c>
      <c r="G278" s="394"/>
      <c r="H278" s="389"/>
      <c r="I278" s="389"/>
      <c r="K278" s="269"/>
    </row>
    <row r="279" spans="2:14" ht="14.25" customHeight="1" x14ac:dyDescent="0.2">
      <c r="B279" s="478">
        <f>Accounts!$D$34</f>
        <v>44196</v>
      </c>
      <c r="C279" s="478">
        <v>43830</v>
      </c>
      <c r="D279" s="479">
        <f>PRODUCT(B287,D$287,F$287)</f>
        <v>0.10472444828407958</v>
      </c>
      <c r="E279" s="479" t="e">
        <f>#REF!*#REF!*#REF!</f>
        <v>#REF!</v>
      </c>
      <c r="F279" s="85"/>
      <c r="G279" s="391">
        <v>1</v>
      </c>
      <c r="H279" s="392"/>
      <c r="I279" s="392"/>
      <c r="K279" s="393"/>
    </row>
    <row r="280" spans="2:14" ht="14.25" customHeight="1" x14ac:dyDescent="0.2">
      <c r="B280" s="476">
        <f>Accounts!$C$34</f>
        <v>43830</v>
      </c>
      <c r="C280" s="476">
        <v>43465</v>
      </c>
      <c r="D280" s="477">
        <f>PRODUCT(B$288,D$288,F$288)</f>
        <v>0.39654192325911891</v>
      </c>
      <c r="E280" s="477" t="e">
        <f>#REF!*#REF!*#REF!</f>
        <v>#REF!</v>
      </c>
      <c r="F280" s="389" t="s">
        <v>354</v>
      </c>
      <c r="G280" s="394"/>
      <c r="H280" s="389"/>
      <c r="I280" s="389"/>
      <c r="K280" s="269"/>
    </row>
    <row r="281" spans="2:14" ht="14.25" customHeight="1" x14ac:dyDescent="0.2">
      <c r="B281" s="474">
        <f>Accounts!$B$34</f>
        <v>43465</v>
      </c>
      <c r="C281" s="474">
        <v>43100</v>
      </c>
      <c r="D281" s="475">
        <f>PRODUCT(B$289,D$289,F$289)</f>
        <v>0.10202458423716552</v>
      </c>
      <c r="E281" s="475" t="e">
        <f>#REF!*#REF!*#REF!</f>
        <v>#REF!</v>
      </c>
      <c r="F281" s="395"/>
      <c r="G281" s="396">
        <v>1</v>
      </c>
      <c r="H281" s="392"/>
      <c r="I281" s="392"/>
      <c r="K281" s="393"/>
    </row>
    <row r="282" spans="2:14" x14ac:dyDescent="0.2">
      <c r="B282" s="76"/>
      <c r="C282" s="269"/>
      <c r="D282" s="269"/>
      <c r="E282" s="269"/>
      <c r="F282" s="269"/>
      <c r="G282" s="387"/>
      <c r="H282" s="269"/>
      <c r="I282" s="269"/>
      <c r="K282" s="269"/>
      <c r="N282" s="397"/>
    </row>
    <row r="283" spans="2:14" ht="17.25" customHeight="1" x14ac:dyDescent="0.2">
      <c r="B283" s="462" t="s">
        <v>244</v>
      </c>
      <c r="C283" s="462"/>
      <c r="D283" s="463" t="s">
        <v>355</v>
      </c>
      <c r="E283" s="463"/>
      <c r="F283" s="464" t="s">
        <v>356</v>
      </c>
      <c r="G283" s="464"/>
      <c r="H283" s="388"/>
      <c r="I283" s="388"/>
      <c r="K283" s="393"/>
      <c r="M283" s="398"/>
      <c r="N283" s="397"/>
    </row>
    <row r="284" spans="2:14" ht="14.25" customHeight="1" x14ac:dyDescent="0.2">
      <c r="B284" s="465">
        <f>IF(ISERR((G$157/G133)*$G$277),"n/a",(G$157/G133)*$G$277)</f>
        <v>3.4059302020467065E-2</v>
      </c>
      <c r="C284" s="465"/>
      <c r="D284" s="466">
        <f>IF(ISERR(((G$133/((G$174+G$182)-G$190))*$G$279)),"n/a",((G$133/((G$174+G$182)-G$190))*$G$279))</f>
        <v>2.2120965869514739</v>
      </c>
      <c r="E284" s="466"/>
      <c r="F284" s="467">
        <f>IF(ISERR((((1+(G$201/G$211)))*$G$281)),"n/a",(((1+(G$201/G$211)))*$G$281))</f>
        <v>1</v>
      </c>
      <c r="G284" s="467"/>
      <c r="H284" s="399"/>
      <c r="I284" s="399"/>
      <c r="M284" s="400"/>
    </row>
    <row r="285" spans="2:14" ht="14.25" customHeight="1" x14ac:dyDescent="0.2">
      <c r="B285" s="471">
        <f>IF(ISERR((F$157/F$133)*$G$277),"n/a",(F$157/F$133)*$G$277)</f>
        <v>1.3559322033898305E-2</v>
      </c>
      <c r="C285" s="471"/>
      <c r="D285" s="472">
        <f>IF(ISERR(((F$133/((F$174+F$182)-F$190))*$G$279)),"n/a",((F$133/((F$174+F$182)-F$190))*$G$279))</f>
        <v>2.055510393682499</v>
      </c>
      <c r="E285" s="472"/>
      <c r="F285" s="473">
        <f>IF(ISERR((((1+(F$201/F$211)))*$G$281)),"n/a",(((1+(F$201/F$211)))*$G$281))</f>
        <v>1.0086767895878526</v>
      </c>
      <c r="G285" s="473"/>
      <c r="H285" s="401"/>
      <c r="I285" s="401"/>
      <c r="M285" s="400"/>
    </row>
    <row r="286" spans="2:14" ht="14.25" customHeight="1" x14ac:dyDescent="0.2">
      <c r="B286" s="465">
        <f>IF(ISERR((E$157/E$133)*$G$277),"n/a",(E$157/E$133)*$G$277)</f>
        <v>-0.12477924944812355</v>
      </c>
      <c r="C286" s="465"/>
      <c r="D286" s="466">
        <f>IF(ISERR((E$133/((E$174+E$182)-E$190))*$G$279),"n/a",(E$133/((E$174+E$182)-E$190))*$G$279)</f>
        <v>1.6105712254088647</v>
      </c>
      <c r="E286" s="466"/>
      <c r="F286" s="467">
        <f>IF(ISERR(((1+(E$201/E$211)))*$G$281),"n/a",((1+(E$201/E$211)))*$G$281)</f>
        <v>1.0314533622559654</v>
      </c>
      <c r="G286" s="467"/>
      <c r="H286" s="399"/>
      <c r="I286" s="399"/>
      <c r="M286" s="400"/>
    </row>
    <row r="287" spans="2:14" ht="14.25" customHeight="1" x14ac:dyDescent="0.2">
      <c r="B287" s="471">
        <f>IF(D$133&gt;0,D$157/D$133,"n/a")</f>
        <v>7.358607830950907E-2</v>
      </c>
      <c r="C287" s="471"/>
      <c r="D287" s="472">
        <f>IF(((D$174+D$182)-D$190)&gt;0,((D$133/((D$174+D$182)-D$190))),"n/a")</f>
        <v>1.3380179206253506</v>
      </c>
      <c r="E287" s="472"/>
      <c r="F287" s="473">
        <f>IF(D$211&gt;0,(1+(D$201/D$211)),"n/a")</f>
        <v>1.0636297903109182</v>
      </c>
      <c r="G287" s="473"/>
      <c r="H287" s="401"/>
      <c r="I287" s="401"/>
    </row>
    <row r="288" spans="2:14" ht="14.25" customHeight="1" x14ac:dyDescent="0.2">
      <c r="B288" s="465">
        <f>IF(C$133&gt;0,C$157/C$133, "n/a")</f>
        <v>0.21016821491338189</v>
      </c>
      <c r="C288" s="465"/>
      <c r="D288" s="466">
        <f>IF(((C$174+C$182)-C$190)&gt;0,((C$133/((C$174+C$182)-C$190))),"n/a")</f>
        <v>1.8867835149218379</v>
      </c>
      <c r="E288" s="466"/>
      <c r="F288" s="467">
        <f>IF(C$211&gt;0,(1+(C$201/C$211)),"n/a")</f>
        <v>1</v>
      </c>
      <c r="G288" s="467"/>
      <c r="H288" s="399"/>
      <c r="I288" s="399"/>
    </row>
    <row r="289" spans="1:9" ht="14.25" customHeight="1" x14ac:dyDescent="0.2">
      <c r="B289" s="468">
        <f>IF(B$133&gt;0,B$157/B$133,"n/a")</f>
        <v>4.5267885787616272E-2</v>
      </c>
      <c r="C289" s="468"/>
      <c r="D289" s="469">
        <f>IF(((B$174+B$182)-B$190)&gt;0,((B$133/((B$174+B$182)-B$190))),"n/a")</f>
        <v>2.2537960954446854</v>
      </c>
      <c r="E289" s="469"/>
      <c r="F289" s="470">
        <f>IF(B$211&gt;0,(1+(B$201/B$211)),"n/a")</f>
        <v>1</v>
      </c>
      <c r="G289" s="470"/>
      <c r="H289" s="401"/>
      <c r="I289" s="401"/>
    </row>
    <row r="290" spans="1:9" x14ac:dyDescent="0.2">
      <c r="B290" s="76"/>
      <c r="C290" s="269"/>
      <c r="D290" s="269"/>
      <c r="E290" s="269"/>
      <c r="F290" s="269"/>
      <c r="G290" s="387"/>
      <c r="H290" s="269"/>
      <c r="I290" s="269"/>
    </row>
    <row r="291" spans="1:9" ht="17.25" customHeight="1" x14ac:dyDescent="0.2">
      <c r="B291" s="462" t="s">
        <v>357</v>
      </c>
      <c r="C291" s="462"/>
      <c r="D291" s="463" t="s">
        <v>358</v>
      </c>
      <c r="E291" s="463"/>
      <c r="F291" s="464" t="s">
        <v>359</v>
      </c>
      <c r="G291" s="464"/>
      <c r="H291" s="388"/>
      <c r="I291" s="388"/>
    </row>
    <row r="292" spans="1:9" ht="14.25" customHeight="1" x14ac:dyDescent="0.2">
      <c r="B292" s="459">
        <f>G$29</f>
        <v>0</v>
      </c>
      <c r="C292" s="459"/>
      <c r="D292" s="460">
        <f>G$21</f>
        <v>3811</v>
      </c>
      <c r="E292" s="460"/>
      <c r="F292" s="461">
        <f>SUM(G$174,G$182)</f>
        <v>2068.9</v>
      </c>
      <c r="G292" s="461"/>
      <c r="H292" s="402"/>
      <c r="I292" s="402"/>
    </row>
    <row r="293" spans="1:9" ht="14.25" customHeight="1" x14ac:dyDescent="0.2">
      <c r="B293" s="456">
        <f>F$29</f>
        <v>0</v>
      </c>
      <c r="C293" s="456"/>
      <c r="D293" s="457">
        <f>F$21</f>
        <v>3540</v>
      </c>
      <c r="E293" s="457"/>
      <c r="F293" s="458">
        <f>SUM(F$174,F$182)</f>
        <v>2100.3000000000002</v>
      </c>
      <c r="G293" s="458"/>
      <c r="H293" s="403"/>
      <c r="I293" s="403"/>
    </row>
    <row r="294" spans="1:9" ht="14.25" customHeight="1" x14ac:dyDescent="0.2">
      <c r="A294" s="404"/>
      <c r="B294" s="459">
        <f>E$29</f>
        <v>0</v>
      </c>
      <c r="C294" s="459"/>
      <c r="D294" s="460">
        <f>E$21</f>
        <v>2718</v>
      </c>
      <c r="E294" s="460"/>
      <c r="F294" s="461">
        <f>SUM(E$174,E$182)</f>
        <v>2035.6999999999998</v>
      </c>
      <c r="G294" s="461"/>
      <c r="H294" s="402"/>
      <c r="I294" s="402"/>
    </row>
    <row r="295" spans="1:9" ht="14.25" customHeight="1" x14ac:dyDescent="0.2">
      <c r="A295" s="404"/>
      <c r="B295" s="456">
        <f>D$29</f>
        <v>0</v>
      </c>
      <c r="C295" s="456"/>
      <c r="D295" s="457">
        <f>D$21</f>
        <v>3218</v>
      </c>
      <c r="E295" s="457"/>
      <c r="F295" s="458">
        <f>SUM(D$174,D$182)</f>
        <v>2766.5</v>
      </c>
      <c r="G295" s="458"/>
      <c r="H295" s="403"/>
      <c r="I295" s="403"/>
    </row>
    <row r="296" spans="1:9" ht="14.25" customHeight="1" x14ac:dyDescent="0.2">
      <c r="A296" s="404"/>
      <c r="B296" s="459">
        <f>C$29</f>
        <v>0</v>
      </c>
      <c r="C296" s="459"/>
      <c r="D296" s="460">
        <f>C$21</f>
        <v>3983</v>
      </c>
      <c r="E296" s="460"/>
      <c r="F296" s="461">
        <f>SUM($C$174,$C$182)</f>
        <v>2804</v>
      </c>
      <c r="G296" s="461"/>
      <c r="H296" s="402"/>
      <c r="I296" s="402"/>
    </row>
    <row r="297" spans="1:9" ht="14.25" customHeight="1" x14ac:dyDescent="0.2">
      <c r="B297" s="453">
        <f>B$29</f>
        <v>0</v>
      </c>
      <c r="C297" s="453"/>
      <c r="D297" s="454">
        <f>B$21</f>
        <v>3117</v>
      </c>
      <c r="E297" s="454"/>
      <c r="F297" s="455">
        <f>SUM(B$174,B$182)</f>
        <v>1975</v>
      </c>
      <c r="G297" s="455"/>
      <c r="H297" s="403"/>
      <c r="I297" s="403"/>
    </row>
    <row r="298" spans="1:9" x14ac:dyDescent="0.2">
      <c r="B298" s="346"/>
      <c r="C298" s="347"/>
      <c r="D298" s="347"/>
      <c r="E298" s="347"/>
      <c r="F298" s="347"/>
      <c r="G298" s="405"/>
      <c r="H298" s="269"/>
      <c r="I298" s="269"/>
    </row>
    <row r="300" spans="1:9" hidden="1" x14ac:dyDescent="0.2"/>
    <row r="301" spans="1:9" hidden="1" x14ac:dyDescent="0.2"/>
    <row r="302" spans="1:9" hidden="1" x14ac:dyDescent="0.2"/>
    <row r="303" spans="1:9" hidden="1" x14ac:dyDescent="0.2"/>
    <row r="304" spans="1:9" hidden="1" x14ac:dyDescent="0.2"/>
    <row r="305" spans="4:4" hidden="1" x14ac:dyDescent="0.2"/>
    <row r="306" spans="4:4" hidden="1" x14ac:dyDescent="0.2"/>
    <row r="307" spans="4:4" hidden="1" x14ac:dyDescent="0.2"/>
    <row r="308" spans="4:4" hidden="1" x14ac:dyDescent="0.2"/>
    <row r="309" spans="4:4" hidden="1" x14ac:dyDescent="0.2"/>
    <row r="310" spans="4:4" hidden="1" x14ac:dyDescent="0.2"/>
    <row r="311" spans="4:4" hidden="1" x14ac:dyDescent="0.2"/>
    <row r="312" spans="4:4" hidden="1" x14ac:dyDescent="0.2"/>
    <row r="313" spans="4:4" hidden="1" x14ac:dyDescent="0.2"/>
    <row r="314" spans="4:4" hidden="1" x14ac:dyDescent="0.2">
      <c r="D314" s="398" t="s">
        <v>360</v>
      </c>
    </row>
    <row r="315" spans="4:4" hidden="1" x14ac:dyDescent="0.2">
      <c r="D315" s="400">
        <v>-0.15</v>
      </c>
    </row>
    <row r="316" spans="4:4" hidden="1" x14ac:dyDescent="0.2">
      <c r="D316" s="400">
        <v>-0.1</v>
      </c>
    </row>
    <row r="317" spans="4:4" hidden="1" x14ac:dyDescent="0.2">
      <c r="D317" s="400">
        <v>-0.05</v>
      </c>
    </row>
    <row r="318" spans="4:4" hidden="1" x14ac:dyDescent="0.2">
      <c r="D318" s="400">
        <v>0.05</v>
      </c>
    </row>
    <row r="319" spans="4:4" hidden="1" x14ac:dyDescent="0.2">
      <c r="D319" s="400">
        <v>0.1</v>
      </c>
    </row>
    <row r="320" spans="4:4" hidden="1" x14ac:dyDescent="0.2">
      <c r="D320" s="400">
        <v>0.15</v>
      </c>
    </row>
    <row r="321" spans="1:10" hidden="1" x14ac:dyDescent="0.2">
      <c r="D321" s="397"/>
    </row>
    <row r="322" spans="1:10" hidden="1" x14ac:dyDescent="0.2"/>
    <row r="323" spans="1:10" hidden="1" x14ac:dyDescent="0.2">
      <c r="D323" s="404"/>
    </row>
    <row r="324" spans="1:10" hidden="1" x14ac:dyDescent="0.2">
      <c r="D324" s="404">
        <v>2</v>
      </c>
    </row>
    <row r="325" spans="1:10" hidden="1" x14ac:dyDescent="0.2">
      <c r="D325" s="404">
        <v>1.75</v>
      </c>
    </row>
    <row r="326" spans="1:10" hidden="1" x14ac:dyDescent="0.2">
      <c r="D326" s="404">
        <v>1.5</v>
      </c>
    </row>
    <row r="327" spans="1:10" hidden="1" x14ac:dyDescent="0.2">
      <c r="D327" s="404">
        <v>1.25</v>
      </c>
    </row>
    <row r="328" spans="1:10" hidden="1" x14ac:dyDescent="0.2">
      <c r="D328" s="404">
        <v>1</v>
      </c>
    </row>
    <row r="329" spans="1:10" hidden="1" x14ac:dyDescent="0.2">
      <c r="D329" s="404">
        <v>0.75</v>
      </c>
    </row>
    <row r="330" spans="1:10" hidden="1" x14ac:dyDescent="0.2">
      <c r="D330" s="404">
        <v>0.5</v>
      </c>
    </row>
    <row r="331" spans="1:10" hidden="1" x14ac:dyDescent="0.2">
      <c r="D331" s="404">
        <v>0.25</v>
      </c>
    </row>
    <row r="332" spans="1:10" hidden="1" x14ac:dyDescent="0.2">
      <c r="D332" s="404">
        <v>0</v>
      </c>
    </row>
    <row r="334" spans="1:10" x14ac:dyDescent="0.2">
      <c r="A334" s="71" t="s">
        <v>123</v>
      </c>
      <c r="B334" s="332"/>
      <c r="C334" s="332"/>
      <c r="D334" s="332"/>
      <c r="E334" s="332"/>
      <c r="F334" s="332"/>
      <c r="G334" s="332"/>
      <c r="H334" s="332"/>
      <c r="I334" s="332"/>
      <c r="J334" s="72"/>
    </row>
    <row r="335" spans="1:10" x14ac:dyDescent="0.2">
      <c r="A335" s="73" t="s">
        <v>31</v>
      </c>
      <c r="B335" s="406">
        <v>40543</v>
      </c>
      <c r="C335" s="406">
        <v>40908</v>
      </c>
      <c r="D335" s="406">
        <v>41274</v>
      </c>
      <c r="E335" s="74">
        <f>Accounts!E$13</f>
        <v>44561</v>
      </c>
      <c r="F335" s="74">
        <f>Accounts!F$13</f>
        <v>44926</v>
      </c>
      <c r="G335" s="74">
        <f>Accounts!G$13</f>
        <v>45291</v>
      </c>
      <c r="H335" s="74">
        <f>Accounts!H$13</f>
        <v>45656</v>
      </c>
      <c r="I335" s="74">
        <f>Accounts!I$13</f>
        <v>46022</v>
      </c>
      <c r="J335" s="75"/>
    </row>
    <row r="336" spans="1:10" x14ac:dyDescent="0.2">
      <c r="A336" s="76"/>
      <c r="B336" s="407" t="s">
        <v>55</v>
      </c>
      <c r="C336" s="407" t="s">
        <v>55</v>
      </c>
      <c r="D336" s="407" t="s">
        <v>55</v>
      </c>
      <c r="E336" s="47" t="s">
        <v>55</v>
      </c>
      <c r="F336" s="47" t="s">
        <v>55</v>
      </c>
      <c r="G336" s="47" t="s">
        <v>55</v>
      </c>
      <c r="H336" s="47" t="s">
        <v>55</v>
      </c>
      <c r="I336" s="47" t="s">
        <v>55</v>
      </c>
      <c r="J336" s="77"/>
    </row>
    <row r="337" spans="1:10" x14ac:dyDescent="0.2">
      <c r="A337" s="236"/>
      <c r="B337" s="78"/>
      <c r="C337" s="78"/>
      <c r="D337" s="78"/>
      <c r="E337" s="78"/>
      <c r="F337" s="78"/>
      <c r="G337" s="78"/>
      <c r="H337" s="78"/>
      <c r="I337" s="78"/>
      <c r="J337" s="77"/>
    </row>
    <row r="338" spans="1:10" x14ac:dyDescent="0.2">
      <c r="A338" s="79" t="s">
        <v>124</v>
      </c>
      <c r="B338" s="78"/>
      <c r="C338" s="78"/>
      <c r="D338" s="78"/>
      <c r="E338" s="78"/>
      <c r="F338" s="78"/>
      <c r="G338" s="78"/>
      <c r="H338" s="78"/>
      <c r="I338" s="78"/>
      <c r="J338" s="77"/>
    </row>
    <row r="339" spans="1:10" x14ac:dyDescent="0.2">
      <c r="A339" s="80" t="s">
        <v>85</v>
      </c>
      <c r="B339" s="78"/>
      <c r="C339" s="78"/>
      <c r="D339" s="78"/>
      <c r="E339" s="84">
        <f>Accounts!E136</f>
        <v>0</v>
      </c>
      <c r="F339" s="84">
        <f>Accounts!F136</f>
        <v>0</v>
      </c>
      <c r="G339" s="84">
        <f>Accounts!G136</f>
        <v>0</v>
      </c>
      <c r="H339" s="84">
        <f>Accounts!H136</f>
        <v>0</v>
      </c>
      <c r="I339" s="84">
        <f>Accounts!I136</f>
        <v>0</v>
      </c>
      <c r="J339" s="77"/>
    </row>
    <row r="340" spans="1:10" x14ac:dyDescent="0.2">
      <c r="A340" s="236"/>
      <c r="B340" s="78"/>
      <c r="C340" s="78"/>
      <c r="D340" s="78"/>
      <c r="E340" s="269"/>
      <c r="F340" s="269"/>
      <c r="G340" s="269"/>
      <c r="H340" s="269"/>
      <c r="I340" s="269"/>
      <c r="J340" s="77"/>
    </row>
    <row r="341" spans="1:10" x14ac:dyDescent="0.2">
      <c r="A341" s="80" t="s">
        <v>125</v>
      </c>
      <c r="B341" s="78"/>
      <c r="C341" s="78"/>
      <c r="D341" s="78"/>
      <c r="E341" s="84">
        <f>Accounts!E138</f>
        <v>0</v>
      </c>
      <c r="F341" s="84">
        <f>Accounts!F138</f>
        <v>0</v>
      </c>
      <c r="G341" s="84">
        <f>Accounts!G138</f>
        <v>0</v>
      </c>
      <c r="H341" s="84">
        <f>Accounts!H138</f>
        <v>0</v>
      </c>
      <c r="I341" s="84">
        <f>Accounts!I138</f>
        <v>0</v>
      </c>
      <c r="J341" s="77"/>
    </row>
    <row r="342" spans="1:10" x14ac:dyDescent="0.2">
      <c r="A342" s="236"/>
      <c r="B342" s="78"/>
      <c r="C342" s="78"/>
      <c r="D342" s="78"/>
      <c r="E342" s="269"/>
      <c r="F342" s="269"/>
      <c r="G342" s="269"/>
      <c r="H342" s="269"/>
      <c r="I342" s="269"/>
      <c r="J342" s="77"/>
    </row>
    <row r="343" spans="1:10" x14ac:dyDescent="0.2">
      <c r="A343" s="82" t="s">
        <v>126</v>
      </c>
      <c r="B343" s="78"/>
      <c r="C343" s="78"/>
      <c r="D343" s="78"/>
      <c r="E343" s="269"/>
      <c r="F343" s="269"/>
      <c r="G343" s="269"/>
      <c r="H343" s="269"/>
      <c r="I343" s="269"/>
      <c r="J343" s="77"/>
    </row>
    <row r="344" spans="1:10" x14ac:dyDescent="0.2">
      <c r="A344" s="83" t="s">
        <v>127</v>
      </c>
      <c r="B344" s="78"/>
      <c r="C344" s="78"/>
      <c r="D344" s="78"/>
      <c r="E344" s="84">
        <f>Accounts!E141</f>
        <v>96</v>
      </c>
      <c r="F344" s="84">
        <f>Accounts!F141</f>
        <v>-157.5</v>
      </c>
      <c r="G344" s="84">
        <f>Accounts!G141</f>
        <v>-52.100000000000023</v>
      </c>
      <c r="H344" s="84">
        <f>Accounts!H141</f>
        <v>0</v>
      </c>
      <c r="I344" s="84">
        <f>Accounts!I141</f>
        <v>0</v>
      </c>
      <c r="J344" s="77"/>
    </row>
    <row r="345" spans="1:10" x14ac:dyDescent="0.2">
      <c r="A345" s="83" t="s">
        <v>128</v>
      </c>
      <c r="B345" s="78"/>
      <c r="C345" s="78"/>
      <c r="D345" s="78"/>
      <c r="E345" s="84">
        <f>Accounts!E142</f>
        <v>-0.40000000000000568</v>
      </c>
      <c r="F345" s="84">
        <f>Accounts!F142</f>
        <v>10.400000000000006</v>
      </c>
      <c r="G345" s="84">
        <f>Accounts!G142</f>
        <v>10</v>
      </c>
      <c r="H345" s="84">
        <f>Accounts!H142</f>
        <v>0</v>
      </c>
      <c r="I345" s="84">
        <f>Accounts!I142</f>
        <v>0</v>
      </c>
      <c r="J345" s="77"/>
    </row>
    <row r="346" spans="1:10" x14ac:dyDescent="0.2">
      <c r="A346" s="85" t="s">
        <v>129</v>
      </c>
      <c r="B346" s="78"/>
      <c r="C346" s="78"/>
      <c r="D346" s="78"/>
      <c r="E346" s="84">
        <f>Accounts!E143</f>
        <v>24.599999999999994</v>
      </c>
      <c r="F346" s="84">
        <f>Accounts!F143</f>
        <v>55.400000000000006</v>
      </c>
      <c r="G346" s="84">
        <f>Accounts!G143</f>
        <v>18.5</v>
      </c>
      <c r="H346" s="84">
        <f>Accounts!H143</f>
        <v>0</v>
      </c>
      <c r="I346" s="84">
        <f>Accounts!I143</f>
        <v>0</v>
      </c>
      <c r="J346" s="77"/>
    </row>
    <row r="347" spans="1:10" x14ac:dyDescent="0.2">
      <c r="A347" s="83" t="s">
        <v>130</v>
      </c>
      <c r="B347" s="78"/>
      <c r="C347" s="78"/>
      <c r="D347" s="78"/>
      <c r="E347" s="84">
        <f>Accounts!E144</f>
        <v>-37</v>
      </c>
      <c r="F347" s="84">
        <f>Accounts!F144</f>
        <v>-13.900000000000006</v>
      </c>
      <c r="G347" s="84">
        <f>Accounts!G144</f>
        <v>-30.499999999999986</v>
      </c>
      <c r="H347" s="84">
        <f>Accounts!H144</f>
        <v>0</v>
      </c>
      <c r="I347" s="84">
        <f>Accounts!I144</f>
        <v>0</v>
      </c>
      <c r="J347" s="77"/>
    </row>
    <row r="348" spans="1:10" x14ac:dyDescent="0.2">
      <c r="A348" s="85" t="s">
        <v>131</v>
      </c>
      <c r="B348" s="78"/>
      <c r="C348" s="78"/>
      <c r="D348" s="78"/>
      <c r="E348" s="84">
        <f>Accounts!E145</f>
        <v>83.199999999999989</v>
      </c>
      <c r="F348" s="84">
        <f>Accounts!F145</f>
        <v>-105.1</v>
      </c>
      <c r="G348" s="84">
        <f>Accounts!G145</f>
        <v>-54.100000000000009</v>
      </c>
      <c r="H348" s="84">
        <f>Accounts!H145</f>
        <v>0</v>
      </c>
      <c r="I348" s="84">
        <f>Accounts!I145</f>
        <v>0</v>
      </c>
      <c r="J348" s="77"/>
    </row>
    <row r="349" spans="1:10" x14ac:dyDescent="0.2">
      <c r="A349" s="79" t="s">
        <v>132</v>
      </c>
      <c r="B349" s="78"/>
      <c r="C349" s="78"/>
      <c r="D349" s="78"/>
      <c r="E349" s="86">
        <f>Accounts!E146</f>
        <v>0</v>
      </c>
      <c r="F349" s="86">
        <f>Accounts!F146</f>
        <v>0</v>
      </c>
      <c r="G349" s="86">
        <f>Accounts!G146</f>
        <v>0</v>
      </c>
      <c r="H349" s="86">
        <f>Accounts!H146</f>
        <v>0</v>
      </c>
      <c r="I349" s="86">
        <f>Accounts!I146</f>
        <v>0</v>
      </c>
      <c r="J349" s="77"/>
    </row>
    <row r="350" spans="1:10" x14ac:dyDescent="0.2">
      <c r="A350" s="80"/>
      <c r="B350" s="78"/>
      <c r="C350" s="78"/>
      <c r="D350" s="78"/>
      <c r="E350" s="269">
        <f>Accounts!E147</f>
        <v>-90.249999999999829</v>
      </c>
      <c r="F350" s="269">
        <f>Accounts!F147</f>
        <v>48.900000000000006</v>
      </c>
      <c r="G350" s="269">
        <f>Accounts!G147</f>
        <v>162.69999999999999</v>
      </c>
      <c r="H350" s="269">
        <f>Accounts!H147</f>
        <v>216.79999999999998</v>
      </c>
      <c r="I350" s="269">
        <f>Accounts!I147</f>
        <v>216.79999999999998</v>
      </c>
      <c r="J350" s="77"/>
    </row>
    <row r="351" spans="1:10" x14ac:dyDescent="0.2">
      <c r="A351" s="79" t="s">
        <v>133</v>
      </c>
      <c r="B351" s="78"/>
      <c r="C351" s="78"/>
      <c r="D351" s="78"/>
      <c r="E351" s="88">
        <f>Accounts!E148</f>
        <v>0</v>
      </c>
      <c r="F351" s="88">
        <f>Accounts!F148</f>
        <v>0</v>
      </c>
      <c r="G351" s="88">
        <f>Accounts!G148</f>
        <v>0</v>
      </c>
      <c r="H351" s="88">
        <f>Accounts!H148</f>
        <v>0</v>
      </c>
      <c r="I351" s="88">
        <f>Accounts!I148</f>
        <v>0</v>
      </c>
      <c r="J351" s="77"/>
    </row>
    <row r="352" spans="1:10" x14ac:dyDescent="0.2">
      <c r="A352" s="80"/>
      <c r="B352" s="78"/>
      <c r="C352" s="78"/>
      <c r="D352" s="78"/>
      <c r="E352" s="269"/>
      <c r="F352" s="269"/>
      <c r="G352" s="269"/>
      <c r="H352" s="269"/>
      <c r="I352" s="269"/>
      <c r="J352" s="77"/>
    </row>
    <row r="353" spans="1:10" x14ac:dyDescent="0.2">
      <c r="A353" s="80" t="s">
        <v>134</v>
      </c>
      <c r="B353" s="78"/>
      <c r="C353" s="78"/>
      <c r="D353" s="78"/>
      <c r="E353" s="84">
        <f>Accounts!E150</f>
        <v>0</v>
      </c>
      <c r="F353" s="84">
        <f>Accounts!F150</f>
        <v>0</v>
      </c>
      <c r="G353" s="84">
        <f>Accounts!G150</f>
        <v>0</v>
      </c>
      <c r="H353" s="84">
        <f>Accounts!H150</f>
        <v>0</v>
      </c>
      <c r="I353" s="84">
        <f>Accounts!I150</f>
        <v>0</v>
      </c>
      <c r="J353" s="77"/>
    </row>
    <row r="354" spans="1:10" x14ac:dyDescent="0.2">
      <c r="A354" s="80" t="s">
        <v>135</v>
      </c>
      <c r="B354" s="78"/>
      <c r="C354" s="78"/>
      <c r="D354" s="78"/>
      <c r="E354" s="89">
        <f>Accounts!E151</f>
        <v>-29.499999999999957</v>
      </c>
      <c r="F354" s="89">
        <f>Accounts!F151</f>
        <v>-30</v>
      </c>
      <c r="G354" s="89">
        <f>Accounts!G151</f>
        <v>-29.5</v>
      </c>
      <c r="H354" s="89">
        <f>Accounts!H151</f>
        <v>-29.5</v>
      </c>
      <c r="I354" s="89">
        <f>Accounts!I151</f>
        <v>-29.5</v>
      </c>
      <c r="J354" s="77"/>
    </row>
    <row r="355" spans="1:10" x14ac:dyDescent="0.2">
      <c r="A355" s="79" t="s">
        <v>136</v>
      </c>
      <c r="B355" s="78"/>
      <c r="C355" s="78"/>
      <c r="D355" s="78"/>
      <c r="E355" s="87">
        <f>Accounts!E152</f>
        <v>0</v>
      </c>
      <c r="F355" s="87">
        <f>Accounts!F152</f>
        <v>0</v>
      </c>
      <c r="G355" s="87">
        <f>Accounts!G152</f>
        <v>0</v>
      </c>
      <c r="H355" s="87">
        <f>Accounts!H152</f>
        <v>0</v>
      </c>
      <c r="I355" s="87">
        <f>Accounts!I152</f>
        <v>0</v>
      </c>
      <c r="J355" s="77"/>
    </row>
    <row r="356" spans="1:10" x14ac:dyDescent="0.2">
      <c r="A356" s="236"/>
      <c r="B356" s="78"/>
      <c r="C356" s="78"/>
      <c r="D356" s="78"/>
      <c r="E356" s="269"/>
      <c r="F356" s="269"/>
      <c r="G356" s="269"/>
      <c r="H356" s="269"/>
      <c r="I356" s="269"/>
      <c r="J356" s="77"/>
    </row>
    <row r="357" spans="1:10" x14ac:dyDescent="0.2">
      <c r="A357" s="79" t="s">
        <v>137</v>
      </c>
      <c r="B357" s="78"/>
      <c r="C357" s="78"/>
      <c r="D357" s="78"/>
      <c r="E357" s="269"/>
      <c r="F357" s="269"/>
      <c r="G357" s="269"/>
      <c r="H357" s="269"/>
      <c r="I357" s="269"/>
      <c r="J357" s="77"/>
    </row>
    <row r="358" spans="1:10" x14ac:dyDescent="0.2">
      <c r="A358" s="236" t="s">
        <v>138</v>
      </c>
      <c r="B358" s="78"/>
      <c r="C358" s="78"/>
      <c r="D358" s="78"/>
      <c r="E358" s="84">
        <f>Accounts!E155</f>
        <v>0</v>
      </c>
      <c r="F358" s="84">
        <f>Accounts!F155</f>
        <v>0</v>
      </c>
      <c r="G358" s="84">
        <f>Accounts!G155</f>
        <v>0</v>
      </c>
      <c r="H358" s="84">
        <f>Accounts!H155</f>
        <v>0</v>
      </c>
      <c r="I358" s="84">
        <f>Accounts!I155</f>
        <v>0</v>
      </c>
      <c r="J358" s="77"/>
    </row>
    <row r="359" spans="1:10" x14ac:dyDescent="0.2">
      <c r="A359" s="236" t="s">
        <v>139</v>
      </c>
      <c r="B359" s="78"/>
      <c r="C359" s="78"/>
      <c r="D359" s="78"/>
      <c r="E359" s="84">
        <f>Accounts!E156</f>
        <v>0</v>
      </c>
      <c r="F359" s="84">
        <f>Accounts!F156</f>
        <v>0</v>
      </c>
      <c r="G359" s="84">
        <f>Accounts!G156</f>
        <v>0</v>
      </c>
      <c r="H359" s="84">
        <f>Accounts!H156</f>
        <v>0</v>
      </c>
      <c r="I359" s="84">
        <f>Accounts!I156</f>
        <v>0</v>
      </c>
      <c r="J359" s="77"/>
    </row>
    <row r="360" spans="1:10" x14ac:dyDescent="0.2">
      <c r="A360" s="236" t="s">
        <v>140</v>
      </c>
      <c r="B360" s="78"/>
      <c r="C360" s="78"/>
      <c r="D360" s="78"/>
      <c r="E360" s="84">
        <f>Accounts!E157</f>
        <v>0</v>
      </c>
      <c r="F360" s="84">
        <f>Accounts!F157</f>
        <v>0</v>
      </c>
      <c r="G360" s="84">
        <f>Accounts!G157</f>
        <v>0</v>
      </c>
      <c r="H360" s="84">
        <f>Accounts!H157</f>
        <v>0</v>
      </c>
      <c r="I360" s="84">
        <f>Accounts!I157</f>
        <v>0</v>
      </c>
      <c r="J360" s="77"/>
    </row>
    <row r="361" spans="1:10" x14ac:dyDescent="0.2">
      <c r="A361" s="236" t="s">
        <v>297</v>
      </c>
      <c r="B361" s="78"/>
      <c r="C361" s="78"/>
      <c r="D361" s="78"/>
      <c r="E361" s="84">
        <f>Accounts!E158</f>
        <v>-0.94999999999998863</v>
      </c>
      <c r="F361" s="84">
        <f>Accounts!F158</f>
        <v>-11.5</v>
      </c>
      <c r="G361" s="84">
        <f>Accounts!G158</f>
        <v>-20</v>
      </c>
      <c r="H361" s="84">
        <f>Accounts!H158</f>
        <v>0</v>
      </c>
      <c r="I361" s="84">
        <f>Accounts!I158</f>
        <v>0</v>
      </c>
      <c r="J361" s="77"/>
    </row>
    <row r="362" spans="1:10" x14ac:dyDescent="0.2">
      <c r="A362" s="236" t="s">
        <v>141</v>
      </c>
      <c r="B362" s="78"/>
      <c r="C362" s="78"/>
      <c r="D362" s="78"/>
      <c r="E362" s="84">
        <f>Accounts!E159</f>
        <v>-44.5</v>
      </c>
      <c r="F362" s="84">
        <f>Accounts!F159</f>
        <v>-31.5</v>
      </c>
      <c r="G362" s="84">
        <f>Accounts!G159</f>
        <v>-12</v>
      </c>
      <c r="H362" s="84">
        <f>Accounts!H159</f>
        <v>0</v>
      </c>
      <c r="I362" s="84">
        <f>Accounts!I159</f>
        <v>0</v>
      </c>
      <c r="J362" s="77"/>
    </row>
    <row r="363" spans="1:10" x14ac:dyDescent="0.2">
      <c r="A363" s="236" t="s">
        <v>142</v>
      </c>
      <c r="B363" s="78"/>
      <c r="C363" s="78"/>
      <c r="D363" s="78"/>
      <c r="E363" s="84">
        <f>Accounts!E160</f>
        <v>0</v>
      </c>
      <c r="F363" s="84">
        <f>Accounts!F160</f>
        <v>0</v>
      </c>
      <c r="G363" s="84">
        <f>Accounts!G160</f>
        <v>0</v>
      </c>
      <c r="H363" s="84">
        <f>Accounts!H160</f>
        <v>0</v>
      </c>
      <c r="I363" s="84">
        <f>Accounts!I160</f>
        <v>0</v>
      </c>
      <c r="J363" s="77"/>
    </row>
    <row r="364" spans="1:10" x14ac:dyDescent="0.2">
      <c r="A364" s="236" t="s">
        <v>143</v>
      </c>
      <c r="B364" s="78"/>
      <c r="C364" s="78"/>
      <c r="D364" s="78"/>
      <c r="E364" s="84">
        <f>Accounts!E161</f>
        <v>0</v>
      </c>
      <c r="F364" s="84">
        <f>Accounts!F161</f>
        <v>0</v>
      </c>
      <c r="G364" s="84">
        <f>Accounts!G161</f>
        <v>0</v>
      </c>
      <c r="H364" s="84">
        <f>Accounts!H161</f>
        <v>0</v>
      </c>
      <c r="I364" s="84">
        <f>Accounts!I161</f>
        <v>0</v>
      </c>
      <c r="J364" s="77"/>
    </row>
    <row r="365" spans="1:10" x14ac:dyDescent="0.2">
      <c r="A365" s="236" t="s">
        <v>144</v>
      </c>
      <c r="B365" s="78"/>
      <c r="C365" s="78"/>
      <c r="D365" s="78"/>
      <c r="E365" s="84">
        <f>Accounts!E162</f>
        <v>0</v>
      </c>
      <c r="F365" s="84">
        <f>Accounts!F162</f>
        <v>0</v>
      </c>
      <c r="G365" s="84">
        <f>Accounts!G162</f>
        <v>0</v>
      </c>
      <c r="H365" s="84">
        <f>Accounts!H162</f>
        <v>0</v>
      </c>
      <c r="I365" s="84">
        <f>Accounts!I162</f>
        <v>0</v>
      </c>
      <c r="J365" s="77"/>
    </row>
    <row r="366" spans="1:10" x14ac:dyDescent="0.2">
      <c r="A366" s="236" t="s">
        <v>145</v>
      </c>
      <c r="B366" s="78"/>
      <c r="C366" s="78"/>
      <c r="D366" s="78"/>
      <c r="E366" s="84">
        <f>Accounts!E163</f>
        <v>0</v>
      </c>
      <c r="F366" s="84">
        <f>Accounts!F163</f>
        <v>0</v>
      </c>
      <c r="G366" s="84">
        <f>Accounts!G163</f>
        <v>0</v>
      </c>
      <c r="H366" s="84">
        <f>Accounts!H163</f>
        <v>0</v>
      </c>
      <c r="I366" s="84">
        <f>Accounts!I163</f>
        <v>0</v>
      </c>
      <c r="J366" s="77"/>
    </row>
    <row r="367" spans="1:10" x14ac:dyDescent="0.2">
      <c r="A367" s="235" t="s">
        <v>146</v>
      </c>
      <c r="B367" s="91"/>
      <c r="C367" s="91"/>
      <c r="D367" s="91"/>
      <c r="E367" s="86">
        <f>Accounts!E164</f>
        <v>-44.5</v>
      </c>
      <c r="F367" s="86">
        <f>Accounts!F164</f>
        <v>-31.5</v>
      </c>
      <c r="G367" s="86">
        <f>Accounts!G164</f>
        <v>-12</v>
      </c>
      <c r="H367" s="86">
        <f>Accounts!H164</f>
        <v>0</v>
      </c>
      <c r="I367" s="86">
        <f>Accounts!I164</f>
        <v>0</v>
      </c>
      <c r="J367" s="77"/>
    </row>
    <row r="368" spans="1:10" x14ac:dyDescent="0.2">
      <c r="A368" s="236"/>
      <c r="B368" s="78"/>
      <c r="C368" s="78"/>
      <c r="D368" s="78"/>
      <c r="E368" s="84"/>
      <c r="F368" s="84"/>
      <c r="G368" s="84"/>
      <c r="H368" s="84"/>
      <c r="I368" s="84"/>
      <c r="J368" s="77"/>
    </row>
    <row r="369" spans="1:10" x14ac:dyDescent="0.2">
      <c r="A369" s="235" t="s">
        <v>147</v>
      </c>
      <c r="B369" s="91"/>
      <c r="C369" s="91"/>
      <c r="D369" s="91"/>
      <c r="E369" s="88">
        <f>Accounts!E166</f>
        <v>0</v>
      </c>
      <c r="F369" s="88">
        <f>Accounts!F166</f>
        <v>0</v>
      </c>
      <c r="G369" s="88">
        <f>Accounts!G166</f>
        <v>0</v>
      </c>
      <c r="H369" s="88">
        <f>Accounts!H166</f>
        <v>0</v>
      </c>
      <c r="I369" s="88">
        <f>Accounts!I166</f>
        <v>0</v>
      </c>
      <c r="J369" s="77"/>
    </row>
    <row r="370" spans="1:10" x14ac:dyDescent="0.2">
      <c r="A370" s="236"/>
      <c r="B370" s="78"/>
      <c r="C370" s="78"/>
      <c r="D370" s="78"/>
      <c r="E370" s="84"/>
      <c r="F370" s="84"/>
      <c r="G370" s="84"/>
      <c r="H370" s="84"/>
      <c r="I370" s="84"/>
      <c r="J370" s="77"/>
    </row>
    <row r="371" spans="1:10" x14ac:dyDescent="0.2">
      <c r="A371" s="235" t="s">
        <v>148</v>
      </c>
      <c r="B371" s="91"/>
      <c r="C371" s="91"/>
      <c r="D371" s="91"/>
      <c r="E371" s="86">
        <f>Accounts!E168</f>
        <v>-89.949999999999989</v>
      </c>
      <c r="F371" s="86">
        <f>Accounts!F168</f>
        <v>-74.5</v>
      </c>
      <c r="G371" s="86">
        <f>Accounts!G168</f>
        <v>-44</v>
      </c>
      <c r="H371" s="86">
        <f>Accounts!H168</f>
        <v>0</v>
      </c>
      <c r="I371" s="86">
        <f>Accounts!I168</f>
        <v>0</v>
      </c>
      <c r="J371" s="77"/>
    </row>
    <row r="372" spans="1:10" x14ac:dyDescent="0.2">
      <c r="A372" s="236"/>
      <c r="B372" s="78"/>
      <c r="C372" s="78"/>
      <c r="D372" s="78"/>
      <c r="E372" s="84"/>
      <c r="F372" s="269"/>
      <c r="G372" s="269"/>
      <c r="H372" s="269"/>
      <c r="I372" s="269"/>
      <c r="J372" s="77"/>
    </row>
    <row r="373" spans="1:10" x14ac:dyDescent="0.2">
      <c r="A373" s="236" t="s">
        <v>149</v>
      </c>
      <c r="B373" s="78"/>
      <c r="C373" s="78"/>
      <c r="D373" s="78"/>
      <c r="E373" s="84">
        <f>Accounts!E170</f>
        <v>-209.69999999999976</v>
      </c>
      <c r="F373" s="84">
        <f>Accounts!F170</f>
        <v>-55.599999999999994</v>
      </c>
      <c r="G373" s="84">
        <f>Accounts!G170</f>
        <v>89.199999999999989</v>
      </c>
      <c r="H373" s="84">
        <f>Accounts!H170</f>
        <v>187.29999999999998</v>
      </c>
      <c r="I373" s="84">
        <f>Accounts!I170</f>
        <v>187.29999999999998</v>
      </c>
      <c r="J373" s="77"/>
    </row>
    <row r="374" spans="1:10" x14ac:dyDescent="0.2">
      <c r="A374" s="90" t="s">
        <v>150</v>
      </c>
      <c r="B374" s="78"/>
      <c r="C374" s="78"/>
      <c r="D374" s="78"/>
      <c r="E374" s="88">
        <f>Accounts!E171</f>
        <v>0</v>
      </c>
      <c r="F374" s="88">
        <f>Accounts!F171</f>
        <v>0</v>
      </c>
      <c r="G374" s="88">
        <f>Accounts!G171</f>
        <v>0</v>
      </c>
      <c r="H374" s="88">
        <f>Accounts!H171</f>
        <v>0</v>
      </c>
      <c r="I374" s="88">
        <f>Accounts!I171</f>
        <v>0</v>
      </c>
      <c r="J374" s="77"/>
    </row>
    <row r="375" spans="1:10" x14ac:dyDescent="0.2">
      <c r="A375" s="236"/>
      <c r="B375" s="78"/>
      <c r="C375" s="78"/>
      <c r="D375" s="78"/>
      <c r="E375" s="269"/>
      <c r="F375" s="269"/>
      <c r="G375" s="269"/>
      <c r="H375" s="269"/>
      <c r="I375" s="269"/>
      <c r="J375" s="77"/>
    </row>
    <row r="376" spans="1:10" x14ac:dyDescent="0.2">
      <c r="A376" s="236" t="s">
        <v>151</v>
      </c>
      <c r="B376" s="78"/>
      <c r="C376" s="78"/>
      <c r="D376" s="78"/>
      <c r="E376" s="84">
        <f>Accounts!E173</f>
        <v>0</v>
      </c>
      <c r="F376" s="84">
        <f>Accounts!F173</f>
        <v>0</v>
      </c>
      <c r="G376" s="84">
        <f>Accounts!G173</f>
        <v>0</v>
      </c>
      <c r="H376" s="84">
        <f>Accounts!H173</f>
        <v>0</v>
      </c>
      <c r="I376" s="84">
        <f>Accounts!I173</f>
        <v>0</v>
      </c>
      <c r="J376" s="77"/>
    </row>
    <row r="377" spans="1:10" x14ac:dyDescent="0.2">
      <c r="A377" s="236" t="s">
        <v>152</v>
      </c>
      <c r="B377" s="78"/>
      <c r="C377" s="78"/>
      <c r="D377" s="78"/>
      <c r="E377" s="84">
        <f>Accounts!E174</f>
        <v>0</v>
      </c>
      <c r="F377" s="84">
        <f>Accounts!F174</f>
        <v>0</v>
      </c>
      <c r="G377" s="84">
        <f>Accounts!G174</f>
        <v>0</v>
      </c>
      <c r="H377" s="84">
        <f>Accounts!H174</f>
        <v>0</v>
      </c>
      <c r="I377" s="84">
        <f>Accounts!I174</f>
        <v>0</v>
      </c>
      <c r="J377" s="77"/>
    </row>
    <row r="378" spans="1:10" x14ac:dyDescent="0.2">
      <c r="A378" s="90" t="s">
        <v>153</v>
      </c>
      <c r="B378" s="88">
        <f>Accounts!B$92-Accounts!B$98-Accounts!B$99</f>
        <v>302</v>
      </c>
      <c r="C378" s="88">
        <f>Accounts!C$92-Accounts!C$98-Accounts!C$99</f>
        <v>272</v>
      </c>
      <c r="D378" s="88">
        <f>Accounts!D$92-Accounts!D$98-Accounts!D$99</f>
        <v>542</v>
      </c>
      <c r="E378" s="88">
        <f>Accounts!E$92-Accounts!E$98-Accounts!E$99</f>
        <v>0</v>
      </c>
      <c r="F378" s="88">
        <f>Accounts!F$92-Accounts!F$98-Accounts!F$99</f>
        <v>0</v>
      </c>
      <c r="G378" s="88">
        <f>Accounts!G$92-Accounts!G$98-Accounts!G$99</f>
        <v>0</v>
      </c>
      <c r="H378" s="88">
        <f>Accounts!H$92-Accounts!H$98-Accounts!H$99</f>
        <v>0</v>
      </c>
      <c r="I378" s="88">
        <f>Accounts!I$92-Accounts!I$98-Accounts!I$99</f>
        <v>0</v>
      </c>
      <c r="J378" s="77"/>
    </row>
    <row r="379" spans="1:10" x14ac:dyDescent="0.2">
      <c r="A379" s="93"/>
      <c r="B379" s="94"/>
      <c r="C379" s="94"/>
      <c r="D379" s="94"/>
      <c r="E379" s="94"/>
      <c r="F379" s="94"/>
      <c r="G379" s="94"/>
      <c r="H379" s="94"/>
      <c r="I379" s="94"/>
      <c r="J379" s="95"/>
    </row>
  </sheetData>
  <mergeCells count="61">
    <mergeCell ref="A2:G2"/>
    <mergeCell ref="E14:G14"/>
    <mergeCell ref="B272:G273"/>
    <mergeCell ref="B275:C275"/>
    <mergeCell ref="D275:E275"/>
    <mergeCell ref="F275:G275"/>
    <mergeCell ref="K275:L275"/>
    <mergeCell ref="B276:C276"/>
    <mergeCell ref="D276:E276"/>
    <mergeCell ref="B277:C277"/>
    <mergeCell ref="D277:E277"/>
    <mergeCell ref="B278:C278"/>
    <mergeCell ref="D278:E278"/>
    <mergeCell ref="B279:C279"/>
    <mergeCell ref="D279:E279"/>
    <mergeCell ref="B280:C280"/>
    <mergeCell ref="D280:E280"/>
    <mergeCell ref="B281:C281"/>
    <mergeCell ref="D281:E281"/>
    <mergeCell ref="B283:C283"/>
    <mergeCell ref="D283:E283"/>
    <mergeCell ref="F283:G283"/>
    <mergeCell ref="B284:C284"/>
    <mergeCell ref="D284:E284"/>
    <mergeCell ref="F284:G284"/>
    <mergeCell ref="B285:C285"/>
    <mergeCell ref="D285:E285"/>
    <mergeCell ref="F285:G285"/>
    <mergeCell ref="B286:C286"/>
    <mergeCell ref="D286:E286"/>
    <mergeCell ref="F286:G286"/>
    <mergeCell ref="B287:C287"/>
    <mergeCell ref="D287:E287"/>
    <mergeCell ref="F287:G287"/>
    <mergeCell ref="B288:C288"/>
    <mergeCell ref="D288:E288"/>
    <mergeCell ref="F288:G288"/>
    <mergeCell ref="B289:C289"/>
    <mergeCell ref="D289:E289"/>
    <mergeCell ref="F289:G289"/>
    <mergeCell ref="B291:C291"/>
    <mergeCell ref="D291:E291"/>
    <mergeCell ref="F291:G291"/>
    <mergeCell ref="B292:C292"/>
    <mergeCell ref="D292:E292"/>
    <mergeCell ref="F292:G292"/>
    <mergeCell ref="B293:C293"/>
    <mergeCell ref="D293:E293"/>
    <mergeCell ref="F293:G293"/>
    <mergeCell ref="B294:C294"/>
    <mergeCell ref="D294:E294"/>
    <mergeCell ref="F294:G294"/>
    <mergeCell ref="B297:C297"/>
    <mergeCell ref="D297:E297"/>
    <mergeCell ref="F297:G297"/>
    <mergeCell ref="B295:C295"/>
    <mergeCell ref="D295:E295"/>
    <mergeCell ref="F295:G295"/>
    <mergeCell ref="B296:C296"/>
    <mergeCell ref="D296:E296"/>
    <mergeCell ref="F296:G296"/>
  </mergeCells>
  <conditionalFormatting sqref="B59:I59">
    <cfRule type="cellIs" dxfId="3" priority="2" operator="greaterThan">
      <formula>$M$59</formula>
    </cfRule>
  </conditionalFormatting>
  <conditionalFormatting sqref="B57:I57">
    <cfRule type="cellIs" dxfId="2" priority="3" operator="lessThanOrEqual">
      <formula>#REF!</formula>
    </cfRule>
  </conditionalFormatting>
  <conditionalFormatting sqref="B267:I267">
    <cfRule type="cellIs" dxfId="1" priority="4" operator="greaterThanOrEqual">
      <formula>$M$56</formula>
    </cfRule>
  </conditionalFormatting>
  <conditionalFormatting sqref="B268:I268">
    <cfRule type="cellIs" dxfId="0" priority="5" operator="greaterThanOrEqual">
      <formula>$M$57</formula>
    </cfRule>
  </conditionalFormatting>
  <dataValidations count="2">
    <dataValidation type="list" allowBlank="1" showInputMessage="1" showErrorMessage="1" sqref="B121" xr:uid="{00000000-0002-0000-0300-000000000000}">
      <formula1>#REF!</formula1>
      <formula2>0</formula2>
    </dataValidation>
    <dataValidation type="list" allowBlank="1" showInputMessage="1" showErrorMessage="1" sqref="M283 G277:I277 G279:I279 G281:I281" xr:uid="{00000000-0002-0000-0300-000001000000}">
      <formula1>#REF!</formula1>
      <formula2>0</formula2>
    </dataValidation>
  </dataValidations>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1289</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vt:lpstr>
      <vt:lpstr>Accounts</vt:lpstr>
      <vt:lpstr>Cash flow</vt:lpstr>
      <vt:lpstr>Document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Ronnie OToole</dc:creator>
  <dc:description/>
  <cp:lastModifiedBy>Browne, Paul</cp:lastModifiedBy>
  <cp:revision>5</cp:revision>
  <cp:lastPrinted>2023-02-02T10:45:31Z</cp:lastPrinted>
  <dcterms:created xsi:type="dcterms:W3CDTF">2018-06-13T15:12:20Z</dcterms:created>
  <dcterms:modified xsi:type="dcterms:W3CDTF">2023-10-07T10:06:37Z</dcterms:modified>
  <dc:language>en-IE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0x0101004F7A42DFC2C5244EA4D29F885A91AC74</vt:lpwstr>
  </property>
  <property fmtid="{D5CDD505-2E9C-101B-9397-08002B2CF9AE}" pid="3" name="MediaServiceImageTags">
    <vt:lpwstr/>
  </property>
  <property fmtid="{D5CDD505-2E9C-101B-9397-08002B2CF9AE}" pid="4" name="_AdHocReviewCycleID">
    <vt:i4>110932846</vt:i4>
  </property>
  <property fmtid="{D5CDD505-2E9C-101B-9397-08002B2CF9AE}" pid="5" name="_AuthorEmail">
    <vt:lpwstr>Gerard.Roche@enterprise-ireland.com</vt:lpwstr>
  </property>
  <property fmtid="{D5CDD505-2E9C-101B-9397-08002B2CF9AE}" pid="6" name="_AuthorEmailDisplayName">
    <vt:lpwstr>Roche, Gerard</vt:lpwstr>
  </property>
  <property fmtid="{D5CDD505-2E9C-101B-9397-08002B2CF9AE}" pid="7" name="_EmailSubject">
    <vt:lpwstr>FDS checks and updates</vt:lpwstr>
  </property>
  <property fmtid="{D5CDD505-2E9C-101B-9397-08002B2CF9AE}" pid="8" name="_NewReviewCycle">
    <vt:lpwstr/>
  </property>
  <property fmtid="{D5CDD505-2E9C-101B-9397-08002B2CF9AE}" pid="9" name="_PreviousAdHocReviewCycleID">
    <vt:i4>-1444169816</vt:i4>
  </property>
</Properties>
</file>