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f8daee9a634b6754/University/My Resources/Excel/chandoo data file/Company Employee Dataset ( MS Excel )/"/>
    </mc:Choice>
  </mc:AlternateContent>
  <xr:revisionPtr revIDLastSave="904" documentId="13_ncr:1_{D05438BA-8C38-4964-8C17-A693D6DEBA6A}" xr6:coauthVersionLast="47" xr6:coauthVersionMax="47" xr10:uidLastSave="{A68D09F9-0374-4215-B985-F93F33404096}"/>
  <bookViews>
    <workbookView xWindow="-120" yWindow="-120" windowWidth="29040" windowHeight="15840" firstSheet="1" activeTab="2" xr2:uid="{26D4546B-D2A1-4444-8EAF-A6228F96F0C1}"/>
  </bookViews>
  <sheets>
    <sheet name="NZ Staff" sheetId="1" r:id="rId1"/>
    <sheet name="INDIA Staff" sheetId="2" r:id="rId2"/>
    <sheet name="All Staff" sheetId="3" r:id="rId3"/>
    <sheet name="Info finder" sheetId="4" r:id="rId4"/>
    <sheet name="Male vs Female" sheetId="5" r:id="rId5"/>
    <sheet name="Salary Spread" sheetId="6" r:id="rId6"/>
    <sheet name="Salary vs Rating" sheetId="7" r:id="rId7"/>
    <sheet name="Rating maping table" sheetId="8" r:id="rId8"/>
    <sheet name="Yearly Hiring Trend" sheetId="9" r:id="rId9"/>
    <sheet name="Scorecard" sheetId="11" r:id="rId10"/>
    <sheet name="Sheet4" sheetId="12" r:id="rId11"/>
  </sheets>
  <definedNames>
    <definedName name="_xlnm._FilterDatabase" localSheetId="1" hidden="1">'INDIA Staff'!$B$2:$H$114</definedName>
    <definedName name="_xlnm._FilterDatabase" localSheetId="0" hidden="1">'NZ Staff'!$C$5:$I$105</definedName>
    <definedName name="_xlchart.v1.0" hidden="1">'All Staff'!$F$2:$F$184</definedName>
    <definedName name="_xlchart.v1.1" hidden="1">'All Staff'!$F$2:$F$184</definedName>
    <definedName name="_xlcn.WorksheetConnection_blankdatafile.xlsxstaff" hidden="1">staff[]</definedName>
    <definedName name="ExternalData_1" localSheetId="2" hidden="1">'All Staff'!$A$1:$H$184</definedName>
    <definedName name="Slicer_Country">#N/A</definedName>
  </definedNames>
  <calcPr calcId="191029"/>
  <pivotCaches>
    <pivotCache cacheId="0" r:id="rId12"/>
    <pivotCache cacheId="1" r:id="rId13"/>
    <pivotCache cacheId="2" r:id="rId14"/>
    <pivotCache cacheId="3" r:id="rId15"/>
    <pivotCache cacheId="4" r:id="rId16"/>
  </pivotCaches>
  <extLst>
    <ext xmlns:x14="http://schemas.microsoft.com/office/spreadsheetml/2009/9/main" uri="{876F7934-8845-4945-9796-88D515C7AA90}">
      <x14:pivotCaches>
        <pivotCache cacheId="5"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3" l="1"/>
  <c r="P5" i="11"/>
  <c r="L5" i="11"/>
  <c r="N5" i="11" s="1"/>
  <c r="G5" i="11"/>
  <c r="C5" i="11"/>
  <c r="E5" i="11" s="1"/>
  <c r="S7" i="9"/>
  <c r="S8" i="9"/>
  <c r="S9" i="9"/>
  <c r="S10" i="9"/>
  <c r="S11" i="9"/>
  <c r="S12" i="9"/>
  <c r="S13" i="9"/>
  <c r="S14" i="9"/>
  <c r="S15" i="9"/>
  <c r="S16" i="9"/>
  <c r="S17" i="9"/>
  <c r="S18" i="9"/>
  <c r="S19" i="9"/>
  <c r="S20" i="9"/>
  <c r="S21" i="9"/>
  <c r="S22" i="9"/>
  <c r="S23" i="9"/>
  <c r="S24" i="9"/>
  <c r="S25" i="9"/>
  <c r="S26" i="9"/>
  <c r="S27" i="9"/>
  <c r="S28" i="9"/>
  <c r="S29" i="9"/>
  <c r="S30" i="9"/>
  <c r="S31" i="9"/>
  <c r="S32" i="9"/>
  <c r="S33" i="9"/>
  <c r="S34" i="9"/>
  <c r="S35" i="9"/>
  <c r="S36" i="9"/>
  <c r="S37" i="9"/>
  <c r="S38" i="9"/>
  <c r="S39" i="9"/>
  <c r="S40" i="9"/>
  <c r="S41" i="9"/>
  <c r="S6" i="9"/>
  <c r="R6" i="9" a="1"/>
  <c r="R6" i="9" s="1"/>
  <c r="Q6" i="9" a="1"/>
  <c r="Q6" i="9" s="1"/>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D6" i="4"/>
  <c r="P12" i="3"/>
  <c r="P9" i="3"/>
  <c r="I2" i="3"/>
  <c r="J2" i="3" s="1"/>
  <c r="I3" i="3"/>
  <c r="J3" i="3" s="1"/>
  <c r="I4" i="3"/>
  <c r="J4" i="3" s="1"/>
  <c r="I5" i="3"/>
  <c r="J5" i="3" s="1"/>
  <c r="I6" i="3"/>
  <c r="J6" i="3" s="1"/>
  <c r="I7" i="3"/>
  <c r="J7" i="3" s="1"/>
  <c r="I8" i="3"/>
  <c r="J8" i="3" s="1"/>
  <c r="I9" i="3"/>
  <c r="J9" i="3" s="1"/>
  <c r="I10" i="3"/>
  <c r="J10" i="3" s="1"/>
  <c r="I11" i="3"/>
  <c r="J11" i="3" s="1"/>
  <c r="I12" i="3"/>
  <c r="J12" i="3" s="1"/>
  <c r="I13" i="3"/>
  <c r="J13" i="3" s="1"/>
  <c r="I14" i="3"/>
  <c r="J14" i="3" s="1"/>
  <c r="I15" i="3"/>
  <c r="J15" i="3" s="1"/>
  <c r="I16" i="3"/>
  <c r="J16" i="3" s="1"/>
  <c r="I17" i="3"/>
  <c r="J17" i="3" s="1"/>
  <c r="I18" i="3"/>
  <c r="J18" i="3" s="1"/>
  <c r="I19" i="3"/>
  <c r="J19" i="3" s="1"/>
  <c r="I20" i="3"/>
  <c r="J20" i="3" s="1"/>
  <c r="I21" i="3"/>
  <c r="J21" i="3" s="1"/>
  <c r="I22" i="3"/>
  <c r="J22" i="3" s="1"/>
  <c r="I23" i="3"/>
  <c r="J23" i="3" s="1"/>
  <c r="I24" i="3"/>
  <c r="J24" i="3" s="1"/>
  <c r="I25" i="3"/>
  <c r="J25" i="3" s="1"/>
  <c r="I26" i="3"/>
  <c r="J26" i="3" s="1"/>
  <c r="I27" i="3"/>
  <c r="J27" i="3" s="1"/>
  <c r="I28" i="3"/>
  <c r="J28" i="3" s="1"/>
  <c r="I29" i="3"/>
  <c r="J29" i="3" s="1"/>
  <c r="I30" i="3"/>
  <c r="J30" i="3" s="1"/>
  <c r="I31" i="3"/>
  <c r="J31" i="3" s="1"/>
  <c r="I32" i="3"/>
  <c r="J32" i="3" s="1"/>
  <c r="I33" i="3"/>
  <c r="J33" i="3" s="1"/>
  <c r="I34" i="3"/>
  <c r="J34" i="3" s="1"/>
  <c r="I35" i="3"/>
  <c r="J35" i="3" s="1"/>
  <c r="I36" i="3"/>
  <c r="J36" i="3" s="1"/>
  <c r="I37" i="3"/>
  <c r="J37" i="3" s="1"/>
  <c r="I38" i="3"/>
  <c r="J38" i="3" s="1"/>
  <c r="I39" i="3"/>
  <c r="J39" i="3" s="1"/>
  <c r="I40" i="3"/>
  <c r="J40" i="3" s="1"/>
  <c r="I41" i="3"/>
  <c r="J41" i="3" s="1"/>
  <c r="I42" i="3"/>
  <c r="J42" i="3" s="1"/>
  <c r="I43" i="3"/>
  <c r="J43" i="3" s="1"/>
  <c r="I44" i="3"/>
  <c r="J44" i="3" s="1"/>
  <c r="I45" i="3"/>
  <c r="J45" i="3" s="1"/>
  <c r="I46" i="3"/>
  <c r="J46" i="3" s="1"/>
  <c r="I47" i="3"/>
  <c r="J47" i="3" s="1"/>
  <c r="I48" i="3"/>
  <c r="J48" i="3" s="1"/>
  <c r="I49" i="3"/>
  <c r="J49" i="3" s="1"/>
  <c r="I50" i="3"/>
  <c r="J50" i="3" s="1"/>
  <c r="I51" i="3"/>
  <c r="J51" i="3" s="1"/>
  <c r="I52" i="3"/>
  <c r="J52" i="3" s="1"/>
  <c r="I53" i="3"/>
  <c r="J53" i="3" s="1"/>
  <c r="I54" i="3"/>
  <c r="J54" i="3" s="1"/>
  <c r="I55" i="3"/>
  <c r="J55" i="3" s="1"/>
  <c r="I56" i="3"/>
  <c r="J56" i="3" s="1"/>
  <c r="I57" i="3"/>
  <c r="J57" i="3" s="1"/>
  <c r="I58" i="3"/>
  <c r="J58" i="3" s="1"/>
  <c r="I59" i="3"/>
  <c r="J59" i="3" s="1"/>
  <c r="I60" i="3"/>
  <c r="J60" i="3" s="1"/>
  <c r="I61" i="3"/>
  <c r="J61" i="3" s="1"/>
  <c r="I62" i="3"/>
  <c r="J62" i="3" s="1"/>
  <c r="I63" i="3"/>
  <c r="J63" i="3" s="1"/>
  <c r="I64" i="3"/>
  <c r="J64" i="3" s="1"/>
  <c r="I65" i="3"/>
  <c r="J65" i="3" s="1"/>
  <c r="I66" i="3"/>
  <c r="J66" i="3" s="1"/>
  <c r="I67" i="3"/>
  <c r="J67" i="3" s="1"/>
  <c r="I68" i="3"/>
  <c r="J68" i="3" s="1"/>
  <c r="I69" i="3"/>
  <c r="J69" i="3" s="1"/>
  <c r="I70" i="3"/>
  <c r="J70" i="3" s="1"/>
  <c r="I71" i="3"/>
  <c r="J71" i="3" s="1"/>
  <c r="I72" i="3"/>
  <c r="J72" i="3" s="1"/>
  <c r="I73" i="3"/>
  <c r="J73" i="3" s="1"/>
  <c r="I74" i="3"/>
  <c r="J74" i="3" s="1"/>
  <c r="I75" i="3"/>
  <c r="J75" i="3" s="1"/>
  <c r="I76" i="3"/>
  <c r="J76" i="3" s="1"/>
  <c r="I77" i="3"/>
  <c r="J77" i="3" s="1"/>
  <c r="I78" i="3"/>
  <c r="J78" i="3" s="1"/>
  <c r="I79" i="3"/>
  <c r="J79" i="3" s="1"/>
  <c r="I80" i="3"/>
  <c r="J80" i="3" s="1"/>
  <c r="I81" i="3"/>
  <c r="J81" i="3" s="1"/>
  <c r="I82" i="3"/>
  <c r="J82" i="3" s="1"/>
  <c r="I83" i="3"/>
  <c r="J83" i="3" s="1"/>
  <c r="I84" i="3"/>
  <c r="J84" i="3" s="1"/>
  <c r="I85" i="3"/>
  <c r="J85" i="3" s="1"/>
  <c r="I86" i="3"/>
  <c r="J86" i="3" s="1"/>
  <c r="I87" i="3"/>
  <c r="J87" i="3" s="1"/>
  <c r="I88" i="3"/>
  <c r="J88" i="3" s="1"/>
  <c r="I89" i="3"/>
  <c r="J89" i="3" s="1"/>
  <c r="I90" i="3"/>
  <c r="J90" i="3" s="1"/>
  <c r="I91" i="3"/>
  <c r="J91" i="3" s="1"/>
  <c r="I92" i="3"/>
  <c r="J92" i="3" s="1"/>
  <c r="I93" i="3"/>
  <c r="J93" i="3" s="1"/>
  <c r="I94" i="3"/>
  <c r="J94" i="3" s="1"/>
  <c r="I95" i="3"/>
  <c r="J95" i="3" s="1"/>
  <c r="I96" i="3"/>
  <c r="J96" i="3" s="1"/>
  <c r="I97" i="3"/>
  <c r="J97" i="3" s="1"/>
  <c r="I98" i="3"/>
  <c r="J98" i="3" s="1"/>
  <c r="I99" i="3"/>
  <c r="J99" i="3" s="1"/>
  <c r="I100" i="3"/>
  <c r="J100" i="3" s="1"/>
  <c r="I101" i="3"/>
  <c r="J101" i="3" s="1"/>
  <c r="I102" i="3"/>
  <c r="J102" i="3" s="1"/>
  <c r="I103" i="3"/>
  <c r="J103" i="3" s="1"/>
  <c r="I104" i="3"/>
  <c r="J104" i="3" s="1"/>
  <c r="I105" i="3"/>
  <c r="J105" i="3" s="1"/>
  <c r="I106" i="3"/>
  <c r="J106" i="3" s="1"/>
  <c r="I107" i="3"/>
  <c r="J107" i="3" s="1"/>
  <c r="I108" i="3"/>
  <c r="J108" i="3" s="1"/>
  <c r="I109" i="3"/>
  <c r="J109" i="3" s="1"/>
  <c r="I110" i="3"/>
  <c r="J110" i="3" s="1"/>
  <c r="I111" i="3"/>
  <c r="J111" i="3" s="1"/>
  <c r="I112" i="3"/>
  <c r="J112" i="3" s="1"/>
  <c r="I113" i="3"/>
  <c r="J113" i="3" s="1"/>
  <c r="I114" i="3"/>
  <c r="J114" i="3" s="1"/>
  <c r="I115" i="3"/>
  <c r="J115" i="3" s="1"/>
  <c r="I116" i="3"/>
  <c r="J116" i="3" s="1"/>
  <c r="I117" i="3"/>
  <c r="J117" i="3" s="1"/>
  <c r="I118" i="3"/>
  <c r="J118" i="3" s="1"/>
  <c r="I119" i="3"/>
  <c r="J119" i="3" s="1"/>
  <c r="I120" i="3"/>
  <c r="J120" i="3" s="1"/>
  <c r="I121" i="3"/>
  <c r="J121" i="3" s="1"/>
  <c r="I122" i="3"/>
  <c r="J122" i="3" s="1"/>
  <c r="I123" i="3"/>
  <c r="J123" i="3" s="1"/>
  <c r="I124" i="3"/>
  <c r="J124" i="3" s="1"/>
  <c r="I125" i="3"/>
  <c r="J125" i="3" s="1"/>
  <c r="I126" i="3"/>
  <c r="J126" i="3" s="1"/>
  <c r="I127" i="3"/>
  <c r="J127" i="3" s="1"/>
  <c r="I128" i="3"/>
  <c r="J128" i="3" s="1"/>
  <c r="I129" i="3"/>
  <c r="J129" i="3" s="1"/>
  <c r="I130" i="3"/>
  <c r="J130" i="3" s="1"/>
  <c r="I131" i="3"/>
  <c r="J131" i="3" s="1"/>
  <c r="I132" i="3"/>
  <c r="J132" i="3" s="1"/>
  <c r="I133" i="3"/>
  <c r="J133" i="3" s="1"/>
  <c r="I134" i="3"/>
  <c r="J134" i="3" s="1"/>
  <c r="I135" i="3"/>
  <c r="J135" i="3" s="1"/>
  <c r="I136" i="3"/>
  <c r="J136" i="3" s="1"/>
  <c r="I137" i="3"/>
  <c r="J137" i="3" s="1"/>
  <c r="I138" i="3"/>
  <c r="J138" i="3" s="1"/>
  <c r="I139" i="3"/>
  <c r="J139" i="3" s="1"/>
  <c r="I140" i="3"/>
  <c r="J140" i="3" s="1"/>
  <c r="I141" i="3"/>
  <c r="J141" i="3" s="1"/>
  <c r="I142" i="3"/>
  <c r="J142" i="3" s="1"/>
  <c r="I143" i="3"/>
  <c r="J143" i="3" s="1"/>
  <c r="I144" i="3"/>
  <c r="J144" i="3" s="1"/>
  <c r="I145" i="3"/>
  <c r="J145" i="3" s="1"/>
  <c r="I146" i="3"/>
  <c r="J146" i="3" s="1"/>
  <c r="I147" i="3"/>
  <c r="J147" i="3" s="1"/>
  <c r="I148" i="3"/>
  <c r="J148" i="3" s="1"/>
  <c r="I149" i="3"/>
  <c r="J149" i="3" s="1"/>
  <c r="I150" i="3"/>
  <c r="J150" i="3" s="1"/>
  <c r="I151" i="3"/>
  <c r="J151" i="3" s="1"/>
  <c r="I152" i="3"/>
  <c r="J152" i="3" s="1"/>
  <c r="I153" i="3"/>
  <c r="J153" i="3" s="1"/>
  <c r="I154" i="3"/>
  <c r="J154" i="3" s="1"/>
  <c r="I155" i="3"/>
  <c r="J155" i="3" s="1"/>
  <c r="I156" i="3"/>
  <c r="J156" i="3" s="1"/>
  <c r="I157" i="3"/>
  <c r="J157" i="3" s="1"/>
  <c r="I158" i="3"/>
  <c r="J158" i="3" s="1"/>
  <c r="I159" i="3"/>
  <c r="J159" i="3" s="1"/>
  <c r="I160" i="3"/>
  <c r="J160" i="3" s="1"/>
  <c r="I161" i="3"/>
  <c r="J161" i="3" s="1"/>
  <c r="I162" i="3"/>
  <c r="J162" i="3" s="1"/>
  <c r="I163" i="3"/>
  <c r="J163" i="3" s="1"/>
  <c r="I164" i="3"/>
  <c r="J164" i="3" s="1"/>
  <c r="I165" i="3"/>
  <c r="J165" i="3" s="1"/>
  <c r="I166" i="3"/>
  <c r="J166" i="3" s="1"/>
  <c r="I167" i="3"/>
  <c r="J167" i="3" s="1"/>
  <c r="I168" i="3"/>
  <c r="J168" i="3" s="1"/>
  <c r="I169" i="3"/>
  <c r="J169" i="3" s="1"/>
  <c r="I170" i="3"/>
  <c r="J170" i="3" s="1"/>
  <c r="I171" i="3"/>
  <c r="J171" i="3" s="1"/>
  <c r="I172" i="3"/>
  <c r="J172" i="3" s="1"/>
  <c r="I173" i="3"/>
  <c r="J173" i="3" s="1"/>
  <c r="I174" i="3"/>
  <c r="J174" i="3" s="1"/>
  <c r="I175" i="3"/>
  <c r="J175" i="3" s="1"/>
  <c r="I176" i="3"/>
  <c r="J176" i="3" s="1"/>
  <c r="I177" i="3"/>
  <c r="J177" i="3" s="1"/>
  <c r="I178" i="3"/>
  <c r="J178" i="3" s="1"/>
  <c r="I179" i="3"/>
  <c r="J179" i="3" s="1"/>
  <c r="I180" i="3"/>
  <c r="J180" i="3" s="1"/>
  <c r="I181" i="3"/>
  <c r="J181" i="3" s="1"/>
  <c r="I182" i="3"/>
  <c r="J182" i="3" s="1"/>
  <c r="I183" i="3"/>
  <c r="J183" i="3" s="1"/>
  <c r="I184" i="3"/>
  <c r="J184" i="3" s="1"/>
  <c r="P6" i="3"/>
  <c r="P5" i="3"/>
  <c r="P4" i="3"/>
  <c r="F106" i="1"/>
  <c r="H106" i="1"/>
  <c r="I106" i="1"/>
  <c r="B9" i="4" l="1" a="1"/>
  <c r="B9" i="4" s="1"/>
  <c r="T14" i="9"/>
  <c r="T16" i="9"/>
  <c r="T37" i="9"/>
  <c r="T25" i="9"/>
  <c r="T13" i="9"/>
  <c r="T28" i="9"/>
  <c r="T36" i="9"/>
  <c r="T24" i="9"/>
  <c r="T12" i="9"/>
  <c r="T35" i="9"/>
  <c r="T23" i="9"/>
  <c r="T11" i="9"/>
  <c r="T34" i="9"/>
  <c r="T22" i="9"/>
  <c r="T10" i="9"/>
  <c r="T33" i="9"/>
  <c r="T21" i="9"/>
  <c r="T9" i="9"/>
  <c r="T32" i="9"/>
  <c r="T20" i="9"/>
  <c r="T8" i="9"/>
  <c r="T31" i="9"/>
  <c r="T19" i="9"/>
  <c r="T7" i="9"/>
  <c r="T6" i="9"/>
  <c r="T41" i="9"/>
  <c r="T29" i="9"/>
  <c r="T17" i="9"/>
  <c r="T18" i="9"/>
  <c r="T39" i="9"/>
  <c r="T27" i="9"/>
  <c r="T15" i="9"/>
  <c r="T30" i="9"/>
  <c r="T40" i="9"/>
  <c r="T38" i="9"/>
  <c r="T26" i="9"/>
  <c r="P10" i="3"/>
  <c r="P13" i="3"/>
  <c r="O19" i="3" a="1"/>
  <c r="O19" i="3" s="1"/>
  <c r="P7"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5D2DFF-720F-481C-87B2-757DD3B98BBD}"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EDC5B1FB-E209-418D-B21F-C583B84C2067}"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E35ED16D-45F8-4F30-ADE1-7468624A062E}"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362379A3-DBD7-40DA-91AF-143536AF814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67779F89-3782-4307-8B1E-8694F033B331}" name="WorksheetConnection_blank-data-file.xlsx!staff" type="102" refreshedVersion="8" minRefreshableVersion="5">
    <extLst>
      <ext xmlns:x15="http://schemas.microsoft.com/office/spreadsheetml/2010/11/main" uri="{DE250136-89BD-433C-8126-D09CA5730AF9}">
        <x15:connection id="staff" autoDelete="1">
          <x15:rangePr sourceName="_xlcn.WorksheetConnection_blankdatafile.xlsxstaff"/>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<sst xmlns="http://schemas.openxmlformats.org/spreadsheetml/2006/main" count="1901" uniqueCount="260">
  <si>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</si>
  <si>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</si>
  <si>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</si>
  <si>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</si>
  <si>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</si>
  <si>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</si>
  <si>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</si>
  <si>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</si>
  <si>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</si>
  <si>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</si>
  <si>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</si>
  <si>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</si>
  <si>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</si>
  <si>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</si>
  <si>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</si>
  <si>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</si>
  <si>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</si>
  <si>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</si>
  <si>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</si>
  <si>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</si>
  <si>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</si>
  <si>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</si>
  <si>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</si>
  <si>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</si>
  <si>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</si>
  <si>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</si>
  <si>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</si>
  <si>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</si>
  <si>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</si>
  <si>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</si>
  <si>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</si>
  <si>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</si>
  <si>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</si>
  <si>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</si>
  <si>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</si>
  <si>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</si>
  <si>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</si>
  <si>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</si>
  <si>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</si>
  <si>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</si>
  <si>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</si>
  <si>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</si>
  <si>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</si>
  <si>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</si>
  <si>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</si>
  <si>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</si>
  <si>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</si>
  <si>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</si>
  <si>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</si>
  <si>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</si>
  <si>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</si>
  <si>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</si>
  <si>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</si>
  <si>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</si>
  <si>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</si>
  <si>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</si>
  <si>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</si>
  <si>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</si>
  <si>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</si>
  <si>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</si>
  <si>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</si>
  <si>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</si>
  <si>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</si>
  <si>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</si>
  <si>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</si>
  <si>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</si>
  <si>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</si>
  <si>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</si>
  <si>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</si>
  <si>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</si>
  <si>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</si>
  <si>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</si>
  <si>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</si>
  <si>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</si>
  <si>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</si>
  <si>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</si>
  <si>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</si>
  <si>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</si>
  <si>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</si>
  <si>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</si>
  <si>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</si>
  <si>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</si>
  <si>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</si>
  <si>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</si>
  <si>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</si>
  <si>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</si>
  <si>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</si>
  <si>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</si>
  <si>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</si>
  <si>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</si>
  <si>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</si>
  <si>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</si>
  <si>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</si>
  <si>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</si>
  <si>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</si>
  <si>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</si>
  <si>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</si>
  <si>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</si>
  <si>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</si>
  <si>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</si>
  <si>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</si>
  <si>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</si>
  <si>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</si>
  <si>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</si>
  <si>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</si>
  <si>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</si>
  <si>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</si>
  <si>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</si>
  <si>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</si>
  <si>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</si>
  <si>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</si>
  <si>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</si>
  <si>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</si>
  <si>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</si>
  <si>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</si>
  <si>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</si>
  <si>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</si>
  <si>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</si>
  <si>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</si>
  <si>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</si>
  <si>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</si>
  <si>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</si>
  <si>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</si>
  <si>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</si>
  <si>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</si>
  <si>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</si>
  <si>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</si>
  <si>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</si>
  <si>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</si>
  <si>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</si>
  <si>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</si>
  <si>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</si>
  <si>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</si>
  <si>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</si>
  <si>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</si>
  <si>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</si>
  <si>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</si>
  <si>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</si>
  <si>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</si>
  <si>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</si>
  <si>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</si>
  <si>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</si>
  <si>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</si>
  <si>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</si>
  <si>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</si>
  <si>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</si>
  <si>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</si>
  <si>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</si>
  <si>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</si>
  <si>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</si>
  <si>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</si>
  <si>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</si>
  <si>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</si>
  <si>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</si>
  <si>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</si>
  <si>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</si>
  <si>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</si>
  <si>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</si>
  <si>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</si>
  <si>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</si>
  <si>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</si>
  <si>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</si>
  <si>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</si>
  <si>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</si>
  <si>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</si>
  <si>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</si>
  <si>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</si>
  <si>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</si>
  <si>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</si>
  <si>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</si>
  <si>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</si>
  <si>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</si>
  <si>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</si>
  <si>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</si>
  <si>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</si>
  <si>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</si>
  <si>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</si>
  <si>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</si>
  <si>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</si>
  <si>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</si>
  <si>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</si>
  <si>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</si>
  <si>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</si>
  <si>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</si>
  <si>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</si>
  <si>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</si>
  <si>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</si>
  <si>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</si>
  <si>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</si>
  <si>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</si>
  <si>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</si>
  <si>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</si>
  <si>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</si>
  <si>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</si>
  <si>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</si>
  <si>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</si>
  <si>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</si>
  <si>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</si>
  <si>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</si>
  <si>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</si>
  <si>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</si>
  <si>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</si>
  <si>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</si>
  <si>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</si>
  <si>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</si>
  <si>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NZ</t>
  </si>
  <si>
    <t>Other</t>
  </si>
  <si>
    <t>IND</t>
  </si>
  <si>
    <t>Average salary</t>
  </si>
  <si>
    <t>Average age</t>
  </si>
  <si>
    <t>Count of employees</t>
  </si>
  <si>
    <t>Average tenure</t>
  </si>
  <si>
    <t>Female ratio</t>
  </si>
  <si>
    <t>Tenure</t>
  </si>
  <si>
    <t>Female count</t>
  </si>
  <si>
    <t>Female ratio in %</t>
  </si>
  <si>
    <t>Ratio to total count of employees in %</t>
  </si>
  <si>
    <t xml:space="preserve">find record with name: </t>
  </si>
  <si>
    <t>Department Name:</t>
  </si>
  <si>
    <t>Number of people:</t>
  </si>
  <si>
    <t>Column Labels</t>
  </si>
  <si>
    <t>Grand Total</t>
  </si>
  <si>
    <t>Count of Name</t>
  </si>
  <si>
    <t>Average of Age</t>
  </si>
  <si>
    <t>Values</t>
  </si>
  <si>
    <t>Average of Salary</t>
  </si>
  <si>
    <t>Average of Tenure</t>
  </si>
  <si>
    <t>Male vs Female comparison</t>
  </si>
  <si>
    <t>Bonus</t>
  </si>
  <si>
    <t>Row Labels</t>
  </si>
  <si>
    <t>Rating as Number</t>
  </si>
  <si>
    <t>2020</t>
  </si>
  <si>
    <t>May</t>
  </si>
  <si>
    <t>Jun</t>
  </si>
  <si>
    <t>Jul</t>
  </si>
  <si>
    <t>Aug</t>
  </si>
  <si>
    <t>Sep</t>
  </si>
  <si>
    <t>Oct</t>
  </si>
  <si>
    <t>Nov</t>
  </si>
  <si>
    <t>Dec</t>
  </si>
  <si>
    <t>2021</t>
  </si>
  <si>
    <t>Jan</t>
  </si>
  <si>
    <t>Feb</t>
  </si>
  <si>
    <t>Mar</t>
  </si>
  <si>
    <t>Apr</t>
  </si>
  <si>
    <t>2022</t>
  </si>
  <si>
    <t>2023</t>
  </si>
  <si>
    <t>Month</t>
  </si>
  <si>
    <t>Head Count</t>
  </si>
  <si>
    <t>Running Total</t>
  </si>
  <si>
    <t>HEADCOUNT BY DEPARTMENT</t>
  </si>
  <si>
    <t>NEW ZEALAND</t>
  </si>
  <si>
    <t>INDIA</t>
  </si>
  <si>
    <t>Staff count where salary &gt; $90,000</t>
  </si>
  <si>
    <t>Section 1</t>
  </si>
  <si>
    <t>Section 2</t>
  </si>
  <si>
    <t>Section 3</t>
  </si>
  <si>
    <t>Section 4</t>
  </si>
  <si>
    <t>Female %</t>
  </si>
  <si>
    <t>Average 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</si>
</sst>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164" formatCode="0.0"/>
    <numFmt numFmtId="165" formatCode="&quot;$&quot;#,##0.00"/>
    <numFmt numFmtId="166" formatCode="&quot;$&quot;#,##0"/>
  </numFmts>
  <fonts count="10" x14ac:knownFonts="1">
    <font>
      <sz val="11"/>
      <color theme="1"/>
      <name val="Calibri"/>
      <family val="2"/>
      <scheme val="minor"/>
    </font>
    <font>
      <sz val="28"/>
      <color theme="1"/>
      <name val="Segoe UI Light"/>
      <family val="2"/>
    </font>
    <font>
      <sz val="11"/>
      <color rgb="FFFF0000"/>
      <name val="Calibri"/>
      <family val="2"/>
      <scheme val="minor"/>
    </font>
    <font>
      <b/>
      <sz val="11"/>
      <color theme="1"/>
      <name val="Calibri"/>
      <family val="2"/>
      <scheme val="minor"/>
    </font>
    <font>
      <b/>
      <sz val="26"/>
      <color theme="1"/>
      <name val="Calibri"/>
      <family val="2"/>
      <scheme val="minor"/>
    </font>
    <font>
      <b/>
      <sz val="18"/>
      <color theme="1"/>
      <name val="Calibri"/>
      <family val="2"/>
      <scheme val="minor"/>
    </font>
    <font>
      <b/>
      <sz val="20"/>
      <color theme="1"/>
      <name val="Calibri"/>
      <family val="2"/>
      <scheme val="minor"/>
    </font>
    <font>
      <b/>
      <sz val="11"/>
      <color theme="0"/>
      <name val="Calibri"/>
      <family val="2"/>
      <scheme val="minor"/>
    </font>
    <font>
      <b/>
      <sz val="11"/>
      <color rgb="FFFF0000"/>
      <name val="Calibri"/>
      <family val="2"/>
      <scheme val="minor"/>
    </font>
    <font>
      <b/>
      <i/>
      <sz val="14"/>
      <color theme="1"/>
      <name val="Calibri"/>
      <family val="2"/>
      <scheme val="minor"/>
    </font>
  </fonts>
  <fills count="18">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FFFF00"/>
        <bgColor indexed="64"/>
      </patternFill>
    </fill>
    <fill>
      <patternFill patternType="solid">
        <fgColor theme="9"/>
        <bgColor indexed="64"/>
      </patternFill>
    </fill>
    <fill>
      <patternFill patternType="solid">
        <fgColor theme="7"/>
        <bgColor indexed="64"/>
      </patternFill>
    </fill>
    <fill>
      <patternFill patternType="solid">
        <fgColor theme="4" tint="0.39997558519241921"/>
        <bgColor indexed="64"/>
      </patternFill>
    </fill>
    <fill>
      <patternFill patternType="solid">
        <fgColor theme="0"/>
        <bgColor indexed="64"/>
      </patternFill>
    </fill>
    <fill>
      <patternFill patternType="solid">
        <fgColor theme="5"/>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C000"/>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72">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8" fontId="0" fillId="0" borderId="0" xfId="0" applyNumberFormat="1"/>
    <xf numFmtId="14" fontId="0" fillId="0" borderId="0" xfId="0" applyNumberFormat="1"/>
    <xf numFmtId="2" fontId="0" fillId="0" borderId="0" xfId="0" applyNumberFormat="1"/>
    <xf numFmtId="0" fontId="3" fillId="0" borderId="0" xfId="0" applyFont="1"/>
    <xf numFmtId="0" fontId="0" fillId="4" borderId="0" xfId="0" applyFill="1" applyAlignment="1">
      <alignment horizontal="center"/>
    </xf>
    <xf numFmtId="0" fontId="0" fillId="5" borderId="0" xfId="0" applyFill="1"/>
    <xf numFmtId="0" fontId="0" fillId="0" borderId="1" xfId="0" applyBorder="1" applyAlignment="1">
      <alignment horizontal="left"/>
    </xf>
    <xf numFmtId="0" fontId="0" fillId="6" borderId="0" xfId="0" applyFill="1" applyAlignment="1">
      <alignment horizontal="center"/>
    </xf>
    <xf numFmtId="0" fontId="0" fillId="0" borderId="0" xfId="0" applyAlignment="1">
      <alignment horizontal="center"/>
    </xf>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0" fontId="0" fillId="0" borderId="1" xfId="0" applyBorder="1" applyAlignment="1">
      <alignment horizontal="center"/>
    </xf>
    <xf numFmtId="0" fontId="0" fillId="0" borderId="0" xfId="0" applyAlignment="1">
      <alignment horizontal="left" indent="1"/>
    </xf>
    <xf numFmtId="17" fontId="0" fillId="0" borderId="0" xfId="0" applyNumberForma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8" borderId="0" xfId="0" applyFill="1"/>
    <xf numFmtId="0" fontId="4" fillId="7" borderId="0" xfId="0" applyFont="1" applyFill="1" applyAlignment="1">
      <alignment horizontal="center" vertical="center"/>
    </xf>
    <xf numFmtId="0" fontId="0" fillId="0" borderId="0" xfId="0" applyAlignment="1">
      <alignment vertical="center"/>
    </xf>
    <xf numFmtId="0" fontId="4" fillId="9" borderId="0" xfId="0" applyFont="1" applyFill="1" applyAlignment="1">
      <alignment horizontal="center" vertical="center"/>
    </xf>
    <xf numFmtId="9" fontId="4" fillId="9" borderId="0" xfId="0" applyNumberFormat="1" applyFont="1" applyFill="1" applyAlignment="1">
      <alignment horizontal="center" vertical="center"/>
    </xf>
    <xf numFmtId="6" fontId="5" fillId="9" borderId="0" xfId="0" applyNumberFormat="1" applyFont="1" applyFill="1" applyAlignment="1">
      <alignment horizontal="center" vertical="center"/>
    </xf>
    <xf numFmtId="9" fontId="4" fillId="7" borderId="0" xfId="0" applyNumberFormat="1" applyFont="1" applyFill="1" applyAlignment="1">
      <alignment horizontal="center" vertical="center"/>
    </xf>
    <xf numFmtId="6" fontId="5" fillId="7" borderId="0" xfId="0" applyNumberFormat="1" applyFont="1" applyFill="1" applyAlignment="1">
      <alignment horizontal="center" vertical="center"/>
    </xf>
    <xf numFmtId="0" fontId="4" fillId="10" borderId="0" xfId="0" applyFont="1" applyFill="1" applyAlignment="1">
      <alignment horizontal="center" vertical="center"/>
    </xf>
    <xf numFmtId="0" fontId="0" fillId="10" borderId="0" xfId="0" applyFill="1"/>
    <xf numFmtId="9" fontId="4" fillId="10" borderId="0" xfId="0" applyNumberFormat="1" applyFont="1" applyFill="1" applyAlignment="1">
      <alignment horizontal="center" vertical="center"/>
    </xf>
    <xf numFmtId="6" fontId="5" fillId="10" borderId="0" xfId="0" applyNumberFormat="1" applyFont="1" applyFill="1" applyAlignment="1">
      <alignment horizontal="center" vertical="center"/>
    </xf>
    <xf numFmtId="0" fontId="5" fillId="10" borderId="0" xfId="0" applyFont="1" applyFill="1"/>
    <xf numFmtId="0" fontId="6" fillId="10" borderId="0" xfId="0" applyFont="1" applyFill="1" applyAlignment="1">
      <alignment horizontal="center" vertical="center"/>
    </xf>
    <xf numFmtId="0" fontId="0" fillId="11" borderId="0" xfId="0" applyFill="1"/>
    <xf numFmtId="2" fontId="0" fillId="5" borderId="0" xfId="0" applyNumberFormat="1" applyFill="1"/>
    <xf numFmtId="9" fontId="0" fillId="10" borderId="0" xfId="0" applyNumberFormat="1" applyFill="1"/>
    <xf numFmtId="0" fontId="0" fillId="12" borderId="0" xfId="0" applyFill="1"/>
    <xf numFmtId="9" fontId="0" fillId="12" borderId="0" xfId="0" applyNumberFormat="1" applyFill="1"/>
    <xf numFmtId="6" fontId="0" fillId="5" borderId="0" xfId="0" applyNumberFormat="1" applyFill="1" applyAlignment="1">
      <alignment horizontal="right"/>
    </xf>
    <xf numFmtId="0" fontId="0" fillId="13" borderId="0" xfId="0" applyFill="1"/>
    <xf numFmtId="0" fontId="2" fillId="14" borderId="1" xfId="0" applyFont="1" applyFill="1" applyBorder="1"/>
    <xf numFmtId="0" fontId="0" fillId="14" borderId="1" xfId="0" applyFill="1" applyBorder="1" applyAlignment="1">
      <alignment horizontal="left"/>
    </xf>
    <xf numFmtId="15" fontId="0" fillId="14" borderId="1" xfId="0" applyNumberFormat="1" applyFill="1" applyBorder="1" applyAlignment="1">
      <alignment horizontal="left"/>
    </xf>
    <xf numFmtId="8" fontId="0" fillId="14" borderId="1" xfId="0" applyNumberFormat="1" applyFill="1" applyBorder="1" applyAlignment="1">
      <alignment horizontal="left"/>
    </xf>
    <xf numFmtId="0" fontId="2" fillId="8" borderId="1" xfId="0" applyFont="1" applyFill="1" applyBorder="1" applyAlignment="1">
      <alignment horizontal="center"/>
    </xf>
    <xf numFmtId="0" fontId="2" fillId="8" borderId="1" xfId="0" applyFont="1" applyFill="1" applyBorder="1"/>
    <xf numFmtId="0" fontId="0" fillId="8" borderId="1" xfId="0" applyFill="1" applyBorder="1" applyAlignment="1">
      <alignment horizontal="center"/>
    </xf>
    <xf numFmtId="15" fontId="0" fillId="8" borderId="1" xfId="0" applyNumberFormat="1" applyFill="1" applyBorder="1"/>
    <xf numFmtId="8" fontId="0" fillId="8" borderId="1" xfId="0" applyNumberFormat="1" applyFill="1" applyBorder="1"/>
    <xf numFmtId="0" fontId="0" fillId="8" borderId="1" xfId="0" applyFill="1" applyBorder="1"/>
    <xf numFmtId="0" fontId="3" fillId="12" borderId="0" xfId="0" applyFont="1" applyFill="1" applyAlignment="1">
      <alignment horizontal="center"/>
    </xf>
    <xf numFmtId="0" fontId="0" fillId="9" borderId="0" xfId="0" applyFill="1"/>
    <xf numFmtId="0" fontId="3" fillId="15" borderId="0" xfId="0" applyFont="1" applyFill="1" applyAlignment="1">
      <alignment horizontal="center"/>
    </xf>
    <xf numFmtId="0" fontId="7" fillId="16" borderId="0" xfId="0" applyFont="1" applyFill="1"/>
    <xf numFmtId="0" fontId="7" fillId="16" borderId="0" xfId="0" applyFont="1" applyFill="1" applyAlignment="1">
      <alignment horizontal="center"/>
    </xf>
    <xf numFmtId="0" fontId="0" fillId="17" borderId="0" xfId="0" applyFill="1" applyAlignment="1">
      <alignment horizontal="left"/>
    </xf>
    <xf numFmtId="164" fontId="0" fillId="17" borderId="0" xfId="0" applyNumberFormat="1" applyFill="1"/>
    <xf numFmtId="165" fontId="0" fillId="17" borderId="0" xfId="0" applyNumberFormat="1" applyFill="1"/>
    <xf numFmtId="0" fontId="8" fillId="0" borderId="0" xfId="0" applyFont="1"/>
    <xf numFmtId="0" fontId="0" fillId="17" borderId="0" xfId="0" applyFill="1"/>
    <xf numFmtId="0" fontId="9" fillId="4" borderId="0" xfId="0" applyFont="1" applyFill="1" applyAlignment="1">
      <alignment horizontal="center"/>
    </xf>
    <xf numFmtId="0" fontId="9" fillId="4" borderId="0" xfId="0" applyFont="1" applyFill="1"/>
  </cellXfs>
  <cellStyles count="1">
    <cellStyle name="Normal" xfId="0" builtinId="0"/>
  </cellStyles>
  <dxfs count="15">
    <dxf>
      <font>
        <color rgb="FF9C0006"/>
      </font>
      <fill>
        <patternFill>
          <bgColor rgb="FFFFC7CE"/>
        </patternFill>
      </fill>
    </dxf>
    <dxf>
      <numFmt numFmtId="166" formatCode="&quot;$&quot;#,##0"/>
    </dxf>
    <dxf>
      <numFmt numFmtId="12" formatCode="&quot;$&quot;#,##0.00_);[Red]\(&quot;$&quot;#,##0.00\)"/>
    </dxf>
    <dxf>
      <fill>
        <patternFill patternType="solid">
          <bgColor theme="9" tint="0.79998168889431442"/>
        </patternFill>
      </fill>
    </dxf>
    <dxf>
      <numFmt numFmtId="2" formatCode="0.00"/>
    </dxf>
    <dxf>
      <numFmt numFmtId="12" formatCode="&quot;$&quot;#,##0.00_);[Red]\(&quot;$&quot;#,##0.00\)"/>
    </dxf>
    <dxf>
      <numFmt numFmtId="2" formatCode="0.00"/>
    </dxf>
    <dxf>
      <numFmt numFmtId="12" formatCode="&quot;$&quot;#,##0.00_);[Red]\(&quot;$&quot;#,##0.00\)"/>
    </dxf>
    <dxf>
      <numFmt numFmtId="19" formatCode="m/d/yyyy"/>
    </dxf>
    <dxf>
      <numFmt numFmtId="0" formatCode="General"/>
    </dxf>
    <dxf>
      <numFmt numFmtId="0" formatCode="General"/>
    </dxf>
    <dxf>
      <numFmt numFmtId="0" formatCode="General"/>
    </dxf>
    <dxf>
      <numFmt numFmtId="20" formatCode="d\-mmm\-yy"/>
    </dxf>
    <dxf>
      <numFmt numFmtId="12" formatCode="&quot;$&quot;#,##0.00_);[Red]\(&quot;$&quot;#,##0.00\)"/>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Salary vs Ratings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'All Staff'!$F$2:$F$184</c:f>
              <c:numCache>
                <c:formatCode>"$"#,##0.00_);[Red]\("$"#,##0.00\)</c:formatCode>
                <c:ptCount val="183"/>
                <c:pt idx="0" formatCode="&quot;$&quot;#,##0.00">
                  <c:v>112780</c:v>
                </c:pt>
                <c:pt idx="1">
                  <c:v>70610</c:v>
                </c:pt>
                <c:pt idx="2">
                  <c:v>53240</c:v>
                </c:pt>
                <c:pt idx="3">
                  <c:v>115440</c:v>
                </c:pt>
                <c:pt idx="4">
                  <c:v>53540</c:v>
                </c:pt>
                <c:pt idx="5">
                  <c:v>112570</c:v>
                </c:pt>
                <c:pt idx="6">
                  <c:v>48530</c:v>
                </c:pt>
                <c:pt idx="7">
                  <c:v>62780</c:v>
                </c:pt>
                <c:pt idx="8">
                  <c:v>53870</c:v>
                </c:pt>
                <c:pt idx="9">
                  <c:v>119110</c:v>
                </c:pt>
                <c:pt idx="10">
                  <c:v>112110</c:v>
                </c:pt>
                <c:pt idx="11">
                  <c:v>65700</c:v>
                </c:pt>
                <c:pt idx="12">
                  <c:v>69070</c:v>
                </c:pt>
                <c:pt idx="13">
                  <c:v>107700</c:v>
                </c:pt>
                <c:pt idx="14">
                  <c:v>43840</c:v>
                </c:pt>
                <c:pt idx="15">
                  <c:v>99750</c:v>
                </c:pt>
                <c:pt idx="16">
                  <c:v>37920</c:v>
                </c:pt>
                <c:pt idx="17">
                  <c:v>57090</c:v>
                </c:pt>
                <c:pt idx="18">
                  <c:v>41980</c:v>
                </c:pt>
                <c:pt idx="19">
                  <c:v>75880</c:v>
                </c:pt>
                <c:pt idx="20">
                  <c:v>58940</c:v>
                </c:pt>
                <c:pt idx="21">
                  <c:v>67910</c:v>
                </c:pt>
                <c:pt idx="22">
                  <c:v>58100</c:v>
                </c:pt>
                <c:pt idx="23">
                  <c:v>48980</c:v>
                </c:pt>
                <c:pt idx="24">
                  <c:v>64000</c:v>
                </c:pt>
                <c:pt idx="25">
                  <c:v>75000</c:v>
                </c:pt>
                <c:pt idx="26">
                  <c:v>87620</c:v>
                </c:pt>
                <c:pt idx="27">
                  <c:v>34980</c:v>
                </c:pt>
                <c:pt idx="28">
                  <c:v>75970</c:v>
                </c:pt>
                <c:pt idx="29">
                  <c:v>60130</c:v>
                </c:pt>
                <c:pt idx="30">
                  <c:v>75480</c:v>
                </c:pt>
                <c:pt idx="31">
                  <c:v>115920</c:v>
                </c:pt>
                <c:pt idx="32">
                  <c:v>78540</c:v>
                </c:pt>
                <c:pt idx="33">
                  <c:v>109190</c:v>
                </c:pt>
                <c:pt idx="34">
                  <c:v>49630</c:v>
                </c:pt>
                <c:pt idx="35">
                  <c:v>99970</c:v>
                </c:pt>
                <c:pt idx="36">
                  <c:v>96140</c:v>
                </c:pt>
                <c:pt idx="37">
                  <c:v>103550</c:v>
                </c:pt>
                <c:pt idx="38">
                  <c:v>48950</c:v>
                </c:pt>
                <c:pt idx="39">
                  <c:v>52610</c:v>
                </c:pt>
                <c:pt idx="40">
                  <c:v>78390</c:v>
                </c:pt>
                <c:pt idx="41">
                  <c:v>86570</c:v>
                </c:pt>
                <c:pt idx="42">
                  <c:v>83750</c:v>
                </c:pt>
                <c:pt idx="43">
                  <c:v>92450</c:v>
                </c:pt>
                <c:pt idx="44">
                  <c:v>112650</c:v>
                </c:pt>
                <c:pt idx="45">
                  <c:v>79570</c:v>
                </c:pt>
                <c:pt idx="46">
                  <c:v>68900</c:v>
                </c:pt>
                <c:pt idx="47">
                  <c:v>80700</c:v>
                </c:pt>
                <c:pt idx="48">
                  <c:v>58960</c:v>
                </c:pt>
                <c:pt idx="49">
                  <c:v>118840</c:v>
                </c:pt>
                <c:pt idx="50">
                  <c:v>48170</c:v>
                </c:pt>
                <c:pt idx="51">
                  <c:v>45510</c:v>
                </c:pt>
                <c:pt idx="52">
                  <c:v>114890</c:v>
                </c:pt>
                <c:pt idx="53">
                  <c:v>69710</c:v>
                </c:pt>
                <c:pt idx="54">
                  <c:v>71380</c:v>
                </c:pt>
                <c:pt idx="55">
                  <c:v>109160</c:v>
                </c:pt>
                <c:pt idx="56">
                  <c:v>113280</c:v>
                </c:pt>
                <c:pt idx="57">
                  <c:v>69120</c:v>
                </c:pt>
                <c:pt idx="58">
                  <c:v>118100</c:v>
                </c:pt>
                <c:pt idx="59">
                  <c:v>76900</c:v>
                </c:pt>
                <c:pt idx="60">
                  <c:v>114870</c:v>
                </c:pt>
                <c:pt idx="61">
                  <c:v>91310</c:v>
                </c:pt>
                <c:pt idx="62">
                  <c:v>104770</c:v>
                </c:pt>
                <c:pt idx="63">
                  <c:v>54970</c:v>
                </c:pt>
                <c:pt idx="64">
                  <c:v>90700</c:v>
                </c:pt>
                <c:pt idx="65">
                  <c:v>56870</c:v>
                </c:pt>
                <c:pt idx="66">
                  <c:v>92700</c:v>
                </c:pt>
                <c:pt idx="67">
                  <c:v>65920</c:v>
                </c:pt>
                <c:pt idx="68">
                  <c:v>47360</c:v>
                </c:pt>
                <c:pt idx="69">
                  <c:v>60570</c:v>
                </c:pt>
                <c:pt idx="70">
                  <c:v>104120</c:v>
                </c:pt>
                <c:pt idx="71">
                  <c:v>88050</c:v>
                </c:pt>
                <c:pt idx="72">
                  <c:v>100420</c:v>
                </c:pt>
                <c:pt idx="73">
                  <c:v>114180</c:v>
                </c:pt>
                <c:pt idx="74">
                  <c:v>33920</c:v>
                </c:pt>
                <c:pt idx="75">
                  <c:v>106460</c:v>
                </c:pt>
                <c:pt idx="76">
                  <c:v>40400</c:v>
                </c:pt>
                <c:pt idx="77">
                  <c:v>91650</c:v>
                </c:pt>
                <c:pt idx="78">
                  <c:v>36040</c:v>
                </c:pt>
                <c:pt idx="79">
                  <c:v>104410</c:v>
                </c:pt>
                <c:pt idx="80">
                  <c:v>96800</c:v>
                </c:pt>
                <c:pt idx="81">
                  <c:v>85000</c:v>
                </c:pt>
                <c:pt idx="82">
                  <c:v>43510</c:v>
                </c:pt>
                <c:pt idx="83">
                  <c:v>59430</c:v>
                </c:pt>
                <c:pt idx="84">
                  <c:v>65360</c:v>
                </c:pt>
                <c:pt idx="85">
                  <c:v>41570</c:v>
                </c:pt>
                <c:pt idx="86">
                  <c:v>75280</c:v>
                </c:pt>
                <c:pt idx="87">
                  <c:v>74550</c:v>
                </c:pt>
                <c:pt idx="88">
                  <c:v>67950</c:v>
                </c:pt>
                <c:pt idx="89">
                  <c:v>70270</c:v>
                </c:pt>
                <c:pt idx="90">
                  <c:v>53540</c:v>
                </c:pt>
                <c:pt idx="91">
                  <c:v>112650</c:v>
                </c:pt>
                <c:pt idx="92">
                  <c:v>43840</c:v>
                </c:pt>
                <c:pt idx="93">
                  <c:v>103550</c:v>
                </c:pt>
                <c:pt idx="94">
                  <c:v>45510</c:v>
                </c:pt>
                <c:pt idx="95">
                  <c:v>115440</c:v>
                </c:pt>
                <c:pt idx="96">
                  <c:v>56870</c:v>
                </c:pt>
                <c:pt idx="97">
                  <c:v>92700</c:v>
                </c:pt>
                <c:pt idx="98">
                  <c:v>91310</c:v>
                </c:pt>
                <c:pt idx="99">
                  <c:v>74550</c:v>
                </c:pt>
                <c:pt idx="100">
                  <c:v>109190</c:v>
                </c:pt>
                <c:pt idx="101">
                  <c:v>104410</c:v>
                </c:pt>
                <c:pt idx="102">
                  <c:v>96800</c:v>
                </c:pt>
                <c:pt idx="103">
                  <c:v>48170</c:v>
                </c:pt>
                <c:pt idx="104">
                  <c:v>37920</c:v>
                </c:pt>
                <c:pt idx="105">
                  <c:v>112650</c:v>
                </c:pt>
                <c:pt idx="106">
                  <c:v>49630</c:v>
                </c:pt>
                <c:pt idx="107">
                  <c:v>118840</c:v>
                </c:pt>
                <c:pt idx="108">
                  <c:v>69710</c:v>
                </c:pt>
                <c:pt idx="109">
                  <c:v>79570</c:v>
                </c:pt>
                <c:pt idx="110">
                  <c:v>76900</c:v>
                </c:pt>
                <c:pt idx="111">
                  <c:v>54970</c:v>
                </c:pt>
                <c:pt idx="112">
                  <c:v>88050</c:v>
                </c:pt>
                <c:pt idx="113">
                  <c:v>36040</c:v>
                </c:pt>
                <c:pt idx="114">
                  <c:v>75000</c:v>
                </c:pt>
                <c:pt idx="115">
                  <c:v>40400</c:v>
                </c:pt>
                <c:pt idx="116">
                  <c:v>100420</c:v>
                </c:pt>
                <c:pt idx="117">
                  <c:v>58100</c:v>
                </c:pt>
                <c:pt idx="118">
                  <c:v>114870</c:v>
                </c:pt>
                <c:pt idx="119">
                  <c:v>41570</c:v>
                </c:pt>
                <c:pt idx="120">
                  <c:v>112570</c:v>
                </c:pt>
                <c:pt idx="121">
                  <c:v>47360</c:v>
                </c:pt>
                <c:pt idx="122">
                  <c:v>65920</c:v>
                </c:pt>
                <c:pt idx="123">
                  <c:v>99970</c:v>
                </c:pt>
                <c:pt idx="124">
                  <c:v>80700</c:v>
                </c:pt>
                <c:pt idx="125">
                  <c:v>52610</c:v>
                </c:pt>
                <c:pt idx="126">
                  <c:v>112110</c:v>
                </c:pt>
                <c:pt idx="127">
                  <c:v>119110</c:v>
                </c:pt>
                <c:pt idx="128">
                  <c:v>112780</c:v>
                </c:pt>
                <c:pt idx="129">
                  <c:v>114890</c:v>
                </c:pt>
                <c:pt idx="130">
                  <c:v>48980</c:v>
                </c:pt>
                <c:pt idx="131">
                  <c:v>75880</c:v>
                </c:pt>
                <c:pt idx="132">
                  <c:v>53240</c:v>
                </c:pt>
                <c:pt idx="133">
                  <c:v>85000</c:v>
                </c:pt>
                <c:pt idx="134">
                  <c:v>33920</c:v>
                </c:pt>
                <c:pt idx="135">
                  <c:v>75280</c:v>
                </c:pt>
                <c:pt idx="136">
                  <c:v>58940</c:v>
                </c:pt>
                <c:pt idx="137">
                  <c:v>104770</c:v>
                </c:pt>
                <c:pt idx="138">
                  <c:v>57090</c:v>
                </c:pt>
                <c:pt idx="139">
                  <c:v>91650</c:v>
                </c:pt>
                <c:pt idx="140">
                  <c:v>70270</c:v>
                </c:pt>
                <c:pt idx="141">
                  <c:v>75970</c:v>
                </c:pt>
                <c:pt idx="142">
                  <c:v>90700</c:v>
                </c:pt>
                <c:pt idx="143">
                  <c:v>60570</c:v>
                </c:pt>
                <c:pt idx="144">
                  <c:v>115920</c:v>
                </c:pt>
                <c:pt idx="145">
                  <c:v>65360</c:v>
                </c:pt>
                <c:pt idx="146">
                  <c:v>64000</c:v>
                </c:pt>
                <c:pt idx="147">
                  <c:v>92450</c:v>
                </c:pt>
                <c:pt idx="148">
                  <c:v>48950</c:v>
                </c:pt>
                <c:pt idx="149">
                  <c:v>83750</c:v>
                </c:pt>
                <c:pt idx="150">
                  <c:v>87620</c:v>
                </c:pt>
                <c:pt idx="151">
                  <c:v>68900</c:v>
                </c:pt>
                <c:pt idx="152">
                  <c:v>53540</c:v>
                </c:pt>
                <c:pt idx="153">
                  <c:v>43510</c:v>
                </c:pt>
                <c:pt idx="154">
                  <c:v>109160</c:v>
                </c:pt>
                <c:pt idx="155">
                  <c:v>99750</c:v>
                </c:pt>
                <c:pt idx="156">
                  <c:v>41980</c:v>
                </c:pt>
                <c:pt idx="157">
                  <c:v>71380</c:v>
                </c:pt>
                <c:pt idx="158">
                  <c:v>113280</c:v>
                </c:pt>
                <c:pt idx="159">
                  <c:v>86570</c:v>
                </c:pt>
                <c:pt idx="160">
                  <c:v>53540</c:v>
                </c:pt>
                <c:pt idx="161">
                  <c:v>69070</c:v>
                </c:pt>
                <c:pt idx="162">
                  <c:v>67910</c:v>
                </c:pt>
                <c:pt idx="163">
                  <c:v>69120</c:v>
                </c:pt>
                <c:pt idx="164">
                  <c:v>60130</c:v>
                </c:pt>
                <c:pt idx="165">
                  <c:v>106460</c:v>
                </c:pt>
                <c:pt idx="166">
                  <c:v>118100</c:v>
                </c:pt>
                <c:pt idx="167">
                  <c:v>78390</c:v>
                </c:pt>
                <c:pt idx="168">
                  <c:v>114180</c:v>
                </c:pt>
                <c:pt idx="169">
                  <c:v>104120</c:v>
                </c:pt>
                <c:pt idx="170">
                  <c:v>67950</c:v>
                </c:pt>
                <c:pt idx="171">
                  <c:v>34980</c:v>
                </c:pt>
                <c:pt idx="172">
                  <c:v>62780</c:v>
                </c:pt>
                <c:pt idx="173">
                  <c:v>107700</c:v>
                </c:pt>
                <c:pt idx="174">
                  <c:v>65700</c:v>
                </c:pt>
                <c:pt idx="175">
                  <c:v>75480</c:v>
                </c:pt>
                <c:pt idx="176">
                  <c:v>53870</c:v>
                </c:pt>
                <c:pt idx="177">
                  <c:v>78540</c:v>
                </c:pt>
                <c:pt idx="178">
                  <c:v>58960</c:v>
                </c:pt>
                <c:pt idx="179">
                  <c:v>70610</c:v>
                </c:pt>
                <c:pt idx="180">
                  <c:v>59430</c:v>
                </c:pt>
                <c:pt idx="181">
                  <c:v>48530</c:v>
                </c:pt>
                <c:pt idx="182">
                  <c:v>96140</c:v>
                </c:pt>
              </c:numCache>
            </c:numRef>
          </c:xVal>
          <c:yVal>
            <c:numRef>
              <c:f>'All Staff'!$K$2:$K$184</c:f>
              <c:numCache>
                <c:formatCode>0.00</c:formatCode>
                <c:ptCount val="183"/>
                <c:pt idx="0">
                  <c:v>4</c:v>
                </c:pt>
                <c:pt idx="1">
                  <c:v>3</c:v>
                </c:pt>
                <c:pt idx="2">
                  <c:v>3</c:v>
                </c:pt>
                <c:pt idx="3">
                  <c:v>2</c:v>
                </c:pt>
                <c:pt idx="4">
                  <c:v>3</c:v>
                </c:pt>
                <c:pt idx="5">
                  <c:v>3</c:v>
                </c:pt>
                <c:pt idx="6">
                  <c:v>4</c:v>
                </c:pt>
                <c:pt idx="7">
                  <c:v>3</c:v>
                </c:pt>
                <c:pt idx="8">
                  <c:v>3</c:v>
                </c:pt>
                <c:pt idx="9">
                  <c:v>3</c:v>
                </c:pt>
                <c:pt idx="10">
                  <c:v>2</c:v>
                </c:pt>
                <c:pt idx="11">
                  <c:v>3</c:v>
                </c:pt>
                <c:pt idx="12">
                  <c:v>3</c:v>
                </c:pt>
                <c:pt idx="13">
                  <c:v>3</c:v>
                </c:pt>
                <c:pt idx="14">
                  <c:v>4</c:v>
                </c:pt>
                <c:pt idx="15">
                  <c:v>3</c:v>
                </c:pt>
                <c:pt idx="16">
                  <c:v>3</c:v>
                </c:pt>
                <c:pt idx="17">
                  <c:v>3</c:v>
                </c:pt>
                <c:pt idx="18">
                  <c:v>3</c:v>
                </c:pt>
                <c:pt idx="19">
                  <c:v>3</c:v>
                </c:pt>
                <c:pt idx="20">
                  <c:v>3</c:v>
                </c:pt>
                <c:pt idx="21">
                  <c:v>2</c:v>
                </c:pt>
                <c:pt idx="22">
                  <c:v>3</c:v>
                </c:pt>
                <c:pt idx="23">
                  <c:v>3</c:v>
                </c:pt>
                <c:pt idx="24">
                  <c:v>3</c:v>
                </c:pt>
                <c:pt idx="25">
                  <c:v>5</c:v>
                </c:pt>
                <c:pt idx="26">
                  <c:v>3</c:v>
                </c:pt>
                <c:pt idx="27">
                  <c:v>3</c:v>
                </c:pt>
                <c:pt idx="28">
                  <c:v>3</c:v>
                </c:pt>
                <c:pt idx="29">
                  <c:v>3</c:v>
                </c:pt>
                <c:pt idx="30">
                  <c:v>1</c:v>
                </c:pt>
                <c:pt idx="31">
                  <c:v>3</c:v>
                </c:pt>
                <c:pt idx="32">
                  <c:v>3</c:v>
                </c:pt>
                <c:pt idx="33">
                  <c:v>4</c:v>
                </c:pt>
                <c:pt idx="34">
                  <c:v>2</c:v>
                </c:pt>
                <c:pt idx="35">
                  <c:v>3</c:v>
                </c:pt>
                <c:pt idx="36">
                  <c:v>3</c:v>
                </c:pt>
                <c:pt idx="37">
                  <c:v>3</c:v>
                </c:pt>
                <c:pt idx="38">
                  <c:v>3</c:v>
                </c:pt>
                <c:pt idx="39">
                  <c:v>2</c:v>
                </c:pt>
                <c:pt idx="40">
                  <c:v>3</c:v>
                </c:pt>
                <c:pt idx="41">
                  <c:v>3</c:v>
                </c:pt>
                <c:pt idx="42">
                  <c:v>3</c:v>
                </c:pt>
                <c:pt idx="43">
                  <c:v>3</c:v>
                </c:pt>
                <c:pt idx="44">
                  <c:v>3</c:v>
                </c:pt>
                <c:pt idx="45">
                  <c:v>3</c:v>
                </c:pt>
                <c:pt idx="46">
                  <c:v>2</c:v>
                </c:pt>
                <c:pt idx="47">
                  <c:v>4</c:v>
                </c:pt>
                <c:pt idx="48">
                  <c:v>3</c:v>
                </c:pt>
                <c:pt idx="49">
                  <c:v>3</c:v>
                </c:pt>
                <c:pt idx="50">
                  <c:v>4</c:v>
                </c:pt>
                <c:pt idx="51">
                  <c:v>3</c:v>
                </c:pt>
                <c:pt idx="52">
                  <c:v>3</c:v>
                </c:pt>
                <c:pt idx="53">
                  <c:v>3</c:v>
                </c:pt>
                <c:pt idx="54">
                  <c:v>3</c:v>
                </c:pt>
                <c:pt idx="55">
                  <c:v>5</c:v>
                </c:pt>
                <c:pt idx="56">
                  <c:v>1</c:v>
                </c:pt>
                <c:pt idx="57">
                  <c:v>3</c:v>
                </c:pt>
                <c:pt idx="58">
                  <c:v>3</c:v>
                </c:pt>
                <c:pt idx="59">
                  <c:v>4</c:v>
                </c:pt>
                <c:pt idx="60">
                  <c:v>3</c:v>
                </c:pt>
                <c:pt idx="61">
                  <c:v>3</c:v>
                </c:pt>
                <c:pt idx="62">
                  <c:v>3</c:v>
                </c:pt>
                <c:pt idx="63">
                  <c:v>3</c:v>
                </c:pt>
                <c:pt idx="64">
                  <c:v>4</c:v>
                </c:pt>
                <c:pt idx="65">
                  <c:v>4</c:v>
                </c:pt>
                <c:pt idx="66">
                  <c:v>3</c:v>
                </c:pt>
                <c:pt idx="67">
                  <c:v>3</c:v>
                </c:pt>
                <c:pt idx="68">
                  <c:v>3</c:v>
                </c:pt>
                <c:pt idx="69">
                  <c:v>3</c:v>
                </c:pt>
                <c:pt idx="70">
                  <c:v>3</c:v>
                </c:pt>
                <c:pt idx="71">
                  <c:v>2</c:v>
                </c:pt>
                <c:pt idx="72">
                  <c:v>3</c:v>
                </c:pt>
                <c:pt idx="73">
                  <c:v>3</c:v>
                </c:pt>
                <c:pt idx="74">
                  <c:v>3</c:v>
                </c:pt>
                <c:pt idx="75">
                  <c:v>3</c:v>
                </c:pt>
                <c:pt idx="76">
                  <c:v>3</c:v>
                </c:pt>
                <c:pt idx="77">
                  <c:v>4</c:v>
                </c:pt>
                <c:pt idx="78">
                  <c:v>3</c:v>
                </c:pt>
                <c:pt idx="79">
                  <c:v>3</c:v>
                </c:pt>
                <c:pt idx="80">
                  <c:v>3</c:v>
                </c:pt>
                <c:pt idx="81">
                  <c:v>3</c:v>
                </c:pt>
                <c:pt idx="82">
                  <c:v>1</c:v>
                </c:pt>
                <c:pt idx="83">
                  <c:v>3</c:v>
                </c:pt>
                <c:pt idx="84">
                  <c:v>3</c:v>
                </c:pt>
                <c:pt idx="85">
                  <c:v>3</c:v>
                </c:pt>
                <c:pt idx="86">
                  <c:v>3</c:v>
                </c:pt>
                <c:pt idx="87">
                  <c:v>3</c:v>
                </c:pt>
                <c:pt idx="88">
                  <c:v>3</c:v>
                </c:pt>
                <c:pt idx="89">
                  <c:v>2</c:v>
                </c:pt>
                <c:pt idx="90">
                  <c:v>3</c:v>
                </c:pt>
                <c:pt idx="91">
                  <c:v>3</c:v>
                </c:pt>
                <c:pt idx="92">
                  <c:v>4</c:v>
                </c:pt>
                <c:pt idx="93">
                  <c:v>3</c:v>
                </c:pt>
                <c:pt idx="94">
                  <c:v>3</c:v>
                </c:pt>
                <c:pt idx="95">
                  <c:v>2</c:v>
                </c:pt>
                <c:pt idx="96">
                  <c:v>4</c:v>
                </c:pt>
                <c:pt idx="97">
                  <c:v>3</c:v>
                </c:pt>
                <c:pt idx="98">
                  <c:v>3</c:v>
                </c:pt>
                <c:pt idx="99">
                  <c:v>3</c:v>
                </c:pt>
                <c:pt idx="100">
                  <c:v>4</c:v>
                </c:pt>
                <c:pt idx="101">
                  <c:v>3</c:v>
                </c:pt>
                <c:pt idx="102">
                  <c:v>3</c:v>
                </c:pt>
                <c:pt idx="103">
                  <c:v>4</c:v>
                </c:pt>
                <c:pt idx="104">
                  <c:v>3</c:v>
                </c:pt>
                <c:pt idx="105">
                  <c:v>3</c:v>
                </c:pt>
                <c:pt idx="106">
                  <c:v>2</c:v>
                </c:pt>
                <c:pt idx="107">
                  <c:v>3</c:v>
                </c:pt>
                <c:pt idx="108">
                  <c:v>3</c:v>
                </c:pt>
                <c:pt idx="109">
                  <c:v>3</c:v>
                </c:pt>
                <c:pt idx="110">
                  <c:v>4</c:v>
                </c:pt>
                <c:pt idx="111">
                  <c:v>3</c:v>
                </c:pt>
                <c:pt idx="112">
                  <c:v>2</c:v>
                </c:pt>
                <c:pt idx="113">
                  <c:v>3</c:v>
                </c:pt>
                <c:pt idx="114">
                  <c:v>5</c:v>
                </c:pt>
                <c:pt idx="115">
                  <c:v>3</c:v>
                </c:pt>
                <c:pt idx="116">
                  <c:v>3</c:v>
                </c:pt>
                <c:pt idx="117">
                  <c:v>3</c:v>
                </c:pt>
                <c:pt idx="118">
                  <c:v>3</c:v>
                </c:pt>
                <c:pt idx="119">
                  <c:v>3</c:v>
                </c:pt>
                <c:pt idx="120">
                  <c:v>3</c:v>
                </c:pt>
                <c:pt idx="121">
                  <c:v>3</c:v>
                </c:pt>
                <c:pt idx="122">
                  <c:v>3</c:v>
                </c:pt>
                <c:pt idx="123">
                  <c:v>3</c:v>
                </c:pt>
                <c:pt idx="124">
                  <c:v>4</c:v>
                </c:pt>
                <c:pt idx="125">
                  <c:v>2</c:v>
                </c:pt>
                <c:pt idx="126">
                  <c:v>2</c:v>
                </c:pt>
                <c:pt idx="127">
                  <c:v>3</c:v>
                </c:pt>
                <c:pt idx="128">
                  <c:v>4</c:v>
                </c:pt>
                <c:pt idx="129">
                  <c:v>3</c:v>
                </c:pt>
                <c:pt idx="130">
                  <c:v>3</c:v>
                </c:pt>
                <c:pt idx="131">
                  <c:v>3</c:v>
                </c:pt>
                <c:pt idx="132">
                  <c:v>3</c:v>
                </c:pt>
                <c:pt idx="133">
                  <c:v>3</c:v>
                </c:pt>
                <c:pt idx="134">
                  <c:v>3</c:v>
                </c:pt>
                <c:pt idx="135">
                  <c:v>3</c:v>
                </c:pt>
                <c:pt idx="136">
                  <c:v>3</c:v>
                </c:pt>
                <c:pt idx="137">
                  <c:v>3</c:v>
                </c:pt>
                <c:pt idx="138">
                  <c:v>3</c:v>
                </c:pt>
                <c:pt idx="139">
                  <c:v>4</c:v>
                </c:pt>
                <c:pt idx="140">
                  <c:v>2</c:v>
                </c:pt>
                <c:pt idx="141">
                  <c:v>3</c:v>
                </c:pt>
                <c:pt idx="142">
                  <c:v>4</c:v>
                </c:pt>
                <c:pt idx="143">
                  <c:v>3</c:v>
                </c:pt>
                <c:pt idx="144">
                  <c:v>3</c:v>
                </c:pt>
                <c:pt idx="145">
                  <c:v>3</c:v>
                </c:pt>
                <c:pt idx="146">
                  <c:v>3</c:v>
                </c:pt>
                <c:pt idx="147">
                  <c:v>3</c:v>
                </c:pt>
                <c:pt idx="148">
                  <c:v>3</c:v>
                </c:pt>
                <c:pt idx="149">
                  <c:v>3</c:v>
                </c:pt>
                <c:pt idx="150">
                  <c:v>3</c:v>
                </c:pt>
                <c:pt idx="151">
                  <c:v>2</c:v>
                </c:pt>
                <c:pt idx="152">
                  <c:v>3</c:v>
                </c:pt>
                <c:pt idx="153">
                  <c:v>1</c:v>
                </c:pt>
                <c:pt idx="154">
                  <c:v>5</c:v>
                </c:pt>
                <c:pt idx="155">
                  <c:v>3</c:v>
                </c:pt>
                <c:pt idx="156">
                  <c:v>3</c:v>
                </c:pt>
                <c:pt idx="157">
                  <c:v>3</c:v>
                </c:pt>
                <c:pt idx="158">
                  <c:v>1</c:v>
                </c:pt>
                <c:pt idx="159">
                  <c:v>3</c:v>
                </c:pt>
                <c:pt idx="160">
                  <c:v>3</c:v>
                </c:pt>
                <c:pt idx="161">
                  <c:v>3</c:v>
                </c:pt>
                <c:pt idx="162">
                  <c:v>2</c:v>
                </c:pt>
                <c:pt idx="163">
                  <c:v>3</c:v>
                </c:pt>
                <c:pt idx="164">
                  <c:v>3</c:v>
                </c:pt>
                <c:pt idx="165">
                  <c:v>3</c:v>
                </c:pt>
                <c:pt idx="166">
                  <c:v>3</c:v>
                </c:pt>
                <c:pt idx="167">
                  <c:v>3</c:v>
                </c:pt>
                <c:pt idx="168">
                  <c:v>3</c:v>
                </c:pt>
                <c:pt idx="169">
                  <c:v>3</c:v>
                </c:pt>
                <c:pt idx="170">
                  <c:v>3</c:v>
                </c:pt>
                <c:pt idx="171">
                  <c:v>3</c:v>
                </c:pt>
                <c:pt idx="172">
                  <c:v>3</c:v>
                </c:pt>
                <c:pt idx="173">
                  <c:v>3</c:v>
                </c:pt>
                <c:pt idx="174">
                  <c:v>3</c:v>
                </c:pt>
                <c:pt idx="175">
                  <c:v>1</c:v>
                </c:pt>
                <c:pt idx="176">
                  <c:v>3</c:v>
                </c:pt>
                <c:pt idx="177">
                  <c:v>3</c:v>
                </c:pt>
                <c:pt idx="178">
                  <c:v>3</c:v>
                </c:pt>
                <c:pt idx="179">
                  <c:v>3</c:v>
                </c:pt>
                <c:pt idx="180">
                  <c:v>3</c:v>
                </c:pt>
                <c:pt idx="181">
                  <c:v>4</c:v>
                </c:pt>
                <c:pt idx="182">
                  <c:v>3</c:v>
                </c:pt>
              </c:numCache>
            </c:numRef>
          </c:yVal>
          <c:smooth val="0"/>
          <c:extLst>
            <c:ext xmlns:c16="http://schemas.microsoft.com/office/drawing/2014/chart" uri="{C3380CC4-5D6E-409C-BE32-E72D297353CC}">
              <c16:uniqueId val="{00000000-2703-4EA8-A1DD-AC2992A95A77}"/>
            </c:ext>
          </c:extLst>
        </c:ser>
        <c:dLbls>
          <c:showLegendKey val="0"/>
          <c:showVal val="0"/>
          <c:showCatName val="0"/>
          <c:showSerName val="0"/>
          <c:showPercent val="0"/>
          <c:showBubbleSize val="0"/>
        </c:dLbls>
        <c:axId val="103388288"/>
        <c:axId val="2033536336"/>
      </c:scatterChart>
      <c:valAx>
        <c:axId val="103388288"/>
        <c:scaling>
          <c:orientation val="minMax"/>
        </c:scaling>
        <c:delete val="0"/>
        <c:axPos val="b"/>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33536336"/>
        <c:crosses val="autoZero"/>
        <c:crossBetween val="midCat"/>
      </c:valAx>
      <c:valAx>
        <c:axId val="2033536336"/>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33882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[Clean-Analyze and Present Employee Data.xlsx]Yearly Hiring Trend!PivotTable1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Company</a:t>
            </a:r>
            <a:r>
              <a:rPr lang="en-US" baseline="0"/>
              <a:t> Hiring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'Yearly Hiring Trend'!$B$1</c:f>
              <c:strCache>
                <c:ptCount val="1"/>
                <c:pt idx="0">
                  <c:v>Total</c:v>
                </c:pt>
              </c:strCache>
            </c:strRef>
          </c:tx>
          <c:spPr>
            <a:ln w="28575" cap="rnd">
              <a:solidFill>
                <a:schemeClr val="accent1"/>
              </a:solidFill>
              <a:round/>
            </a:ln>
            <a:effectLst/>
          </c:spPr>
          <c:marker>
            <c:symbol val="none"/>
          </c:marker>
          <c:cat>
            <c:multiLvlStrRef>
              <c:f>'Yearly Hiring Trend'!$A$2:$A$36</c:f>
              <c:multiLvlStrCache>
                <c:ptCount val="31"/>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lvl>
                <c:lvl>
                  <c:pt idx="0">
                    <c:v>2020</c:v>
                  </c:pt>
                  <c:pt idx="8">
                    <c:v>2021</c:v>
                  </c:pt>
                  <c:pt idx="20">
                    <c:v>2022</c:v>
                  </c:pt>
                  <c:pt idx="30">
                    <c:v>2023</c:v>
                  </c:pt>
                </c:lvl>
              </c:multiLvlStrCache>
            </c:multiLvlStrRef>
          </c:cat>
          <c:val>
            <c:numRef>
              <c:f>'Yearly Hiring Trend'!$B$2:$B$36</c:f>
              <c:numCache>
                <c:formatCode>General</c:formatCode>
                <c:ptCount val="31"/>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#N/A</c:v>
                </c:pt>
              </c:numCache>
            </c:numRef>
          </c:val>
          <c:smooth val="0"/>
          <c:extLst>
            <c:ext xmlns:c16="http://schemas.microsoft.com/office/drawing/2014/chart" uri="{C3380CC4-5D6E-409C-BE32-E72D297353CC}">
              <c16:uniqueId val="{00000000-1604-4AD2-873F-7D5664201C6D}"/>
            </c:ext>
          </c:extLst>
        </c:ser>
        <c:dLbls>
          <c:showLegendKey val="0"/>
          <c:showVal val="0"/>
          <c:showCatName val="0"/>
          <c:showSerName val="0"/>
          <c:showPercent val="0"/>
          <c:showBubbleSize val="0"/>
        </c:dLbls>
        <c:smooth val="0"/>
        <c:axId val="821638016"/>
        <c:axId val="810667888"/>
      </c:lineChart>
      <c:catAx>
        <c:axId val="8216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667888"/>
        <c:crosses val="autoZero"/>
        <c:auto val="1"/>
        <c:lblAlgn val="ctr"/>
        <c:lblOffset val="100"/>
        <c:noMultiLvlLbl val="0"/>
      </c:catAx>
      <c:valAx>
        <c:axId val="810667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638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Hiring Trend Running 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Hiring Trend'!$T$1:$T$4</c:f>
              <c:strCache>
                <c:ptCount val="4"/>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'Yearly Hiring Trend'!$R$5:$R$41</c:f>
              <c:strCache>
                <c:ptCount val="37"/>
                <c:pt idx="0">
                  <c:v>Month</c:v>
                </c:pt>
                <c:pt idx="1">
                  <c:v>May-20</c:v>
                </c:pt>
                <c:pt idx="2">
                  <c:v>Jun-20</c:v>
                </c:pt>
                <c:pt idx="3">
                  <c:v>Jul-20</c:v>
                </c:pt>
                <c:pt idx="4">
                  <c:v>Aug-20</c:v>
                </c:pt>
                <c:pt idx="5">
                  <c:v>Sep-20</c:v>
                </c:pt>
                <c:pt idx="6">
                  <c:v>Oct-20</c:v>
                </c:pt>
                <c:pt idx="7">
                  <c:v>Nov-20</c:v>
                </c:pt>
                <c:pt idx="8">
                  <c:v>Dec-20</c:v>
                </c:pt>
                <c:pt idx="9">
                  <c:v>Jan-21</c:v>
                </c:pt>
                <c:pt idx="10">
                  <c:v>Feb-21</c:v>
                </c:pt>
                <c:pt idx="11">
                  <c:v>Mar-21</c:v>
                </c:pt>
                <c:pt idx="12">
                  <c:v>Apr-21</c:v>
                </c:pt>
                <c:pt idx="13">
                  <c:v>May-21</c:v>
                </c:pt>
                <c:pt idx="14">
                  <c:v>Jun-21</c:v>
                </c:pt>
                <c:pt idx="15">
                  <c:v>Jul-21</c:v>
                </c:pt>
                <c:pt idx="16">
                  <c:v>Aug-21</c:v>
                </c:pt>
                <c:pt idx="17">
                  <c:v>Sep-21</c:v>
                </c:pt>
                <c:pt idx="18">
                  <c:v>Oct-21</c:v>
                </c:pt>
                <c:pt idx="19">
                  <c:v>Nov-21</c:v>
                </c:pt>
                <c:pt idx="20">
                  <c:v>Dec-21</c:v>
                </c:pt>
                <c:pt idx="21">
                  <c:v>Jan-22</c:v>
                </c:pt>
                <c:pt idx="22">
                  <c:v>Feb-22</c:v>
                </c:pt>
                <c:pt idx="23">
                  <c:v>Mar-22</c:v>
                </c:pt>
                <c:pt idx="24">
                  <c:v>Apr-22</c:v>
                </c:pt>
                <c:pt idx="25">
                  <c:v>May-22</c:v>
                </c:pt>
                <c:pt idx="26">
                  <c:v>Jun-22</c:v>
                </c:pt>
                <c:pt idx="27">
                  <c:v>Jul-22</c:v>
                </c:pt>
                <c:pt idx="28">
                  <c:v>Aug-22</c:v>
                </c:pt>
                <c:pt idx="29">
                  <c:v>Sep-22</c:v>
                </c:pt>
                <c:pt idx="30">
                  <c:v>Oct-22</c:v>
                </c:pt>
                <c:pt idx="31">
                  <c:v>Nov-22</c:v>
                </c:pt>
                <c:pt idx="32">
                  <c:v>Dec-22</c:v>
                </c:pt>
                <c:pt idx="33">
                  <c:v>Jan-23</c:v>
                </c:pt>
                <c:pt idx="34">
                  <c:v>Feb-23</c:v>
                </c:pt>
                <c:pt idx="35">
                  <c:v>Mar-23</c:v>
                </c:pt>
                <c:pt idx="36">
                  <c:v>Apr-23</c:v>
                </c:pt>
              </c:strCache>
            </c:strRef>
          </c:cat>
          <c:val>
            <c:numRef>
              <c:f>'Yearly Hiring Trend'!$T$5:$T$41</c:f>
              <c:numCache>
                <c:formatCode>General</c:formatCode>
                <c:ptCount val="37"/>
                <c:pt idx="0">
                  <c:v>0</c:v>
                </c:pt>
                <c:pt idx="1">
                  <c:v>3</c:v>
                </c:pt>
                <c:pt idx="2">
                  <c:v>4</c:v>
                </c:pt>
                <c:pt idx="3">
                  <c:v>9</c:v>
                </c:pt>
                <c:pt idx="4">
                  <c:v>12</c:v>
                </c:pt>
                <c:pt idx="5">
                  <c:v>18</c:v>
                </c:pt>
                <c:pt idx="6">
                  <c:v>24</c:v>
                </c:pt>
                <c:pt idx="7">
                  <c:v>30</c:v>
                </c:pt>
                <c:pt idx="8">
                  <c:v>37</c:v>
                </c:pt>
                <c:pt idx="9">
                  <c:v>43</c:v>
                </c:pt>
                <c:pt idx="10">
                  <c:v>47</c:v>
                </c:pt>
                <c:pt idx="11">
                  <c:v>56</c:v>
                </c:pt>
                <c:pt idx="12">
                  <c:v>61</c:v>
                </c:pt>
                <c:pt idx="13">
                  <c:v>71</c:v>
                </c:pt>
                <c:pt idx="14">
                  <c:v>77</c:v>
                </c:pt>
                <c:pt idx="15">
                  <c:v>90</c:v>
                </c:pt>
                <c:pt idx="16">
                  <c:v>94</c:v>
                </c:pt>
                <c:pt idx="17">
                  <c:v>105</c:v>
                </c:pt>
                <c:pt idx="18">
                  <c:v>108</c:v>
                </c:pt>
                <c:pt idx="19">
                  <c:v>112</c:v>
                </c:pt>
                <c:pt idx="20">
                  <c:v>119</c:v>
                </c:pt>
                <c:pt idx="21">
                  <c:v>122</c:v>
                </c:pt>
                <c:pt idx="22">
                  <c:v>132</c:v>
                </c:pt>
                <c:pt idx="23">
                  <c:v>141</c:v>
                </c:pt>
                <c:pt idx="24">
                  <c:v>150</c:v>
                </c:pt>
                <c:pt idx="25">
                  <c:v>159</c:v>
                </c:pt>
                <c:pt idx="26">
                  <c:v>166</c:v>
                </c:pt>
                <c:pt idx="27">
                  <c:v>171</c:v>
                </c:pt>
                <c:pt idx="28">
                  <c:v>176</c:v>
                </c:pt>
                <c:pt idx="29">
                  <c:v>178</c:v>
                </c:pt>
                <c:pt idx="30">
                  <c:v>181</c:v>
                </c:pt>
                <c:pt idx="31">
                  <c:v>181</c:v>
                </c:pt>
                <c:pt idx="32">
                  <c:v>181</c:v>
                </c:pt>
                <c:pt idx="33">
                  <c:v>181</c:v>
                </c:pt>
                <c:pt idx="34">
                  <c:v>182</c:v>
                </c:pt>
                <c:pt idx="35">
                  <c:v>182</c:v>
                </c:pt>
                <c:pt idx="36">
                  <c:v>183</c:v>
                </c:pt>
              </c:numCache>
            </c:numRef>
          </c:val>
          <c:smooth val="0"/>
          <c:extLst>
            <c:ext xmlns:c16="http://schemas.microsoft.com/office/drawing/2014/chart" uri="{C3380CC4-5D6E-409C-BE32-E72D297353CC}">
              <c16:uniqueId val="{00000000-4D14-4D7A-8770-D24D6CB18FFE}"/>
            </c:ext>
          </c:extLst>
        </c:ser>
        <c:dLbls>
          <c:showLegendKey val="0"/>
          <c:showVal val="0"/>
          <c:showCatName val="0"/>
          <c:showSerName val="0"/>
          <c:showPercent val="0"/>
          <c:showBubbleSize val="0"/>
        </c:dLbls>
        <c:marker val="1"/>
        <c:smooth val="0"/>
        <c:axId val="1580897168"/>
        <c:axId val="964088800"/>
      </c:lineChart>
      <c:catAx>
        <c:axId val="1580897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088800"/>
        <c:crosses val="autoZero"/>
        <c:auto val="1"/>
        <c:lblAlgn val="ctr"/>
        <c:lblOffset val="100"/>
        <c:noMultiLvlLbl val="0"/>
      </c:catAx>
      <c:valAx>
        <c:axId val="964088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0897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[Clean-Analyze and Present Employee Data.xlsx]Sheet4!PivotTable2</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India Number of Staff By Department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Sheet4!$C$4</c:f>
              <c:strCache>
                <c:ptCount val="1"/>
                <c:pt idx="0">
                  <c:v>Total</c:v>
                </c:pt>
              </c:strCache>
            </c:strRef>
          </c:tx>
          <c:spPr>
            <a:solidFill>
              <a:schemeClr val="accent2"/>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Sheet4!$B$5:$B$10</c:f>
              <c:strCache>
                <c:ptCount val="5"/>
                <c:pt idx="0">
                  <c:v>Procurement</c:v>
                </c:pt>
                <c:pt idx="1">
                  <c:v>Website</c:v>
                </c:pt>
                <c:pt idx="2">
                  <c:v>Finance</c:v>
                </c:pt>
                <c:pt idx="3">
                  <c:v>Sales</c:v>
                </c:pt>
                <c:pt idx="4">
                  <c:v>HR</c:v>
                </c:pt>
              </c:strCache>
            </c:strRef>
          </c:cat>
          <c:val>
            <c:numRef>
              <c:f>Sheet4!$C$5:$C$10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06B1-4586-B2B4-8FE4B187D6D7}"/>
            </c:ext>
          </c:extLst>
        </c:ser>
        <c:dLbls>
          <c:dLblPos val="inEnd"/>
          <c:showLegendKey val="0"/>
          <c:showVal val="1"/>
          <c:showCatName val="0"/>
          <c:showSerName val="0"/>
          <c:showPercent val="0"/>
          <c:showBubbleSize val="0"/>
        </c:dLbls>
        <c:gapWidth val="65"/>
        <c:axId val="2113460928"/>
        <c:axId val="811790496"/>
      </c:barChart>
      <c:catAx>
        <c:axId val="211346092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11790496"/>
        <c:crosses val="autoZero"/>
        <c:auto val="1"/>
        <c:lblAlgn val="ctr"/>
        <c:lblOffset val="100"/>
        <c:noMultiLvlLbl val="0"/>
      </c:catAx>
      <c:valAx>
        <c:axId val="81179049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11346092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[Clean-Analyze and Present Employee Data.xlsx]Sheet4!PivotTable3</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NZ Number of Staff By Department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Sheet4!$M$4</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Sheet4!$L$5:$L$10</c:f>
              <c:strCache>
                <c:ptCount val="5"/>
                <c:pt idx="0">
                  <c:v>Website</c:v>
                </c:pt>
                <c:pt idx="1">
                  <c:v>Procurement</c:v>
                </c:pt>
                <c:pt idx="2">
                  <c:v>Finance</c:v>
                </c:pt>
                <c:pt idx="3">
                  <c:v>Sales</c:v>
                </c:pt>
                <c:pt idx="4">
                  <c:v>HR</c:v>
                </c:pt>
              </c:strCache>
            </c:strRef>
          </c:cat>
          <c:val>
            <c:numRef>
              <c:f>Sheet4!$M$5:$M$10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7D70-45F9-9CC2-D3BDCCBFD658}"/>
            </c:ext>
          </c:extLst>
        </c:ser>
        <c:dLbls>
          <c:dLblPos val="inEnd"/>
          <c:showLegendKey val="0"/>
          <c:showVal val="1"/>
          <c:showCatName val="0"/>
          <c:showSerName val="0"/>
          <c:showPercent val="0"/>
          <c:showBubbleSize val="0"/>
        </c:dLbls>
        <c:gapWidth val="65"/>
        <c:axId val="2113448928"/>
        <c:axId val="1623639968"/>
      </c:barChart>
      <c:catAx>
        <c:axId val="211344892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23639968"/>
        <c:crosses val="autoZero"/>
        <c:auto val="1"/>
        <c:lblAlgn val="ctr"/>
        <c:lblOffset val="100"/>
        <c:noMultiLvlLbl val="0"/>
      </c:catAx>
      <c:valAx>
        <c:axId val="162363996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11344892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cx:v>
        </cx:txData>
      </cx:tx>
      <cx:txPr>
        <a:bodyPr spcFirstLastPara="1" vertOverflow="ellipsis" horzOverflow="overflow" wrap="square" lIns="0" tIns="0" rIns="0" bIns="0" anchor="ctr" anchorCtr="1"/>
        <a:lstStyle/>
        <a:p>
          <a:pPr algn="ctr" rtl="0">
            <a:defRPr/>
          </a:pPr>
          <a:r>
            <a:rPr lang="en-US" sz="1400" b="0" i="0" u="none" strike="noStrike" baseline="0">
              <a:solidFill>
                <a:schemeClr val="bg1"/>
              </a:solidFill>
              <a:latin typeface="Calibri" panose="020F0502020204030204"/>
            </a:rPr>
            <a:t>Salary Spread</a:t>
          </a:r>
        </a:p>
      </cx:txPr>
    </cx:title>
    <cx:plotArea>
      <cx:plotAreaRegion>
        <cx:series layoutId="clusteredColumn" uniqueId="{6B642D38-7DBD-4AD2-855D-BCCE965772E2}">
          <cx:dataId val="0"/>
          <cx:layoutPr>
            <cx:binning intervalClosed="r" underflow="40000">
              <cx:binCount val="6"/>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a:t>
          </a:r>
        </a:p>
      </cx:txPr>
    </cx:title>
    <cx:plotArea>
      <cx:plotAreaRegion>
        <cx:series layoutId="boxWhisker" uniqueId="{E51D0E08-C53C-4C53-B7BE-B3D414ED2264}">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7</xdr:col>
      <xdr:colOff>19050</xdr:colOff>
      <xdr:row>7</xdr:row>
      <xdr:rowOff>1</xdr:rowOff>
    </xdr:from>
    <xdr:to>
      <xdr:col>8</xdr:col>
      <xdr:colOff>762000</xdr:colOff>
      <xdr:row>12</xdr:row>
      <xdr:rowOff>38101</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5D87536D-3DA9-F1ED-D00E-BAAF85F2A8C3}"/>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5724525" y="1333501"/>
              <a:ext cx="1828800"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4</xdr:row>
      <xdr:rowOff>19050</xdr:rowOff>
    </xdr:from>
    <xdr:to>
      <xdr:col>15</xdr:col>
      <xdr:colOff>9525</xdr:colOff>
      <xdr:row>24</xdr:row>
      <xdr:rowOff>142875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5F087AD-910C-42F0-A8C6-994952F1B9A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19125" y="781050"/>
              <a:ext cx="8534400" cy="39338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28576</xdr:colOff>
      <xdr:row>28</xdr:row>
      <xdr:rowOff>9525</xdr:rowOff>
    </xdr:from>
    <xdr:to>
      <xdr:col>22</xdr:col>
      <xdr:colOff>276226</xdr:colOff>
      <xdr:row>50</xdr:row>
      <xdr:rowOff>28575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BA726F09-B08B-40CD-B33B-D63E7D959F2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124576" y="5343525"/>
              <a:ext cx="7562850" cy="42100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9</xdr:row>
      <xdr:rowOff>0</xdr:rowOff>
    </xdr:from>
    <xdr:to>
      <xdr:col>19</xdr:col>
      <xdr:colOff>0</xdr:colOff>
      <xdr:row>29</xdr:row>
      <xdr:rowOff>114300</xdr:rowOff>
    </xdr:to>
    <xdr:graphicFrame macro="">
      <xdr:nvGraphicFramePr>
        <xdr:cNvPr id="2" name="Chart 1">
          <a:extLst>
            <a:ext uri="{FF2B5EF4-FFF2-40B4-BE49-F238E27FC236}">
              <a16:creationId xmlns:a16="http://schemas.microsoft.com/office/drawing/2014/main" id="{F2BE6602-B7F7-4244-9F30-C495A2C3C7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52386</xdr:colOff>
      <xdr:row>3</xdr:row>
      <xdr:rowOff>185736</xdr:rowOff>
    </xdr:from>
    <xdr:to>
      <xdr:col>14</xdr:col>
      <xdr:colOff>466725</xdr:colOff>
      <xdr:row>23</xdr:row>
      <xdr:rowOff>133350</xdr:rowOff>
    </xdr:to>
    <xdr:graphicFrame macro="">
      <xdr:nvGraphicFramePr>
        <xdr:cNvPr id="2" name="Chart 1">
          <a:extLst>
            <a:ext uri="{FF2B5EF4-FFF2-40B4-BE49-F238E27FC236}">
              <a16:creationId xmlns:a16="http://schemas.microsoft.com/office/drawing/2014/main" id="{9E4DE650-8A83-2DAD-1ED7-43BC8A9D9A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66675</xdr:colOff>
      <xdr:row>27</xdr:row>
      <xdr:rowOff>71436</xdr:rowOff>
    </xdr:from>
    <xdr:to>
      <xdr:col>14</xdr:col>
      <xdr:colOff>561974</xdr:colOff>
      <xdr:row>43</xdr:row>
      <xdr:rowOff>57149</xdr:rowOff>
    </xdr:to>
    <xdr:graphicFrame macro="">
      <xdr:nvGraphicFramePr>
        <xdr:cNvPr id="3" name="Chart 2">
          <a:extLst>
            <a:ext uri="{FF2B5EF4-FFF2-40B4-BE49-F238E27FC236}">
              <a16:creationId xmlns:a16="http://schemas.microsoft.com/office/drawing/2014/main" id="{8E413257-B25C-AB95-4A9D-93E6E8825D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0</xdr:colOff>
      <xdr:row>6</xdr:row>
      <xdr:rowOff>180974</xdr:rowOff>
    </xdr:from>
    <xdr:to>
      <xdr:col>15</xdr:col>
      <xdr:colOff>1438275</xdr:colOff>
      <xdr:row>20</xdr:row>
      <xdr:rowOff>57149</xdr:rowOff>
    </xdr:to>
    <xdr:graphicFrame macro="">
      <xdr:nvGraphicFramePr>
        <xdr:cNvPr id="2" name="Chart 1">
          <a:extLst>
            <a:ext uri="{FF2B5EF4-FFF2-40B4-BE49-F238E27FC236}">
              <a16:creationId xmlns:a16="http://schemas.microsoft.com/office/drawing/2014/main" id="{98FF21CE-B39D-4D0F-A73E-CD36A81963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9525</xdr:colOff>
      <xdr:row>6</xdr:row>
      <xdr:rowOff>171450</xdr:rowOff>
    </xdr:from>
    <xdr:to>
      <xdr:col>7</xdr:col>
      <xdr:colOff>0</xdr:colOff>
      <xdr:row>19</xdr:row>
      <xdr:rowOff>171449</xdr:rowOff>
    </xdr:to>
    <xdr:graphicFrame macro="">
      <xdr:nvGraphicFramePr>
        <xdr:cNvPr id="3" name="Chart 2">
          <a:extLst>
            <a:ext uri="{FF2B5EF4-FFF2-40B4-BE49-F238E27FC236}">
              <a16:creationId xmlns:a16="http://schemas.microsoft.com/office/drawing/2014/main" id="{E0FF1623-8D68-4149-824E-8EC99713FF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nan ali" refreshedDate="45263.381022337962" backgroundQuery="1" createdVersion="8" refreshedVersion="8" minRefreshableVersion="3" recordCount="0" supportSubquery="1" supportAdvancedDrill="1" xr:uid="{61B23CDB-E976-452A-B3A7-3A85F81A77BB}">
  <cacheSource type="external" connectionId="4"/>
  <cacheFields count="3">
    <cacheField name="[staff].[Rating].[Rating]" caption="Rating" numFmtId="0" hierarchy="6"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19"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nan ali" refreshedDate="45263.402588425924" backgroundQuery="1" createdVersion="8" refreshedVersion="8" minRefreshableVersion="3" recordCount="0" supportSubquery="1" supportAdvancedDrill="1" xr:uid="{63451CDD-2000-4520-9579-CB5B1C72D6F5}">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2"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nan ali" refreshedDate="45263.77716203704" backgroundQuery="1" createdVersion="8" refreshedVersion="8" minRefreshableVersion="3" recordCount="0" supportSubquery="1" supportAdvancedDrill="1" xr:uid="{8D1FAB16-F535-4601-AB8D-AF3E1F998B2B}">
  <cacheSource type="external" connectionId="4"/>
  <cacheFields count="3">
    <cacheField name="[staff].[Department].[Department]" caption="Department" numFmtId="0" hierarchy="2"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nan ali" refreshedDate="45263.777228935185" backgroundQuery="1" createdVersion="8" refreshedVersion="8" minRefreshableVersion="3" recordCount="0" supportSubquery="1" supportAdvancedDrill="1" xr:uid="{216504AB-2385-4365-BC6B-A9D959640DB8}">
  <cacheSource type="external" connectionId="4"/>
  <cacheFields count="3">
    <cacheField name="[staff].[Department].[Department]" caption="Department" numFmtId="0" hierarchy="2"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nan ali" refreshedDate="45276.51851238426" backgroundQuery="1" createdVersion="8" refreshedVersion="8" minRefreshableVersion="3" recordCount="0" supportSubquery="1" supportAdvancedDrill="1" xr:uid="{68A5000F-5C64-4BDA-9AA2-EF8701088000}">
  <cacheSource type="external" connectionId="4"/>
  <cacheFields count="6">
    <cacheField name="[staff].[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Average of Tenure]" caption="Average of Tenure" numFmtId="0" hierarchy="21"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nan ali" refreshedDate="45263.381022800924" backgroundQuery="1" createdVersion="3" refreshedVersion="8" minRefreshableVersion="3" recordCount="0" supportSubquery="1" supportAdvancedDrill="1" xr:uid="{F4DE3A9B-39F0-441B-98FA-52C0E6D5E19B}">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95825368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F2FE14-ED68-4EC7-A05E-86D676257DB9}" name="PivotTable2" cacheId="4" dataOnRows="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C8:F13"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3">
    <i>
      <x/>
    </i>
    <i>
      <x v="1"/>
    </i>
    <i t="grand">
      <x/>
    </i>
  </colItems>
  <dataFields count="4">
    <dataField name="Count of Name" fld="1" subtotal="count" baseField="0" baseItem="0"/>
    <dataField name="Average of Age" fld="2" subtotal="average" baseField="0" baseItem="0" numFmtId="164"/>
    <dataField name="Average of Salary" fld="3" subtotal="average" baseField="0" baseItem="0" numFmtId="165"/>
    <dataField name="Average of Tenure" fld="4" subtotal="average" baseField="0" baseItem="0" numFmtId="164"/>
  </dataFields>
  <formats count="1">
    <format dxfId="3">
      <pivotArea dataOnly="0" outline="0" fieldPosition="0">
        <references count="1">
          <reference field="4294967294" count="4">
            <x v="0"/>
            <x v="1"/>
            <x v="2"/>
            <x v="3"/>
          </reference>
        </references>
      </pivotArea>
    </format>
  </format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455C740-9775-4E70-B561-ED7C9617FF5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0:D16"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6"/>
  </dataFields>
  <formats count="2">
    <format dxfId="2">
      <pivotArea dataOnly="0" outline="0" fieldPosition="0">
        <references count="1">
          <reference field="4294967294" count="1">
            <x v="1"/>
          </reference>
        </references>
      </pivotArea>
    </format>
    <format dxfId="1">
      <pivotArea outline="0" fieldPosition="0">
        <references count="1">
          <reference field="4294967294" count="1">
            <x v="1"/>
          </reference>
        </references>
      </pivotArea>
    </format>
  </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B8E3E2-B494-4759-A6DF-124994DA08D8}" name="PivotTable1"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
  <location ref="A1:B36"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e="0"/>
      </items>
    </pivotField>
    <pivotField dataField="1" subtotalTop="0" showAll="0" defaultSubtotal="0"/>
  </pivotFields>
  <rowFields count="2">
    <field x="1"/>
    <field x="0"/>
  </rowFields>
  <rowItems count="35">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FD2184D-F19A-42BC-9C97-4161C3717F5D}"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4:C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chartFormats count="1">
    <chartFormat chart="5"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B757E48-0B36-49BB-B5C3-CE49B32C0386}"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L4:M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chartFormats count="1">
    <chartFormat chart="5"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1903A022-783F-4F0D-BC44-2E0B4859B914}" autoFormatId="16" applyNumberFormats="0" applyBorderFormats="0" applyFontFormats="0" applyPatternFormats="0" applyAlignmentFormats="0" applyWidthHeightFormats="0">
  <queryTableRefresh nextId="13" unboundColumnsRight="3">
    <queryTableFields count="11">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38C84E2-443A-4961-A7CC-3A34A6810017}" sourceName="[staff].[Country]">
  <pivotTables>
    <pivotTable tabId="5" name="PivotTable2"/>
  </pivotTables>
  <data>
    <olap pivotCacheId="958253684">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NZ]"/>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19882285-A8E7-4866-84D1-D94B724B0911}"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12F4D0-FFB9-4D4E-B7E6-CFF4AD46A5F7}" name="nz_staff" displayName="nz_staff" ref="C5:I106" totalsRowCount="1">
  <autoFilter ref="C5:I105" xr:uid="{B012F4D0-FFB9-4D4E-B7E6-CFF4AD46A5F7}"/>
  <tableColumns count="7">
    <tableColumn id="1" xr3:uid="{ADF05A05-F891-4672-8DC5-E548FF803049}" name="Name" totalsRowLabel="Total"/>
    <tableColumn id="2" xr3:uid="{EA5E2942-432E-4807-BD74-A4A707D33F11}" name="Gender"/>
    <tableColumn id="3" xr3:uid="{26684229-7D88-455F-935C-B08B0554BFA3}" name="Department"/>
    <tableColumn id="4" xr3:uid="{5A00A8E0-70CD-425D-BE97-C80312F506AF}" name="Age" totalsRowFunction="average"/>
    <tableColumn id="5" xr3:uid="{2F7D6CED-15E9-42A2-A4CA-9451BD5D095B}" name="Date Joined"/>
    <tableColumn id="6" xr3:uid="{2C9977F1-505D-49B4-A791-8014BBE6E22B}" name="Salary" totalsRowFunction="average" dataDxfId="14" totalsRowDxfId="13"/>
    <tableColumn id="7" xr3:uid="{B4EDAA41-8092-4ACF-B59E-0D3F4000390D}"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09B9FA-D745-483B-AD58-0F7C60C8EA66}" name="india_staff" displayName="india_staff" ref="B2:H114" totalsRowShown="0">
  <autoFilter ref="B2:H114" xr:uid="{CE09B9FA-D745-483B-AD58-0F7C60C8EA66}"/>
  <tableColumns count="7">
    <tableColumn id="1" xr3:uid="{D583CB75-4626-4344-835B-154E628C1490}" name="Name"/>
    <tableColumn id="2" xr3:uid="{994657B7-AE43-4785-8E46-7C5DD64887F3}" name="Gender"/>
    <tableColumn id="3" xr3:uid="{F57C93B9-FAAA-4D24-A60B-25D2949F8CB0}" name="Age"/>
    <tableColumn id="4" xr3:uid="{B557E9D1-DC86-40D4-AC2B-FC189B055C39}" name="Rating"/>
    <tableColumn id="5" xr3:uid="{96D4A039-AFF7-491B-81AF-F476F08F9A8D}" name="Date Joined" dataDxfId="12"/>
    <tableColumn id="6" xr3:uid="{F34E2672-6AA7-4EAC-888D-6F1863B579D0}" name="Department"/>
    <tableColumn id="7" xr3:uid="{A96D9F57-D0B6-4D43-8464-2E68CE6EF339}"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B3571B-8C51-492F-8CE6-758FAC0672F2}" name="staff" displayName="staff" ref="A1:K184" tableType="queryTable" totalsRowShown="0">
  <autoFilter ref="A1:K184" xr:uid="{F1B3571B-8C51-492F-8CE6-758FAC0672F2}"/>
  <tableColumns count="11">
    <tableColumn id="1" xr3:uid="{D63CA8F3-7CB1-45D3-88EF-9BC435CF3008}" uniqueName="1" name="Name" queryTableFieldId="1" dataDxfId="11"/>
    <tableColumn id="2" xr3:uid="{AA163D2A-31C2-410A-B8AA-6468C01C759B}" uniqueName="2" name="Gender" queryTableFieldId="2" dataDxfId="10"/>
    <tableColumn id="3" xr3:uid="{1715F066-79E0-4EA1-90D5-7FFC06816314}" uniqueName="3" name="Department" queryTableFieldId="3" dataDxfId="9"/>
    <tableColumn id="4" xr3:uid="{4C939BFE-C21A-4F1E-ACCD-D747125A1663}" uniqueName="4" name="Age" queryTableFieldId="4"/>
    <tableColumn id="5" xr3:uid="{6AFA19C5-E5DF-4AE9-885E-D3E746DA0A49}" uniqueName="5" name="Date Joined" queryTableFieldId="5" dataDxfId="8"/>
    <tableColumn id="6" xr3:uid="{6F71C371-20A5-42E2-AD41-1C28A9998DA9}" uniqueName="6" name="Salary" queryTableFieldId="6" dataDxfId="7"/>
    <tableColumn id="7" xr3:uid="{CB77865D-2357-459E-A38F-6B6A96C427CF}" uniqueName="7" name="Rating" queryTableFieldId="7"/>
    <tableColumn id="8" xr3:uid="{3E38CF91-C5B0-410E-9B64-B3CD5B079547}" uniqueName="8" name="Country" queryTableFieldId="8"/>
    <tableColumn id="9" xr3:uid="{414F1980-1A3B-4745-97EC-3E168BDE359F}" uniqueName="9" name="Tenure" queryTableFieldId="9" dataDxfId="6">
      <calculatedColumnFormula>(TODAY()-staff[[#This Row],[Date Joined]])/365</calculatedColumnFormula>
    </tableColumn>
    <tableColumn id="10" xr3:uid="{FFB93318-0827-4398-896C-C87768EAB891}" uniqueName="10" name="Bonus" queryTableFieldId="10" dataDxfId="5">
      <calculatedColumnFormula>IF(staff[[#This Row],[Tenure]] &gt;2,3%,2%)*staff[[#This Row],[Salary]]</calculatedColumnFormula>
    </tableColumn>
    <tableColumn id="11" xr3:uid="{33B0C985-56FD-42E6-835B-7ED9F5658ADB}" uniqueName="11" name="Rating as Number" queryTableFieldId="11" dataDxfId="4">
      <calculatedColumnFormula>_xlfn.XLOOKUP(staff[[#This Row],[Rating]], 'Rating maping table'!$C$6:$C$10,'Rating maping table'!$D$6:$D$10)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workbookViewId="0">
      <selection activeCell="G12" sqref="G12"/>
    </sheetView>
  </sheetViews>
  <sheetFormatPr defaultRowHeight="15" x14ac:dyDescent="0.25"/>
  <cols>
    <col min="1" max="1" width="1.7109375" customWidth="1"/>
    <col min="2" max="2" width="3.7109375" customWidth="1"/>
    <col min="3" max="3" width="36.42578125" bestFit="1" customWidth="1"/>
    <col min="4" max="4" width="10" bestFit="1" customWidth="1"/>
    <col min="5" max="5" width="14" bestFit="1" customWidth="1"/>
    <col min="6" max="6" width="6.7109375" bestFit="1" customWidth="1"/>
    <col min="7" max="7" width="13.7109375" bestFit="1" customWidth="1"/>
    <col min="8" max="8" width="11.85546875" bestFit="1" customWidth="1"/>
    <col min="9" max="9" width="14.28515625" bestFit="1" customWidth="1"/>
  </cols>
  <sheetData>
    <row r="1" spans="1:9" s="2" customFormat="1" ht="30.75" customHeight="1" x14ac:dyDescent="0.25">
      <c r="A1" s="1"/>
      <c r="C1" s="3" t="s">
        <v>110</v>
      </c>
    </row>
    <row r="5" spans="1:9" x14ac:dyDescent="0.25">
      <c r="C5" t="s">
        <v>0</v>
      </c>
      <c r="D5" t="s">
        <v>1</v>
      </c>
      <c r="E5" t="s">
        <v>2</v>
      </c>
      <c r="F5" t="s">
        <v>3</v>
      </c>
      <c r="G5" s="4" t="s">
        <v>4</v>
      </c>
      <c r="H5" s="5" t="s">
        <v>5</v>
      </c>
      <c r="I5" t="s">
        <v>6</v>
      </c>
    </row>
    <row r="6" spans="1:9" x14ac:dyDescent="0.25">
      <c r="C6" t="s">
        <v>58</v>
      </c>
      <c r="D6" t="s">
        <v>15</v>
      </c>
      <c r="E6" t="s">
        <v>19</v>
      </c>
      <c r="F6">
        <v>22</v>
      </c>
      <c r="G6" s="4">
        <v>44446</v>
      </c>
      <c r="H6" s="5">
        <v>112780</v>
      </c>
      <c r="I6" t="s">
        <v>13</v>
      </c>
    </row>
    <row r="7" spans="1:9" x14ac:dyDescent="0.25">
      <c r="C7" t="s">
        <v>70</v>
      </c>
      <c r="D7" t="s">
        <v>15</v>
      </c>
      <c r="E7" t="s">
        <v>9</v>
      </c>
      <c r="F7">
        <v>46</v>
      </c>
      <c r="G7" s="4">
        <v>44758</v>
      </c>
      <c r="H7" s="5">
        <v>70610</v>
      </c>
      <c r="I7" t="s">
        <v>16</v>
      </c>
    </row>
    <row r="8" spans="1:9" x14ac:dyDescent="0.25">
      <c r="C8" t="s">
        <v>75</v>
      </c>
      <c r="D8" t="s">
        <v>8</v>
      </c>
      <c r="E8" t="s">
        <v>19</v>
      </c>
      <c r="F8">
        <v>28</v>
      </c>
      <c r="G8" s="4">
        <v>44357</v>
      </c>
      <c r="H8" s="5">
        <v>53240</v>
      </c>
      <c r="I8" t="s">
        <v>16</v>
      </c>
    </row>
    <row r="9" spans="1:9" x14ac:dyDescent="0.25">
      <c r="C9" t="s">
        <v>49</v>
      </c>
      <c r="E9" t="s">
        <v>21</v>
      </c>
      <c r="F9">
        <v>37</v>
      </c>
      <c r="G9" s="4">
        <v>44146</v>
      </c>
      <c r="H9" s="5">
        <v>115440</v>
      </c>
      <c r="I9" t="s">
        <v>24</v>
      </c>
    </row>
    <row r="10" spans="1:9" x14ac:dyDescent="0.25">
      <c r="C10" t="s">
        <v>65</v>
      </c>
      <c r="D10" t="s">
        <v>15</v>
      </c>
      <c r="E10" t="s">
        <v>19</v>
      </c>
      <c r="F10">
        <v>32</v>
      </c>
      <c r="G10" s="4">
        <v>44465</v>
      </c>
      <c r="H10" s="5">
        <v>53540</v>
      </c>
      <c r="I10" t="s">
        <v>16</v>
      </c>
    </row>
    <row r="11" spans="1:9" x14ac:dyDescent="0.25">
      <c r="C11" t="s">
        <v>81</v>
      </c>
      <c r="D11" t="s">
        <v>8</v>
      </c>
      <c r="E11" t="s">
        <v>9</v>
      </c>
      <c r="F11">
        <v>30</v>
      </c>
      <c r="G11" s="4">
        <v>44861</v>
      </c>
      <c r="H11" s="5">
        <v>112570</v>
      </c>
      <c r="I11" t="s">
        <v>16</v>
      </c>
    </row>
    <row r="12" spans="1:9" x14ac:dyDescent="0.25">
      <c r="C12" t="s">
        <v>51</v>
      </c>
      <c r="D12" t="s">
        <v>15</v>
      </c>
      <c r="E12" t="s">
        <v>9</v>
      </c>
      <c r="F12">
        <v>33</v>
      </c>
      <c r="G12" s="4">
        <v>44701</v>
      </c>
      <c r="H12" s="5">
        <v>48530</v>
      </c>
      <c r="I12" t="s">
        <v>13</v>
      </c>
    </row>
    <row r="13" spans="1:9" x14ac:dyDescent="0.25">
      <c r="C13" t="s">
        <v>61</v>
      </c>
      <c r="D13" t="s">
        <v>8</v>
      </c>
      <c r="E13" t="s">
        <v>12</v>
      </c>
      <c r="F13">
        <v>24</v>
      </c>
      <c r="G13" s="4">
        <v>44148</v>
      </c>
      <c r="H13" s="5">
        <v>62780</v>
      </c>
      <c r="I13" t="s">
        <v>16</v>
      </c>
    </row>
    <row r="14" spans="1:9" x14ac:dyDescent="0.25">
      <c r="C14" t="s">
        <v>82</v>
      </c>
      <c r="D14" t="s">
        <v>15</v>
      </c>
      <c r="E14" t="s">
        <v>12</v>
      </c>
      <c r="F14">
        <v>33</v>
      </c>
      <c r="G14" s="4">
        <v>44509</v>
      </c>
      <c r="H14" s="5">
        <v>53870</v>
      </c>
      <c r="I14" t="s">
        <v>16</v>
      </c>
    </row>
    <row r="15" spans="1:9" x14ac:dyDescent="0.25">
      <c r="C15" t="s">
        <v>60</v>
      </c>
      <c r="D15" t="s">
        <v>8</v>
      </c>
      <c r="E15" t="s">
        <v>56</v>
      </c>
      <c r="F15">
        <v>27</v>
      </c>
      <c r="G15" s="4">
        <v>44122</v>
      </c>
      <c r="H15" s="5">
        <v>119110</v>
      </c>
      <c r="I15" t="s">
        <v>16</v>
      </c>
    </row>
    <row r="16" spans="1:9" x14ac:dyDescent="0.25">
      <c r="C16" t="s">
        <v>87</v>
      </c>
      <c r="D16" t="s">
        <v>15</v>
      </c>
      <c r="E16" t="s">
        <v>12</v>
      </c>
      <c r="F16">
        <v>29</v>
      </c>
      <c r="G16" s="4">
        <v>44180</v>
      </c>
      <c r="H16" s="5">
        <v>112110</v>
      </c>
      <c r="I16" t="s">
        <v>24</v>
      </c>
    </row>
    <row r="17" spans="3:9" x14ac:dyDescent="0.25">
      <c r="C17" t="s">
        <v>76</v>
      </c>
      <c r="D17" t="s">
        <v>15</v>
      </c>
      <c r="E17" t="s">
        <v>19</v>
      </c>
      <c r="F17">
        <v>25</v>
      </c>
      <c r="G17" s="4">
        <v>44383</v>
      </c>
      <c r="H17" s="5">
        <v>65700</v>
      </c>
      <c r="I17" t="s">
        <v>16</v>
      </c>
    </row>
    <row r="18" spans="3:9" x14ac:dyDescent="0.25">
      <c r="C18" t="s">
        <v>97</v>
      </c>
      <c r="D18" t="s">
        <v>15</v>
      </c>
      <c r="E18" t="s">
        <v>12</v>
      </c>
      <c r="F18">
        <v>37</v>
      </c>
      <c r="G18" s="4">
        <v>44701</v>
      </c>
      <c r="H18" s="5">
        <v>69070</v>
      </c>
      <c r="I18" t="s">
        <v>16</v>
      </c>
    </row>
    <row r="19" spans="3:9" x14ac:dyDescent="0.25">
      <c r="C19" t="s">
        <v>22</v>
      </c>
      <c r="D19" t="s">
        <v>15</v>
      </c>
      <c r="E19" t="s">
        <v>12</v>
      </c>
      <c r="F19">
        <v>20</v>
      </c>
      <c r="G19" s="4">
        <v>44459</v>
      </c>
      <c r="H19" s="5">
        <v>107700</v>
      </c>
      <c r="I19" t="s">
        <v>16</v>
      </c>
    </row>
    <row r="20" spans="3:9" x14ac:dyDescent="0.25">
      <c r="C20" t="s">
        <v>84</v>
      </c>
      <c r="D20" t="s">
        <v>8</v>
      </c>
      <c r="E20" t="s">
        <v>12</v>
      </c>
      <c r="F20">
        <v>32</v>
      </c>
      <c r="G20" s="4">
        <v>44354</v>
      </c>
      <c r="H20" s="5">
        <v>43840</v>
      </c>
      <c r="I20" t="s">
        <v>13</v>
      </c>
    </row>
    <row r="21" spans="3:9" x14ac:dyDescent="0.25">
      <c r="C21" t="s">
        <v>105</v>
      </c>
      <c r="D21" t="s">
        <v>15</v>
      </c>
      <c r="E21" t="s">
        <v>9</v>
      </c>
      <c r="F21">
        <v>40</v>
      </c>
      <c r="G21" s="4">
        <v>44263</v>
      </c>
      <c r="H21" s="5">
        <v>99750</v>
      </c>
      <c r="I21" t="s">
        <v>16</v>
      </c>
    </row>
    <row r="22" spans="3:9" x14ac:dyDescent="0.25">
      <c r="C22" t="s">
        <v>47</v>
      </c>
      <c r="D22" t="s">
        <v>15</v>
      </c>
      <c r="E22" t="s">
        <v>9</v>
      </c>
      <c r="F22">
        <v>21</v>
      </c>
      <c r="G22" s="4">
        <v>44104</v>
      </c>
      <c r="H22" s="5">
        <v>37920</v>
      </c>
      <c r="I22" t="s">
        <v>16</v>
      </c>
    </row>
    <row r="23" spans="3:9" x14ac:dyDescent="0.25">
      <c r="C23" t="s">
        <v>31</v>
      </c>
      <c r="D23" t="s">
        <v>15</v>
      </c>
      <c r="E23" t="s">
        <v>9</v>
      </c>
      <c r="F23">
        <v>21</v>
      </c>
      <c r="G23" s="4">
        <v>44762</v>
      </c>
      <c r="H23" s="5">
        <v>57090</v>
      </c>
      <c r="I23" t="s">
        <v>16</v>
      </c>
    </row>
    <row r="24" spans="3:9" x14ac:dyDescent="0.25">
      <c r="C24" t="s">
        <v>30</v>
      </c>
      <c r="D24" t="s">
        <v>8</v>
      </c>
      <c r="E24" t="s">
        <v>12</v>
      </c>
      <c r="F24">
        <v>31</v>
      </c>
      <c r="G24" s="4">
        <v>44145</v>
      </c>
      <c r="H24" s="5">
        <v>41980</v>
      </c>
      <c r="I24" t="s">
        <v>16</v>
      </c>
    </row>
    <row r="25" spans="3:9" x14ac:dyDescent="0.25">
      <c r="C25" t="s">
        <v>78</v>
      </c>
      <c r="D25" t="s">
        <v>15</v>
      </c>
      <c r="E25" t="s">
        <v>56</v>
      </c>
      <c r="F25">
        <v>21</v>
      </c>
      <c r="G25" s="4">
        <v>44242</v>
      </c>
      <c r="H25" s="5">
        <v>75880</v>
      </c>
      <c r="I25" t="s">
        <v>16</v>
      </c>
    </row>
    <row r="26" spans="3:9" x14ac:dyDescent="0.25">
      <c r="C26" t="s">
        <v>36</v>
      </c>
      <c r="D26" t="s">
        <v>8</v>
      </c>
      <c r="E26" t="s">
        <v>21</v>
      </c>
      <c r="F26">
        <v>34</v>
      </c>
      <c r="G26" s="4">
        <v>44653</v>
      </c>
      <c r="H26" s="5">
        <v>58940</v>
      </c>
      <c r="I26" t="s">
        <v>16</v>
      </c>
    </row>
    <row r="27" spans="3:9" x14ac:dyDescent="0.25">
      <c r="C27" t="s">
        <v>27</v>
      </c>
      <c r="D27" t="s">
        <v>8</v>
      </c>
      <c r="E27" t="s">
        <v>21</v>
      </c>
      <c r="F27">
        <v>30</v>
      </c>
      <c r="G27" s="4">
        <v>44389</v>
      </c>
      <c r="H27" s="5">
        <v>67910</v>
      </c>
      <c r="I27" t="s">
        <v>24</v>
      </c>
    </row>
    <row r="28" spans="3:9" x14ac:dyDescent="0.25">
      <c r="C28" t="s">
        <v>26</v>
      </c>
      <c r="D28" t="s">
        <v>8</v>
      </c>
      <c r="E28" t="s">
        <v>12</v>
      </c>
      <c r="F28">
        <v>31</v>
      </c>
      <c r="G28" s="4">
        <v>44663</v>
      </c>
      <c r="H28" s="5">
        <v>58100</v>
      </c>
      <c r="I28" t="s">
        <v>16</v>
      </c>
    </row>
    <row r="29" spans="3:9" x14ac:dyDescent="0.25">
      <c r="C29" t="s">
        <v>53</v>
      </c>
      <c r="D29" t="s">
        <v>15</v>
      </c>
      <c r="E29" t="s">
        <v>21</v>
      </c>
      <c r="F29">
        <v>27</v>
      </c>
      <c r="G29" s="4">
        <v>44567</v>
      </c>
      <c r="H29" s="5">
        <v>48980</v>
      </c>
      <c r="I29" t="s">
        <v>16</v>
      </c>
    </row>
    <row r="30" spans="3:9" x14ac:dyDescent="0.25">
      <c r="C30" t="s">
        <v>20</v>
      </c>
      <c r="E30" t="s">
        <v>21</v>
      </c>
      <c r="F30">
        <v>30</v>
      </c>
      <c r="G30" s="4">
        <v>44597</v>
      </c>
      <c r="H30" s="5">
        <v>64000</v>
      </c>
      <c r="I30" t="s">
        <v>16</v>
      </c>
    </row>
    <row r="31" spans="3:9" x14ac:dyDescent="0.25">
      <c r="C31" t="s">
        <v>7</v>
      </c>
      <c r="D31" t="s">
        <v>8</v>
      </c>
      <c r="E31" t="s">
        <v>9</v>
      </c>
      <c r="F31">
        <v>42</v>
      </c>
      <c r="G31" s="4">
        <v>44779</v>
      </c>
      <c r="H31" s="5">
        <v>75000</v>
      </c>
      <c r="I31" t="s">
        <v>10</v>
      </c>
    </row>
    <row r="32" spans="3:9" x14ac:dyDescent="0.25">
      <c r="C32" t="s">
        <v>74</v>
      </c>
      <c r="D32" t="s">
        <v>8</v>
      </c>
      <c r="E32" t="s">
        <v>12</v>
      </c>
      <c r="F32">
        <v>40</v>
      </c>
      <c r="G32" s="4">
        <v>44337</v>
      </c>
      <c r="H32" s="5">
        <v>87620</v>
      </c>
      <c r="I32" t="s">
        <v>16</v>
      </c>
    </row>
    <row r="33" spans="3:9" x14ac:dyDescent="0.25">
      <c r="C33" t="s">
        <v>44</v>
      </c>
      <c r="D33" t="s">
        <v>8</v>
      </c>
      <c r="E33" t="s">
        <v>12</v>
      </c>
      <c r="F33">
        <v>29</v>
      </c>
      <c r="G33" s="4">
        <v>44023</v>
      </c>
      <c r="H33" s="5">
        <v>34980</v>
      </c>
      <c r="I33" t="s">
        <v>16</v>
      </c>
    </row>
    <row r="34" spans="3:9" x14ac:dyDescent="0.25">
      <c r="C34" t="s">
        <v>35</v>
      </c>
      <c r="D34" t="s">
        <v>8</v>
      </c>
      <c r="E34" t="s">
        <v>21</v>
      </c>
      <c r="F34">
        <v>28</v>
      </c>
      <c r="G34" s="4">
        <v>44185</v>
      </c>
      <c r="H34" s="5">
        <v>75970</v>
      </c>
      <c r="I34" t="s">
        <v>16</v>
      </c>
    </row>
    <row r="35" spans="3:9" x14ac:dyDescent="0.25">
      <c r="C35" t="s">
        <v>38</v>
      </c>
      <c r="D35" t="s">
        <v>8</v>
      </c>
      <c r="E35" t="s">
        <v>21</v>
      </c>
      <c r="F35">
        <v>34</v>
      </c>
      <c r="G35" s="4">
        <v>44612</v>
      </c>
      <c r="H35" s="5">
        <v>60130</v>
      </c>
      <c r="I35" t="s">
        <v>16</v>
      </c>
    </row>
    <row r="36" spans="3:9" x14ac:dyDescent="0.25">
      <c r="C36" t="s">
        <v>41</v>
      </c>
      <c r="D36" t="s">
        <v>8</v>
      </c>
      <c r="E36" t="s">
        <v>12</v>
      </c>
      <c r="F36">
        <v>33</v>
      </c>
      <c r="G36" s="4">
        <v>44374</v>
      </c>
      <c r="H36" s="5">
        <v>75480</v>
      </c>
      <c r="I36" t="s">
        <v>42</v>
      </c>
    </row>
    <row r="37" spans="3:9" x14ac:dyDescent="0.25">
      <c r="C37" t="s">
        <v>40</v>
      </c>
      <c r="D37" t="s">
        <v>15</v>
      </c>
      <c r="E37" t="s">
        <v>9</v>
      </c>
      <c r="F37">
        <v>33</v>
      </c>
      <c r="G37" s="4">
        <v>44164</v>
      </c>
      <c r="H37" s="5">
        <v>115920</v>
      </c>
      <c r="I37" t="s">
        <v>16</v>
      </c>
    </row>
    <row r="38" spans="3:9" x14ac:dyDescent="0.25">
      <c r="C38" t="s">
        <v>48</v>
      </c>
      <c r="D38" t="s">
        <v>8</v>
      </c>
      <c r="E38" t="s">
        <v>19</v>
      </c>
      <c r="F38">
        <v>36</v>
      </c>
      <c r="G38" s="4">
        <v>44494</v>
      </c>
      <c r="H38" s="5">
        <v>78540</v>
      </c>
      <c r="I38" t="s">
        <v>16</v>
      </c>
    </row>
    <row r="39" spans="3:9" x14ac:dyDescent="0.25">
      <c r="C39" t="s">
        <v>34</v>
      </c>
      <c r="D39" t="s">
        <v>15</v>
      </c>
      <c r="E39" t="s">
        <v>9</v>
      </c>
      <c r="F39">
        <v>25</v>
      </c>
      <c r="G39" s="4">
        <v>44726</v>
      </c>
      <c r="H39" s="5">
        <v>109190</v>
      </c>
      <c r="I39" t="s">
        <v>13</v>
      </c>
    </row>
    <row r="40" spans="3:9" x14ac:dyDescent="0.25">
      <c r="C40" t="s">
        <v>73</v>
      </c>
      <c r="D40" t="s">
        <v>8</v>
      </c>
      <c r="E40" t="s">
        <v>19</v>
      </c>
      <c r="F40">
        <v>34</v>
      </c>
      <c r="G40" s="4">
        <v>44721</v>
      </c>
      <c r="H40" s="5">
        <v>49630</v>
      </c>
      <c r="I40" t="s">
        <v>24</v>
      </c>
    </row>
    <row r="41" spans="3:9" x14ac:dyDescent="0.25">
      <c r="C41" t="s">
        <v>107</v>
      </c>
      <c r="D41" t="s">
        <v>8</v>
      </c>
      <c r="E41" t="s">
        <v>9</v>
      </c>
      <c r="F41">
        <v>28</v>
      </c>
      <c r="G41" s="4">
        <v>44630</v>
      </c>
      <c r="H41" s="5">
        <v>99970</v>
      </c>
      <c r="I41" t="s">
        <v>16</v>
      </c>
    </row>
    <row r="42" spans="3:9" x14ac:dyDescent="0.25">
      <c r="C42" t="s">
        <v>71</v>
      </c>
      <c r="D42" t="s">
        <v>8</v>
      </c>
      <c r="E42" t="s">
        <v>12</v>
      </c>
      <c r="F42">
        <v>33</v>
      </c>
      <c r="G42" s="4">
        <v>44190</v>
      </c>
      <c r="H42" s="5">
        <v>96140</v>
      </c>
      <c r="I42" t="s">
        <v>16</v>
      </c>
    </row>
    <row r="43" spans="3:9" x14ac:dyDescent="0.25">
      <c r="C43" t="s">
        <v>50</v>
      </c>
      <c r="D43" t="s">
        <v>15</v>
      </c>
      <c r="E43" t="s">
        <v>9</v>
      </c>
      <c r="F43">
        <v>31</v>
      </c>
      <c r="G43" s="4">
        <v>44724</v>
      </c>
      <c r="H43" s="5">
        <v>103550</v>
      </c>
      <c r="I43" t="s">
        <v>16</v>
      </c>
    </row>
    <row r="44" spans="3:9" x14ac:dyDescent="0.25">
      <c r="C44" t="s">
        <v>14</v>
      </c>
      <c r="D44" t="s">
        <v>15</v>
      </c>
      <c r="E44" t="s">
        <v>12</v>
      </c>
      <c r="F44">
        <v>31</v>
      </c>
      <c r="G44" s="4">
        <v>44511</v>
      </c>
      <c r="H44" s="5">
        <v>48950</v>
      </c>
      <c r="I44" t="s">
        <v>16</v>
      </c>
    </row>
    <row r="45" spans="3:9" x14ac:dyDescent="0.25">
      <c r="C45" t="s">
        <v>63</v>
      </c>
      <c r="D45" t="s">
        <v>15</v>
      </c>
      <c r="E45" t="s">
        <v>21</v>
      </c>
      <c r="F45">
        <v>24</v>
      </c>
      <c r="G45" s="4">
        <v>44436</v>
      </c>
      <c r="H45" s="5">
        <v>52610</v>
      </c>
      <c r="I45" t="s">
        <v>24</v>
      </c>
    </row>
    <row r="46" spans="3:9" x14ac:dyDescent="0.25">
      <c r="C46" t="s">
        <v>72</v>
      </c>
      <c r="D46" t="s">
        <v>8</v>
      </c>
      <c r="E46" t="s">
        <v>9</v>
      </c>
      <c r="F46">
        <v>36</v>
      </c>
      <c r="G46" s="4">
        <v>44529</v>
      </c>
      <c r="H46" s="5">
        <v>78390</v>
      </c>
      <c r="I46" t="s">
        <v>16</v>
      </c>
    </row>
    <row r="47" spans="3:9" x14ac:dyDescent="0.25">
      <c r="C47" t="s">
        <v>88</v>
      </c>
      <c r="D47" t="s">
        <v>8</v>
      </c>
      <c r="E47" t="s">
        <v>21</v>
      </c>
      <c r="F47">
        <v>33</v>
      </c>
      <c r="G47" s="4">
        <v>44809</v>
      </c>
      <c r="H47" s="5">
        <v>86570</v>
      </c>
      <c r="I47" t="s">
        <v>16</v>
      </c>
    </row>
    <row r="48" spans="3:9" x14ac:dyDescent="0.25">
      <c r="C48" t="s">
        <v>92</v>
      </c>
      <c r="D48" t="s">
        <v>8</v>
      </c>
      <c r="E48" t="s">
        <v>12</v>
      </c>
      <c r="F48">
        <v>27</v>
      </c>
      <c r="G48" s="4">
        <v>44686</v>
      </c>
      <c r="H48" s="5">
        <v>83750</v>
      </c>
      <c r="I48" t="s">
        <v>16</v>
      </c>
    </row>
    <row r="49" spans="3:9" x14ac:dyDescent="0.25">
      <c r="C49" t="s">
        <v>102</v>
      </c>
      <c r="D49" t="s">
        <v>8</v>
      </c>
      <c r="E49" t="s">
        <v>21</v>
      </c>
      <c r="F49">
        <v>34</v>
      </c>
      <c r="G49" s="4">
        <v>44445</v>
      </c>
      <c r="H49" s="5">
        <v>92450</v>
      </c>
      <c r="I49" t="s">
        <v>16</v>
      </c>
    </row>
    <row r="50" spans="3:9" x14ac:dyDescent="0.25">
      <c r="C50" t="s">
        <v>64</v>
      </c>
      <c r="D50" t="s">
        <v>15</v>
      </c>
      <c r="E50" t="s">
        <v>12</v>
      </c>
      <c r="F50">
        <v>20</v>
      </c>
      <c r="G50" s="4">
        <v>44183</v>
      </c>
      <c r="H50" s="5">
        <v>112650</v>
      </c>
      <c r="I50" t="s">
        <v>16</v>
      </c>
    </row>
    <row r="51" spans="3:9" x14ac:dyDescent="0.25">
      <c r="C51" t="s">
        <v>104</v>
      </c>
      <c r="D51" t="s">
        <v>15</v>
      </c>
      <c r="E51" t="s">
        <v>9</v>
      </c>
      <c r="F51">
        <v>20</v>
      </c>
      <c r="G51" s="4">
        <v>44744</v>
      </c>
      <c r="H51" s="5">
        <v>79570</v>
      </c>
      <c r="I51" t="s">
        <v>16</v>
      </c>
    </row>
    <row r="52" spans="3:9" x14ac:dyDescent="0.25">
      <c r="C52" t="s">
        <v>91</v>
      </c>
      <c r="D52" t="s">
        <v>8</v>
      </c>
      <c r="E52" t="s">
        <v>19</v>
      </c>
      <c r="F52">
        <v>20</v>
      </c>
      <c r="G52" s="4">
        <v>44537</v>
      </c>
      <c r="H52" s="5">
        <v>68900</v>
      </c>
      <c r="I52" t="s">
        <v>24</v>
      </c>
    </row>
    <row r="53" spans="3:9" x14ac:dyDescent="0.25">
      <c r="C53" t="s">
        <v>39</v>
      </c>
      <c r="D53" t="s">
        <v>8</v>
      </c>
      <c r="E53" t="s">
        <v>12</v>
      </c>
      <c r="F53">
        <v>25</v>
      </c>
      <c r="G53" s="4">
        <v>44694</v>
      </c>
      <c r="H53" s="5">
        <v>80700</v>
      </c>
      <c r="I53" t="s">
        <v>13</v>
      </c>
    </row>
    <row r="54" spans="3:9" x14ac:dyDescent="0.25">
      <c r="C54" t="s">
        <v>100</v>
      </c>
      <c r="D54" t="s">
        <v>15</v>
      </c>
      <c r="E54" t="s">
        <v>9</v>
      </c>
      <c r="F54">
        <v>19</v>
      </c>
      <c r="G54" s="4">
        <v>44277</v>
      </c>
      <c r="H54" s="5">
        <v>58960</v>
      </c>
      <c r="I54" t="s">
        <v>16</v>
      </c>
    </row>
    <row r="55" spans="3:9" x14ac:dyDescent="0.25">
      <c r="C55" t="s">
        <v>106</v>
      </c>
      <c r="D55" t="s">
        <v>15</v>
      </c>
      <c r="E55" t="s">
        <v>12</v>
      </c>
      <c r="F55">
        <v>36</v>
      </c>
      <c r="G55" s="4">
        <v>44019</v>
      </c>
      <c r="H55" s="5">
        <v>118840</v>
      </c>
      <c r="I55" t="s">
        <v>16</v>
      </c>
    </row>
    <row r="56" spans="3:9" x14ac:dyDescent="0.25">
      <c r="C56" t="s">
        <v>29</v>
      </c>
      <c r="D56" t="s">
        <v>15</v>
      </c>
      <c r="E56" t="s">
        <v>21</v>
      </c>
      <c r="F56">
        <v>28</v>
      </c>
      <c r="G56" s="4">
        <v>44041</v>
      </c>
      <c r="H56" s="5">
        <v>48170</v>
      </c>
      <c r="I56" t="s">
        <v>13</v>
      </c>
    </row>
    <row r="57" spans="3:9" x14ac:dyDescent="0.25">
      <c r="C57" t="s">
        <v>108</v>
      </c>
      <c r="D57" t="s">
        <v>8</v>
      </c>
      <c r="E57" t="s">
        <v>56</v>
      </c>
      <c r="F57">
        <v>32</v>
      </c>
      <c r="G57" s="4">
        <v>44400</v>
      </c>
      <c r="H57" s="5">
        <v>45510</v>
      </c>
      <c r="I57" t="s">
        <v>16</v>
      </c>
    </row>
    <row r="58" spans="3:9" x14ac:dyDescent="0.25">
      <c r="C58" t="s">
        <v>64</v>
      </c>
      <c r="D58" t="s">
        <v>15</v>
      </c>
      <c r="E58" t="s">
        <v>9</v>
      </c>
      <c r="F58">
        <v>34</v>
      </c>
      <c r="G58" s="4">
        <v>44703</v>
      </c>
      <c r="H58" s="5">
        <v>112650</v>
      </c>
      <c r="I58" t="s">
        <v>16</v>
      </c>
    </row>
    <row r="59" spans="3:9" x14ac:dyDescent="0.25">
      <c r="C59" t="s">
        <v>83</v>
      </c>
      <c r="D59" t="s">
        <v>8</v>
      </c>
      <c r="E59" t="s">
        <v>9</v>
      </c>
      <c r="F59">
        <v>36</v>
      </c>
      <c r="G59" s="4">
        <v>44085</v>
      </c>
      <c r="H59" s="5">
        <v>114890</v>
      </c>
      <c r="I59" t="s">
        <v>16</v>
      </c>
    </row>
    <row r="60" spans="3:9" x14ac:dyDescent="0.25">
      <c r="C60" t="s">
        <v>67</v>
      </c>
      <c r="D60" t="s">
        <v>15</v>
      </c>
      <c r="E60" t="s">
        <v>12</v>
      </c>
      <c r="F60">
        <v>30</v>
      </c>
      <c r="G60" s="4">
        <v>44850</v>
      </c>
      <c r="H60" s="5">
        <v>69710</v>
      </c>
      <c r="I60" t="s">
        <v>16</v>
      </c>
    </row>
    <row r="61" spans="3:9" x14ac:dyDescent="0.25">
      <c r="C61" t="s">
        <v>94</v>
      </c>
      <c r="D61" t="s">
        <v>15</v>
      </c>
      <c r="E61" t="s">
        <v>21</v>
      </c>
      <c r="F61">
        <v>36</v>
      </c>
      <c r="G61" s="4">
        <v>44333</v>
      </c>
      <c r="H61" s="5">
        <v>71380</v>
      </c>
      <c r="I61" t="s">
        <v>16</v>
      </c>
    </row>
    <row r="62" spans="3:9" x14ac:dyDescent="0.25">
      <c r="C62" t="s">
        <v>33</v>
      </c>
      <c r="D62" t="s">
        <v>8</v>
      </c>
      <c r="E62" t="s">
        <v>19</v>
      </c>
      <c r="F62">
        <v>38</v>
      </c>
      <c r="G62" s="4">
        <v>44377</v>
      </c>
      <c r="H62" s="5">
        <v>109160</v>
      </c>
      <c r="I62" t="s">
        <v>10</v>
      </c>
    </row>
    <row r="63" spans="3:9" x14ac:dyDescent="0.25">
      <c r="C63" t="s">
        <v>98</v>
      </c>
      <c r="D63" t="s">
        <v>15</v>
      </c>
      <c r="E63" t="s">
        <v>9</v>
      </c>
      <c r="F63">
        <v>27</v>
      </c>
      <c r="G63" s="4">
        <v>44609</v>
      </c>
      <c r="H63" s="5">
        <v>113280</v>
      </c>
      <c r="I63" t="s">
        <v>42</v>
      </c>
    </row>
    <row r="64" spans="3:9" x14ac:dyDescent="0.25">
      <c r="C64" t="s">
        <v>25</v>
      </c>
      <c r="D64" t="s">
        <v>15</v>
      </c>
      <c r="E64" t="s">
        <v>12</v>
      </c>
      <c r="F64">
        <v>30</v>
      </c>
      <c r="G64" s="4">
        <v>44273</v>
      </c>
      <c r="H64" s="5">
        <v>69120</v>
      </c>
      <c r="I64" t="s">
        <v>16</v>
      </c>
    </row>
    <row r="65" spans="3:9" x14ac:dyDescent="0.25">
      <c r="C65" t="s">
        <v>55</v>
      </c>
      <c r="D65" t="s">
        <v>8</v>
      </c>
      <c r="E65" t="s">
        <v>56</v>
      </c>
      <c r="F65">
        <v>37</v>
      </c>
      <c r="G65" s="4">
        <v>44451</v>
      </c>
      <c r="H65" s="5">
        <v>118100</v>
      </c>
      <c r="I65" t="s">
        <v>16</v>
      </c>
    </row>
    <row r="66" spans="3:9" x14ac:dyDescent="0.25">
      <c r="C66" t="s">
        <v>62</v>
      </c>
      <c r="D66" t="s">
        <v>8</v>
      </c>
      <c r="E66" t="s">
        <v>9</v>
      </c>
      <c r="F66">
        <v>22</v>
      </c>
      <c r="G66" s="4">
        <v>44450</v>
      </c>
      <c r="H66" s="5">
        <v>76900</v>
      </c>
      <c r="I66" t="s">
        <v>13</v>
      </c>
    </row>
    <row r="67" spans="3:9" x14ac:dyDescent="0.25">
      <c r="C67" t="s">
        <v>17</v>
      </c>
      <c r="D67" t="s">
        <v>8</v>
      </c>
      <c r="E67" t="s">
        <v>12</v>
      </c>
      <c r="F67">
        <v>43</v>
      </c>
      <c r="G67" s="4">
        <v>45045</v>
      </c>
      <c r="H67" s="5">
        <v>114870</v>
      </c>
      <c r="I67" t="s">
        <v>16</v>
      </c>
    </row>
    <row r="68" spans="3:9" x14ac:dyDescent="0.25">
      <c r="C68" t="s">
        <v>52</v>
      </c>
      <c r="E68" t="s">
        <v>12</v>
      </c>
      <c r="F68">
        <v>32</v>
      </c>
      <c r="G68" s="4">
        <v>44774</v>
      </c>
      <c r="H68" s="5">
        <v>91310</v>
      </c>
      <c r="I68" t="s">
        <v>16</v>
      </c>
    </row>
    <row r="69" spans="3:9" x14ac:dyDescent="0.25">
      <c r="C69" t="s">
        <v>43</v>
      </c>
      <c r="D69" t="s">
        <v>8</v>
      </c>
      <c r="E69" t="s">
        <v>9</v>
      </c>
      <c r="F69">
        <v>28</v>
      </c>
      <c r="G69" s="4">
        <v>44486</v>
      </c>
      <c r="H69" s="5">
        <v>104770</v>
      </c>
      <c r="I69" t="s">
        <v>16</v>
      </c>
    </row>
    <row r="70" spans="3:9" x14ac:dyDescent="0.25">
      <c r="C70" t="s">
        <v>89</v>
      </c>
      <c r="D70" t="s">
        <v>15</v>
      </c>
      <c r="E70" t="s">
        <v>19</v>
      </c>
      <c r="F70">
        <v>27</v>
      </c>
      <c r="G70" s="4">
        <v>44134</v>
      </c>
      <c r="H70" s="5">
        <v>54970</v>
      </c>
      <c r="I70" t="s">
        <v>16</v>
      </c>
    </row>
    <row r="71" spans="3:9" x14ac:dyDescent="0.25">
      <c r="C71" t="s">
        <v>11</v>
      </c>
      <c r="E71" t="s">
        <v>12</v>
      </c>
      <c r="F71">
        <v>26</v>
      </c>
      <c r="G71" s="4">
        <v>44271</v>
      </c>
      <c r="H71" s="5">
        <v>90700</v>
      </c>
      <c r="I71" t="s">
        <v>13</v>
      </c>
    </row>
    <row r="72" spans="3:9" x14ac:dyDescent="0.25">
      <c r="C72" t="s">
        <v>109</v>
      </c>
      <c r="D72" t="s">
        <v>8</v>
      </c>
      <c r="E72" t="s">
        <v>19</v>
      </c>
      <c r="F72">
        <v>38</v>
      </c>
      <c r="G72" s="4">
        <v>44329</v>
      </c>
      <c r="H72" s="5">
        <v>56870</v>
      </c>
      <c r="I72" t="s">
        <v>13</v>
      </c>
    </row>
    <row r="73" spans="3:9" x14ac:dyDescent="0.25">
      <c r="C73" t="s">
        <v>77</v>
      </c>
      <c r="D73" t="s">
        <v>8</v>
      </c>
      <c r="E73" t="s">
        <v>19</v>
      </c>
      <c r="F73">
        <v>25</v>
      </c>
      <c r="G73" s="4">
        <v>44205</v>
      </c>
      <c r="H73" s="5">
        <v>92700</v>
      </c>
      <c r="I73" t="s">
        <v>16</v>
      </c>
    </row>
    <row r="74" spans="3:9" x14ac:dyDescent="0.25">
      <c r="C74" t="s">
        <v>32</v>
      </c>
      <c r="D74" t="s">
        <v>8</v>
      </c>
      <c r="E74" t="s">
        <v>21</v>
      </c>
      <c r="F74">
        <v>21</v>
      </c>
      <c r="G74" s="4">
        <v>44317</v>
      </c>
      <c r="H74" s="5">
        <v>65920</v>
      </c>
      <c r="I74" t="s">
        <v>16</v>
      </c>
    </row>
    <row r="75" spans="3:9" x14ac:dyDescent="0.25">
      <c r="C75" t="s">
        <v>59</v>
      </c>
      <c r="D75" t="s">
        <v>15</v>
      </c>
      <c r="E75" t="s">
        <v>9</v>
      </c>
      <c r="F75">
        <v>26</v>
      </c>
      <c r="G75" s="4">
        <v>44225</v>
      </c>
      <c r="H75" s="5">
        <v>47360</v>
      </c>
      <c r="I75" t="s">
        <v>16</v>
      </c>
    </row>
    <row r="76" spans="3:9" x14ac:dyDescent="0.25">
      <c r="C76" t="s">
        <v>37</v>
      </c>
      <c r="D76" t="s">
        <v>15</v>
      </c>
      <c r="E76" t="s">
        <v>9</v>
      </c>
      <c r="F76">
        <v>30</v>
      </c>
      <c r="G76" s="4">
        <v>44666</v>
      </c>
      <c r="H76" s="5">
        <v>60570</v>
      </c>
      <c r="I76" t="s">
        <v>16</v>
      </c>
    </row>
    <row r="77" spans="3:9" x14ac:dyDescent="0.25">
      <c r="C77" t="s">
        <v>96</v>
      </c>
      <c r="D77" t="s">
        <v>8</v>
      </c>
      <c r="E77" t="s">
        <v>9</v>
      </c>
      <c r="F77">
        <v>28</v>
      </c>
      <c r="G77" s="4">
        <v>44649</v>
      </c>
      <c r="H77" s="5">
        <v>104120</v>
      </c>
      <c r="I77" t="s">
        <v>16</v>
      </c>
    </row>
    <row r="78" spans="3:9" x14ac:dyDescent="0.25">
      <c r="C78" t="s">
        <v>23</v>
      </c>
      <c r="D78" t="s">
        <v>15</v>
      </c>
      <c r="E78" t="s">
        <v>12</v>
      </c>
      <c r="F78">
        <v>37</v>
      </c>
      <c r="G78" s="4">
        <v>44338</v>
      </c>
      <c r="H78" s="5">
        <v>88050</v>
      </c>
      <c r="I78" t="s">
        <v>24</v>
      </c>
    </row>
    <row r="79" spans="3:9" x14ac:dyDescent="0.25">
      <c r="C79" t="s">
        <v>103</v>
      </c>
      <c r="D79" t="s">
        <v>15</v>
      </c>
      <c r="E79" t="s">
        <v>12</v>
      </c>
      <c r="F79">
        <v>24</v>
      </c>
      <c r="G79" s="4">
        <v>44686</v>
      </c>
      <c r="H79" s="5">
        <v>100420</v>
      </c>
      <c r="I79" t="s">
        <v>16</v>
      </c>
    </row>
    <row r="80" spans="3:9" x14ac:dyDescent="0.25">
      <c r="C80" t="s">
        <v>54</v>
      </c>
      <c r="D80" t="s">
        <v>8</v>
      </c>
      <c r="E80" t="s">
        <v>9</v>
      </c>
      <c r="F80">
        <v>30</v>
      </c>
      <c r="G80" s="4">
        <v>44850</v>
      </c>
      <c r="H80" s="5">
        <v>114180</v>
      </c>
      <c r="I80" t="s">
        <v>16</v>
      </c>
    </row>
    <row r="81" spans="3:9" x14ac:dyDescent="0.25">
      <c r="C81" t="s">
        <v>86</v>
      </c>
      <c r="D81" t="s">
        <v>8</v>
      </c>
      <c r="E81" t="s">
        <v>12</v>
      </c>
      <c r="F81">
        <v>21</v>
      </c>
      <c r="G81" s="4">
        <v>44678</v>
      </c>
      <c r="H81" s="5">
        <v>33920</v>
      </c>
      <c r="I81" t="s">
        <v>16</v>
      </c>
    </row>
    <row r="82" spans="3:9" x14ac:dyDescent="0.25">
      <c r="C82" t="s">
        <v>69</v>
      </c>
      <c r="D82" t="s">
        <v>15</v>
      </c>
      <c r="E82" t="s">
        <v>9</v>
      </c>
      <c r="F82">
        <v>23</v>
      </c>
      <c r="G82" s="4">
        <v>44440</v>
      </c>
      <c r="H82" s="5">
        <v>106460</v>
      </c>
      <c r="I82" t="s">
        <v>16</v>
      </c>
    </row>
    <row r="83" spans="3:9" x14ac:dyDescent="0.25">
      <c r="C83" t="s">
        <v>57</v>
      </c>
      <c r="D83" t="s">
        <v>15</v>
      </c>
      <c r="E83" t="s">
        <v>9</v>
      </c>
      <c r="F83">
        <v>35</v>
      </c>
      <c r="G83" s="4">
        <v>44727</v>
      </c>
      <c r="H83" s="5">
        <v>40400</v>
      </c>
      <c r="I83" t="s">
        <v>16</v>
      </c>
    </row>
    <row r="84" spans="3:9" x14ac:dyDescent="0.25">
      <c r="C84" t="s">
        <v>68</v>
      </c>
      <c r="D84" t="s">
        <v>15</v>
      </c>
      <c r="E84" t="s">
        <v>21</v>
      </c>
      <c r="F84">
        <v>27</v>
      </c>
      <c r="G84" s="4">
        <v>44236</v>
      </c>
      <c r="H84" s="5">
        <v>91650</v>
      </c>
      <c r="I84" t="s">
        <v>13</v>
      </c>
    </row>
    <row r="85" spans="3:9" x14ac:dyDescent="0.25">
      <c r="C85" t="s">
        <v>99</v>
      </c>
      <c r="D85" t="s">
        <v>15</v>
      </c>
      <c r="E85" t="s">
        <v>19</v>
      </c>
      <c r="F85">
        <v>43</v>
      </c>
      <c r="G85" s="4">
        <v>44620</v>
      </c>
      <c r="H85" s="5">
        <v>36040</v>
      </c>
      <c r="I85" t="s">
        <v>16</v>
      </c>
    </row>
    <row r="86" spans="3:9" x14ac:dyDescent="0.25">
      <c r="C86" t="s">
        <v>101</v>
      </c>
      <c r="D86" t="s">
        <v>8</v>
      </c>
      <c r="E86" t="s">
        <v>12</v>
      </c>
      <c r="F86">
        <v>40</v>
      </c>
      <c r="G86" s="4">
        <v>44381</v>
      </c>
      <c r="H86" s="5">
        <v>104410</v>
      </c>
      <c r="I86" t="s">
        <v>16</v>
      </c>
    </row>
    <row r="87" spans="3:9" x14ac:dyDescent="0.25">
      <c r="C87" t="s">
        <v>85</v>
      </c>
      <c r="D87" t="s">
        <v>15</v>
      </c>
      <c r="E87" t="s">
        <v>21</v>
      </c>
      <c r="F87">
        <v>30</v>
      </c>
      <c r="G87" s="4">
        <v>44606</v>
      </c>
      <c r="H87" s="5">
        <v>96800</v>
      </c>
      <c r="I87" t="s">
        <v>16</v>
      </c>
    </row>
    <row r="88" spans="3:9" x14ac:dyDescent="0.25">
      <c r="C88" t="s">
        <v>28</v>
      </c>
      <c r="D88" t="s">
        <v>8</v>
      </c>
      <c r="E88" t="s">
        <v>21</v>
      </c>
      <c r="F88">
        <v>34</v>
      </c>
      <c r="G88" s="4">
        <v>44459</v>
      </c>
      <c r="H88" s="5">
        <v>85000</v>
      </c>
      <c r="I88" t="s">
        <v>16</v>
      </c>
    </row>
    <row r="89" spans="3:9" x14ac:dyDescent="0.25">
      <c r="C89" t="s">
        <v>80</v>
      </c>
      <c r="D89" t="s">
        <v>15</v>
      </c>
      <c r="E89" t="s">
        <v>19</v>
      </c>
      <c r="F89">
        <v>28</v>
      </c>
      <c r="G89" s="4">
        <v>44820</v>
      </c>
      <c r="H89" s="5">
        <v>43510</v>
      </c>
      <c r="I89" t="s">
        <v>42</v>
      </c>
    </row>
    <row r="90" spans="3:9" x14ac:dyDescent="0.25">
      <c r="C90" t="s">
        <v>79</v>
      </c>
      <c r="D90" t="s">
        <v>15</v>
      </c>
      <c r="E90" t="s">
        <v>21</v>
      </c>
      <c r="F90">
        <v>33</v>
      </c>
      <c r="G90" s="4">
        <v>44243</v>
      </c>
      <c r="H90" s="5">
        <v>59430</v>
      </c>
      <c r="I90" t="s">
        <v>16</v>
      </c>
    </row>
    <row r="91" spans="3:9" x14ac:dyDescent="0.25">
      <c r="C91" t="s">
        <v>93</v>
      </c>
      <c r="D91" t="s">
        <v>8</v>
      </c>
      <c r="E91" t="s">
        <v>21</v>
      </c>
      <c r="F91">
        <v>33</v>
      </c>
      <c r="G91" s="4">
        <v>44067</v>
      </c>
      <c r="H91" s="5">
        <v>65360</v>
      </c>
      <c r="I91" t="s">
        <v>16</v>
      </c>
    </row>
    <row r="92" spans="3:9" x14ac:dyDescent="0.25">
      <c r="C92" t="s">
        <v>66</v>
      </c>
      <c r="D92" t="s">
        <v>8</v>
      </c>
      <c r="E92" t="s">
        <v>9</v>
      </c>
      <c r="F92">
        <v>32</v>
      </c>
      <c r="G92" s="4">
        <v>44611</v>
      </c>
      <c r="H92" s="5">
        <v>41570</v>
      </c>
      <c r="I92" t="s">
        <v>16</v>
      </c>
    </row>
    <row r="93" spans="3:9" x14ac:dyDescent="0.25">
      <c r="C93" t="s">
        <v>95</v>
      </c>
      <c r="D93" t="s">
        <v>8</v>
      </c>
      <c r="E93" t="s">
        <v>12</v>
      </c>
      <c r="F93">
        <v>33</v>
      </c>
      <c r="G93" s="4">
        <v>44312</v>
      </c>
      <c r="H93" s="5">
        <v>75280</v>
      </c>
      <c r="I93" t="s">
        <v>16</v>
      </c>
    </row>
    <row r="94" spans="3:9" x14ac:dyDescent="0.25">
      <c r="C94" t="s">
        <v>18</v>
      </c>
      <c r="D94" t="s">
        <v>15</v>
      </c>
      <c r="E94" t="s">
        <v>19</v>
      </c>
      <c r="F94">
        <v>33</v>
      </c>
      <c r="G94" s="4">
        <v>44385</v>
      </c>
      <c r="H94" s="5">
        <v>74550</v>
      </c>
      <c r="I94" t="s">
        <v>16</v>
      </c>
    </row>
    <row r="95" spans="3:9" x14ac:dyDescent="0.25">
      <c r="C95" t="s">
        <v>45</v>
      </c>
      <c r="D95" t="s">
        <v>15</v>
      </c>
      <c r="E95" t="s">
        <v>9</v>
      </c>
      <c r="F95">
        <v>30</v>
      </c>
      <c r="G95" s="4">
        <v>44701</v>
      </c>
      <c r="H95" s="5">
        <v>67950</v>
      </c>
      <c r="I95" t="s">
        <v>16</v>
      </c>
    </row>
    <row r="96" spans="3:9" x14ac:dyDescent="0.25">
      <c r="C96" t="s">
        <v>90</v>
      </c>
      <c r="D96" t="s">
        <v>15</v>
      </c>
      <c r="E96" t="s">
        <v>21</v>
      </c>
      <c r="F96">
        <v>42</v>
      </c>
      <c r="G96" s="4">
        <v>44731</v>
      </c>
      <c r="H96" s="5">
        <v>70270</v>
      </c>
      <c r="I96" t="s">
        <v>24</v>
      </c>
    </row>
    <row r="97" spans="3:9" x14ac:dyDescent="0.25">
      <c r="C97" t="s">
        <v>46</v>
      </c>
      <c r="D97" t="s">
        <v>15</v>
      </c>
      <c r="E97" t="s">
        <v>9</v>
      </c>
      <c r="F97">
        <v>26</v>
      </c>
      <c r="G97" s="4">
        <v>44411</v>
      </c>
      <c r="H97" s="5">
        <v>53540</v>
      </c>
      <c r="I97" t="s">
        <v>16</v>
      </c>
    </row>
    <row r="98" spans="3:9" x14ac:dyDescent="0.25">
      <c r="C98" t="s">
        <v>58</v>
      </c>
      <c r="D98" t="s">
        <v>15</v>
      </c>
      <c r="E98" t="s">
        <v>19</v>
      </c>
      <c r="F98">
        <v>22</v>
      </c>
      <c r="G98" s="4">
        <v>44446</v>
      </c>
      <c r="H98" s="5">
        <v>112780</v>
      </c>
      <c r="I98" t="s">
        <v>13</v>
      </c>
    </row>
    <row r="99" spans="3:9" x14ac:dyDescent="0.25">
      <c r="C99" t="s">
        <v>70</v>
      </c>
      <c r="D99" t="s">
        <v>15</v>
      </c>
      <c r="E99" t="s">
        <v>9</v>
      </c>
      <c r="F99">
        <v>46</v>
      </c>
      <c r="G99" s="4">
        <v>44758</v>
      </c>
      <c r="H99" s="5">
        <v>70610</v>
      </c>
      <c r="I99" t="s">
        <v>16</v>
      </c>
    </row>
    <row r="100" spans="3:9" x14ac:dyDescent="0.25">
      <c r="C100" t="s">
        <v>75</v>
      </c>
      <c r="D100" t="s">
        <v>8</v>
      </c>
      <c r="E100" t="s">
        <v>19</v>
      </c>
      <c r="F100">
        <v>28</v>
      </c>
      <c r="G100" s="4">
        <v>44357</v>
      </c>
      <c r="H100" s="5">
        <v>53240</v>
      </c>
      <c r="I100" t="s">
        <v>16</v>
      </c>
    </row>
    <row r="101" spans="3:9" x14ac:dyDescent="0.25">
      <c r="C101" t="s">
        <v>49</v>
      </c>
      <c r="E101" t="s">
        <v>21</v>
      </c>
      <c r="F101">
        <v>37</v>
      </c>
      <c r="G101" s="4">
        <v>44146</v>
      </c>
      <c r="H101" s="5">
        <v>115440</v>
      </c>
      <c r="I101" t="s">
        <v>24</v>
      </c>
    </row>
    <row r="102" spans="3:9" x14ac:dyDescent="0.25">
      <c r="C102" t="s">
        <v>65</v>
      </c>
      <c r="D102" t="s">
        <v>15</v>
      </c>
      <c r="E102" t="s">
        <v>19</v>
      </c>
      <c r="F102">
        <v>32</v>
      </c>
      <c r="G102" s="4">
        <v>44465</v>
      </c>
      <c r="H102" s="5">
        <v>53540</v>
      </c>
      <c r="I102" t="s">
        <v>16</v>
      </c>
    </row>
    <row r="103" spans="3:9" x14ac:dyDescent="0.25">
      <c r="C103" t="s">
        <v>81</v>
      </c>
      <c r="D103" t="s">
        <v>8</v>
      </c>
      <c r="E103" t="s">
        <v>9</v>
      </c>
      <c r="F103">
        <v>30</v>
      </c>
      <c r="G103" s="4">
        <v>44861</v>
      </c>
      <c r="H103" s="5">
        <v>112570</v>
      </c>
      <c r="I103" t="s">
        <v>16</v>
      </c>
    </row>
    <row r="104" spans="3:9" x14ac:dyDescent="0.25">
      <c r="C104" t="s">
        <v>51</v>
      </c>
      <c r="D104" t="s">
        <v>15</v>
      </c>
      <c r="E104" t="s">
        <v>9</v>
      </c>
      <c r="F104">
        <v>33</v>
      </c>
      <c r="G104" s="4">
        <v>44701</v>
      </c>
      <c r="H104" s="5">
        <v>48530</v>
      </c>
      <c r="I104" t="s">
        <v>13</v>
      </c>
    </row>
    <row r="105" spans="3:9" x14ac:dyDescent="0.25">
      <c r="C105" t="s">
        <v>61</v>
      </c>
      <c r="D105" t="s">
        <v>8</v>
      </c>
      <c r="E105" t="s">
        <v>12</v>
      </c>
      <c r="F105">
        <v>24</v>
      </c>
      <c r="G105" s="4">
        <v>44148</v>
      </c>
      <c r="H105" s="5">
        <v>62780</v>
      </c>
      <c r="I105" t="s">
        <v>16</v>
      </c>
    </row>
    <row r="106" spans="3:9" x14ac:dyDescent="0.25">
      <c r="C106" t="s">
        <v>203</v>
      </c>
      <c r="F106">
        <f>SUBTOTAL(101,nz_staff[Age])</f>
        <v>30.52</v>
      </c>
      <c r="H106" s="5">
        <f>SUBTOTAL(101,nz_staff[Salary])</f>
        <v>77472.100000000006</v>
      </c>
      <c r="I106">
        <f>SUBTOTAL(103,nz_staff[Rating])</f>
        <v>100</v>
      </c>
    </row>
  </sheetData>
  <conditionalFormatting sqref="C6:C105">
    <cfRule type="duplicateValues" dxfId="0"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workbookViewId="0">
      <selection activeCell="B2" sqref="B2"/>
    </sheetView>
  </sheetViews>
  <sheetFormatPr defaultRowHeight="15" x14ac:dyDescent="0.25"/>
  <cols>
    <col min="2" max="2" width="30" bestFit="1" customWidth="1"/>
    <col min="3" max="3" width="10" bestFit="1" customWidth="1"/>
    <col min="4" max="4" width="6.7109375" bestFit="1" customWidth="1"/>
    <col min="5" max="5" width="14.28515625" bestFit="1" customWidth="1"/>
    <col min="6" max="6" width="13.7109375" bestFit="1" customWidth="1"/>
    <col min="7" max="7" width="14" bestFit="1" customWidth="1"/>
    <col min="8" max="8" width="8.5703125" bestFit="1" customWidth="1"/>
  </cols>
  <sheetData>
    <row r="2" spans="2:8" x14ac:dyDescent="0.25">
      <c r="B2" t="s">
        <v>0</v>
      </c>
      <c r="C2" t="s">
        <v>1</v>
      </c>
      <c r="D2" t="s">
        <v>3</v>
      </c>
      <c r="E2" t="s">
        <v>6</v>
      </c>
      <c r="F2" t="s">
        <v>4</v>
      </c>
      <c r="G2" t="s">
        <v>2</v>
      </c>
      <c r="H2" t="s">
        <v>5</v>
      </c>
    </row>
    <row r="3" spans="2:8" x14ac:dyDescent="0.25">
      <c r="B3" t="s">
        <v>156</v>
      </c>
      <c r="C3" t="s">
        <v>15</v>
      </c>
      <c r="D3">
        <v>20</v>
      </c>
      <c r="E3" t="s">
        <v>16</v>
      </c>
      <c r="F3" s="4">
        <v>44122</v>
      </c>
      <c r="G3" t="s">
        <v>12</v>
      </c>
      <c r="H3">
        <v>112650</v>
      </c>
    </row>
    <row r="4" spans="2:8" x14ac:dyDescent="0.25">
      <c r="B4" t="s">
        <v>176</v>
      </c>
      <c r="C4" t="s">
        <v>8</v>
      </c>
      <c r="D4">
        <v>32</v>
      </c>
      <c r="E4" t="s">
        <v>13</v>
      </c>
      <c r="F4" s="4">
        <v>44293</v>
      </c>
      <c r="G4" t="s">
        <v>12</v>
      </c>
      <c r="H4">
        <v>43840</v>
      </c>
    </row>
    <row r="5" spans="2:8" x14ac:dyDescent="0.25">
      <c r="B5" t="s">
        <v>143</v>
      </c>
      <c r="C5" t="s">
        <v>15</v>
      </c>
      <c r="D5">
        <v>31</v>
      </c>
      <c r="E5" t="s">
        <v>16</v>
      </c>
      <c r="F5" s="4">
        <v>44663</v>
      </c>
      <c r="G5" t="s">
        <v>9</v>
      </c>
      <c r="H5">
        <v>103550</v>
      </c>
    </row>
    <row r="6" spans="2:8" x14ac:dyDescent="0.25">
      <c r="B6" t="s">
        <v>201</v>
      </c>
      <c r="C6" t="s">
        <v>8</v>
      </c>
      <c r="D6">
        <v>32</v>
      </c>
      <c r="E6" t="s">
        <v>16</v>
      </c>
      <c r="F6" s="4">
        <v>44339</v>
      </c>
      <c r="G6" t="s">
        <v>56</v>
      </c>
      <c r="H6">
        <v>45510</v>
      </c>
    </row>
    <row r="7" spans="2:8" x14ac:dyDescent="0.25">
      <c r="B7" t="s">
        <v>142</v>
      </c>
      <c r="D7">
        <v>37</v>
      </c>
      <c r="E7" t="s">
        <v>24</v>
      </c>
      <c r="F7" s="4">
        <v>44085</v>
      </c>
      <c r="G7" t="s">
        <v>21</v>
      </c>
      <c r="H7">
        <v>115440</v>
      </c>
    </row>
    <row r="8" spans="2:8" x14ac:dyDescent="0.25">
      <c r="B8" t="s">
        <v>202</v>
      </c>
      <c r="C8" t="s">
        <v>8</v>
      </c>
      <c r="D8">
        <v>38</v>
      </c>
      <c r="E8" t="s">
        <v>13</v>
      </c>
      <c r="F8" s="4">
        <v>44268</v>
      </c>
      <c r="G8" t="s">
        <v>19</v>
      </c>
      <c r="H8">
        <v>56870</v>
      </c>
    </row>
    <row r="9" spans="2:8" x14ac:dyDescent="0.25">
      <c r="B9" t="s">
        <v>169</v>
      </c>
      <c r="C9" t="s">
        <v>8</v>
      </c>
      <c r="D9">
        <v>25</v>
      </c>
      <c r="E9" t="s">
        <v>16</v>
      </c>
      <c r="F9" s="4">
        <v>44144</v>
      </c>
      <c r="G9" t="s">
        <v>19</v>
      </c>
      <c r="H9">
        <v>92700</v>
      </c>
    </row>
    <row r="10" spans="2:8" x14ac:dyDescent="0.25">
      <c r="B10" t="s">
        <v>145</v>
      </c>
      <c r="D10">
        <v>32</v>
      </c>
      <c r="E10" t="s">
        <v>16</v>
      </c>
      <c r="F10" s="4">
        <v>44713</v>
      </c>
      <c r="G10" t="s">
        <v>12</v>
      </c>
      <c r="H10">
        <v>91310</v>
      </c>
    </row>
    <row r="11" spans="2:8" x14ac:dyDescent="0.25">
      <c r="B11" t="s">
        <v>115</v>
      </c>
      <c r="C11" t="s">
        <v>15</v>
      </c>
      <c r="D11">
        <v>33</v>
      </c>
      <c r="E11" t="s">
        <v>16</v>
      </c>
      <c r="F11" s="4">
        <v>44324</v>
      </c>
      <c r="G11" t="s">
        <v>19</v>
      </c>
      <c r="H11">
        <v>74550</v>
      </c>
    </row>
    <row r="12" spans="2:8" x14ac:dyDescent="0.25">
      <c r="B12" t="s">
        <v>128</v>
      </c>
      <c r="C12" t="s">
        <v>15</v>
      </c>
      <c r="D12">
        <v>25</v>
      </c>
      <c r="E12" t="s">
        <v>13</v>
      </c>
      <c r="F12" s="4">
        <v>44665</v>
      </c>
      <c r="G12" t="s">
        <v>9</v>
      </c>
      <c r="H12">
        <v>109190</v>
      </c>
    </row>
    <row r="13" spans="2:8" x14ac:dyDescent="0.25">
      <c r="B13" t="s">
        <v>194</v>
      </c>
      <c r="C13" t="s">
        <v>8</v>
      </c>
      <c r="D13">
        <v>40</v>
      </c>
      <c r="E13" t="s">
        <v>16</v>
      </c>
      <c r="F13" s="4">
        <v>44320</v>
      </c>
      <c r="G13" t="s">
        <v>12</v>
      </c>
      <c r="H13">
        <v>104410</v>
      </c>
    </row>
    <row r="14" spans="2:8" x14ac:dyDescent="0.25">
      <c r="B14" t="s">
        <v>177</v>
      </c>
      <c r="C14" t="s">
        <v>15</v>
      </c>
      <c r="D14">
        <v>30</v>
      </c>
      <c r="E14" t="s">
        <v>16</v>
      </c>
      <c r="F14" s="4">
        <v>44544</v>
      </c>
      <c r="G14" t="s">
        <v>21</v>
      </c>
      <c r="H14">
        <v>96800</v>
      </c>
    </row>
    <row r="15" spans="2:8" x14ac:dyDescent="0.25">
      <c r="B15" t="s">
        <v>123</v>
      </c>
      <c r="C15" t="s">
        <v>15</v>
      </c>
      <c r="D15">
        <v>28</v>
      </c>
      <c r="E15" t="s">
        <v>13</v>
      </c>
      <c r="F15" s="4">
        <v>43980</v>
      </c>
      <c r="G15" t="s">
        <v>21</v>
      </c>
      <c r="H15">
        <v>48170</v>
      </c>
    </row>
    <row r="16" spans="2:8" x14ac:dyDescent="0.25">
      <c r="B16" t="s">
        <v>140</v>
      </c>
      <c r="C16" t="s">
        <v>15</v>
      </c>
      <c r="D16">
        <v>21</v>
      </c>
      <c r="E16" t="s">
        <v>16</v>
      </c>
      <c r="F16" s="4">
        <v>44042</v>
      </c>
      <c r="G16" t="s">
        <v>9</v>
      </c>
      <c r="H16">
        <v>37920</v>
      </c>
    </row>
    <row r="17" spans="2:8" x14ac:dyDescent="0.25">
      <c r="B17" t="s">
        <v>178</v>
      </c>
      <c r="C17" t="s">
        <v>15</v>
      </c>
      <c r="D17">
        <v>34</v>
      </c>
      <c r="E17" t="s">
        <v>16</v>
      </c>
      <c r="F17" s="4">
        <v>44642</v>
      </c>
      <c r="G17" t="s">
        <v>9</v>
      </c>
      <c r="H17">
        <v>112650</v>
      </c>
    </row>
    <row r="18" spans="2:8" x14ac:dyDescent="0.25">
      <c r="B18" t="s">
        <v>165</v>
      </c>
      <c r="C18" t="s">
        <v>8</v>
      </c>
      <c r="D18">
        <v>34</v>
      </c>
      <c r="E18" t="s">
        <v>24</v>
      </c>
      <c r="F18" s="4">
        <v>44660</v>
      </c>
      <c r="G18" t="s">
        <v>19</v>
      </c>
      <c r="H18">
        <v>49630</v>
      </c>
    </row>
    <row r="19" spans="2:8" x14ac:dyDescent="0.25">
      <c r="B19" t="s">
        <v>199</v>
      </c>
      <c r="C19" t="s">
        <v>15</v>
      </c>
      <c r="D19">
        <v>36</v>
      </c>
      <c r="E19" t="s">
        <v>16</v>
      </c>
      <c r="F19" s="4">
        <v>43958</v>
      </c>
      <c r="G19" t="s">
        <v>12</v>
      </c>
      <c r="H19">
        <v>118840</v>
      </c>
    </row>
    <row r="20" spans="2:8" x14ac:dyDescent="0.25">
      <c r="B20" t="s">
        <v>159</v>
      </c>
      <c r="C20" t="s">
        <v>15</v>
      </c>
      <c r="D20">
        <v>30</v>
      </c>
      <c r="E20" t="s">
        <v>16</v>
      </c>
      <c r="F20" s="4">
        <v>44789</v>
      </c>
      <c r="G20" t="s">
        <v>12</v>
      </c>
      <c r="H20">
        <v>69710</v>
      </c>
    </row>
    <row r="21" spans="2:8" x14ac:dyDescent="0.25">
      <c r="B21" t="s">
        <v>197</v>
      </c>
      <c r="C21" t="s">
        <v>15</v>
      </c>
      <c r="D21">
        <v>20</v>
      </c>
      <c r="E21" t="s">
        <v>16</v>
      </c>
      <c r="F21" s="4">
        <v>44683</v>
      </c>
      <c r="G21" t="s">
        <v>9</v>
      </c>
      <c r="H21">
        <v>79570</v>
      </c>
    </row>
    <row r="22" spans="2:8" x14ac:dyDescent="0.25">
      <c r="B22" t="s">
        <v>154</v>
      </c>
      <c r="C22" t="s">
        <v>8</v>
      </c>
      <c r="D22">
        <v>22</v>
      </c>
      <c r="E22" t="s">
        <v>13</v>
      </c>
      <c r="F22" s="4">
        <v>44388</v>
      </c>
      <c r="G22" t="s">
        <v>9</v>
      </c>
      <c r="H22">
        <v>76900</v>
      </c>
    </row>
    <row r="23" spans="2:8" x14ac:dyDescent="0.25">
      <c r="B23" t="s">
        <v>182</v>
      </c>
      <c r="C23" t="s">
        <v>15</v>
      </c>
      <c r="D23">
        <v>27</v>
      </c>
      <c r="E23" t="s">
        <v>16</v>
      </c>
      <c r="F23" s="4">
        <v>44073</v>
      </c>
      <c r="G23" t="s">
        <v>19</v>
      </c>
      <c r="H23">
        <v>54970</v>
      </c>
    </row>
    <row r="24" spans="2:8" x14ac:dyDescent="0.25">
      <c r="B24" t="s">
        <v>118</v>
      </c>
      <c r="C24" t="s">
        <v>15</v>
      </c>
      <c r="D24">
        <v>37</v>
      </c>
      <c r="E24" t="s">
        <v>24</v>
      </c>
      <c r="F24" s="4">
        <v>44277</v>
      </c>
      <c r="G24" t="s">
        <v>12</v>
      </c>
      <c r="H24">
        <v>88050</v>
      </c>
    </row>
    <row r="25" spans="2:8" x14ac:dyDescent="0.25">
      <c r="B25" t="s">
        <v>192</v>
      </c>
      <c r="C25" t="s">
        <v>15</v>
      </c>
      <c r="D25">
        <v>43</v>
      </c>
      <c r="E25" t="s">
        <v>16</v>
      </c>
      <c r="F25" s="4">
        <v>44558</v>
      </c>
      <c r="G25" t="s">
        <v>19</v>
      </c>
      <c r="H25">
        <v>36040</v>
      </c>
    </row>
    <row r="26" spans="2:8" x14ac:dyDescent="0.25">
      <c r="B26" t="s">
        <v>111</v>
      </c>
      <c r="C26" t="s">
        <v>8</v>
      </c>
      <c r="D26">
        <v>42</v>
      </c>
      <c r="E26" t="s">
        <v>10</v>
      </c>
      <c r="F26" s="4">
        <v>44718</v>
      </c>
      <c r="G26" t="s">
        <v>9</v>
      </c>
      <c r="H26">
        <v>75000</v>
      </c>
    </row>
    <row r="27" spans="2:8" x14ac:dyDescent="0.25">
      <c r="B27" t="s">
        <v>149</v>
      </c>
      <c r="C27" t="s">
        <v>15</v>
      </c>
      <c r="D27">
        <v>35</v>
      </c>
      <c r="E27" t="s">
        <v>16</v>
      </c>
      <c r="F27" s="4">
        <v>44666</v>
      </c>
      <c r="G27" t="s">
        <v>9</v>
      </c>
      <c r="H27">
        <v>40400</v>
      </c>
    </row>
    <row r="28" spans="2:8" x14ac:dyDescent="0.25">
      <c r="B28" t="s">
        <v>196</v>
      </c>
      <c r="C28" t="s">
        <v>15</v>
      </c>
      <c r="D28">
        <v>24</v>
      </c>
      <c r="E28" t="s">
        <v>16</v>
      </c>
      <c r="F28" s="4">
        <v>44625</v>
      </c>
      <c r="G28" t="s">
        <v>12</v>
      </c>
      <c r="H28">
        <v>100420</v>
      </c>
    </row>
    <row r="29" spans="2:8" x14ac:dyDescent="0.25">
      <c r="B29" t="s">
        <v>120</v>
      </c>
      <c r="C29" t="s">
        <v>8</v>
      </c>
      <c r="D29">
        <v>31</v>
      </c>
      <c r="E29" t="s">
        <v>16</v>
      </c>
      <c r="F29" s="4">
        <v>44604</v>
      </c>
      <c r="G29" t="s">
        <v>12</v>
      </c>
      <c r="H29">
        <v>58100</v>
      </c>
    </row>
    <row r="30" spans="2:8" x14ac:dyDescent="0.25">
      <c r="B30" t="s">
        <v>114</v>
      </c>
      <c r="C30" t="s">
        <v>8</v>
      </c>
      <c r="D30">
        <v>44</v>
      </c>
      <c r="E30" t="s">
        <v>16</v>
      </c>
      <c r="F30" s="4">
        <v>44985</v>
      </c>
      <c r="G30" t="s">
        <v>12</v>
      </c>
      <c r="H30">
        <v>114870</v>
      </c>
    </row>
    <row r="31" spans="2:8" x14ac:dyDescent="0.25">
      <c r="B31" t="s">
        <v>158</v>
      </c>
      <c r="C31" t="s">
        <v>8</v>
      </c>
      <c r="D31">
        <v>32</v>
      </c>
      <c r="E31" t="s">
        <v>16</v>
      </c>
      <c r="F31" s="4">
        <v>44549</v>
      </c>
      <c r="G31" t="s">
        <v>9</v>
      </c>
      <c r="H31">
        <v>41570</v>
      </c>
    </row>
    <row r="32" spans="2:8" x14ac:dyDescent="0.25">
      <c r="B32" t="s">
        <v>173</v>
      </c>
      <c r="C32" t="s">
        <v>8</v>
      </c>
      <c r="D32">
        <v>30</v>
      </c>
      <c r="E32" t="s">
        <v>16</v>
      </c>
      <c r="F32" s="4">
        <v>44800</v>
      </c>
      <c r="G32" t="s">
        <v>9</v>
      </c>
      <c r="H32">
        <v>112570</v>
      </c>
    </row>
    <row r="33" spans="2:8" x14ac:dyDescent="0.25">
      <c r="B33" t="s">
        <v>151</v>
      </c>
      <c r="C33" t="s">
        <v>15</v>
      </c>
      <c r="D33">
        <v>26</v>
      </c>
      <c r="E33" t="s">
        <v>16</v>
      </c>
      <c r="F33" s="4">
        <v>44164</v>
      </c>
      <c r="G33" t="s">
        <v>9</v>
      </c>
      <c r="H33">
        <v>47360</v>
      </c>
    </row>
    <row r="34" spans="2:8" x14ac:dyDescent="0.25">
      <c r="B34" t="s">
        <v>126</v>
      </c>
      <c r="C34" t="s">
        <v>8</v>
      </c>
      <c r="D34">
        <v>21</v>
      </c>
      <c r="E34" t="s">
        <v>16</v>
      </c>
      <c r="F34" s="4">
        <v>44256</v>
      </c>
      <c r="G34" t="s">
        <v>21</v>
      </c>
      <c r="H34">
        <v>65920</v>
      </c>
    </row>
    <row r="35" spans="2:8" x14ac:dyDescent="0.25">
      <c r="B35" t="s">
        <v>200</v>
      </c>
      <c r="C35" t="s">
        <v>8</v>
      </c>
      <c r="D35">
        <v>28</v>
      </c>
      <c r="E35" t="s">
        <v>16</v>
      </c>
      <c r="F35" s="4">
        <v>44571</v>
      </c>
      <c r="G35" t="s">
        <v>9</v>
      </c>
      <c r="H35">
        <v>99970</v>
      </c>
    </row>
    <row r="36" spans="2:8" x14ac:dyDescent="0.25">
      <c r="B36" t="s">
        <v>133</v>
      </c>
      <c r="C36" t="s">
        <v>8</v>
      </c>
      <c r="D36">
        <v>25</v>
      </c>
      <c r="E36" t="s">
        <v>13</v>
      </c>
      <c r="F36" s="4">
        <v>44633</v>
      </c>
      <c r="G36" t="s">
        <v>12</v>
      </c>
      <c r="H36">
        <v>80700</v>
      </c>
    </row>
    <row r="37" spans="2:8" x14ac:dyDescent="0.25">
      <c r="B37" t="s">
        <v>155</v>
      </c>
      <c r="C37" t="s">
        <v>15</v>
      </c>
      <c r="D37">
        <v>24</v>
      </c>
      <c r="E37" t="s">
        <v>24</v>
      </c>
      <c r="F37" s="4">
        <v>44375</v>
      </c>
      <c r="G37" t="s">
        <v>21</v>
      </c>
      <c r="H37">
        <v>52610</v>
      </c>
    </row>
    <row r="38" spans="2:8" x14ac:dyDescent="0.25">
      <c r="B38" t="s">
        <v>180</v>
      </c>
      <c r="C38" t="s">
        <v>15</v>
      </c>
      <c r="D38">
        <v>29</v>
      </c>
      <c r="E38" t="s">
        <v>24</v>
      </c>
      <c r="F38" s="4">
        <v>44119</v>
      </c>
      <c r="G38" t="s">
        <v>12</v>
      </c>
      <c r="H38">
        <v>112110</v>
      </c>
    </row>
    <row r="39" spans="2:8" x14ac:dyDescent="0.25">
      <c r="B39" t="s">
        <v>152</v>
      </c>
      <c r="C39" t="s">
        <v>8</v>
      </c>
      <c r="D39">
        <v>27</v>
      </c>
      <c r="E39" t="s">
        <v>16</v>
      </c>
      <c r="F39" s="4">
        <v>44061</v>
      </c>
      <c r="G39" t="s">
        <v>56</v>
      </c>
      <c r="H39">
        <v>119110</v>
      </c>
    </row>
    <row r="40" spans="2:8" x14ac:dyDescent="0.25">
      <c r="B40" t="s">
        <v>150</v>
      </c>
      <c r="C40" t="s">
        <v>15</v>
      </c>
      <c r="D40">
        <v>22</v>
      </c>
      <c r="E40" t="s">
        <v>13</v>
      </c>
      <c r="F40" s="4">
        <v>44384</v>
      </c>
      <c r="G40" t="s">
        <v>19</v>
      </c>
      <c r="H40">
        <v>112780</v>
      </c>
    </row>
    <row r="41" spans="2:8" x14ac:dyDescent="0.25">
      <c r="B41" t="s">
        <v>175</v>
      </c>
      <c r="C41" t="s">
        <v>8</v>
      </c>
      <c r="D41">
        <v>36</v>
      </c>
      <c r="E41" t="s">
        <v>16</v>
      </c>
      <c r="F41" s="4">
        <v>44023</v>
      </c>
      <c r="G41" t="s">
        <v>9</v>
      </c>
      <c r="H41">
        <v>114890</v>
      </c>
    </row>
    <row r="42" spans="2:8" x14ac:dyDescent="0.25">
      <c r="B42" t="s">
        <v>146</v>
      </c>
      <c r="C42" t="s">
        <v>15</v>
      </c>
      <c r="D42">
        <v>27</v>
      </c>
      <c r="E42" t="s">
        <v>16</v>
      </c>
      <c r="F42" s="4">
        <v>44506</v>
      </c>
      <c r="G42" t="s">
        <v>21</v>
      </c>
      <c r="H42">
        <v>48980</v>
      </c>
    </row>
    <row r="43" spans="2:8" x14ac:dyDescent="0.25">
      <c r="B43" t="s">
        <v>170</v>
      </c>
      <c r="C43" t="s">
        <v>15</v>
      </c>
      <c r="D43">
        <v>21</v>
      </c>
      <c r="E43" t="s">
        <v>16</v>
      </c>
      <c r="F43" s="4">
        <v>44180</v>
      </c>
      <c r="G43" t="s">
        <v>56</v>
      </c>
      <c r="H43">
        <v>75880</v>
      </c>
    </row>
    <row r="44" spans="2:8" x14ac:dyDescent="0.25">
      <c r="B44" t="s">
        <v>167</v>
      </c>
      <c r="C44" t="s">
        <v>8</v>
      </c>
      <c r="D44">
        <v>28</v>
      </c>
      <c r="E44" t="s">
        <v>16</v>
      </c>
      <c r="F44" s="4">
        <v>44296</v>
      </c>
      <c r="G44" t="s">
        <v>19</v>
      </c>
      <c r="H44">
        <v>53240</v>
      </c>
    </row>
    <row r="45" spans="2:8" x14ac:dyDescent="0.25">
      <c r="B45" t="s">
        <v>122</v>
      </c>
      <c r="C45" t="s">
        <v>8</v>
      </c>
      <c r="D45">
        <v>34</v>
      </c>
      <c r="E45" t="s">
        <v>16</v>
      </c>
      <c r="F45" s="4">
        <v>44397</v>
      </c>
      <c r="G45" t="s">
        <v>21</v>
      </c>
      <c r="H45">
        <v>85000</v>
      </c>
    </row>
    <row r="46" spans="2:8" x14ac:dyDescent="0.25">
      <c r="B46" t="s">
        <v>179</v>
      </c>
      <c r="C46" t="s">
        <v>8</v>
      </c>
      <c r="D46">
        <v>21</v>
      </c>
      <c r="E46" t="s">
        <v>16</v>
      </c>
      <c r="F46" s="4">
        <v>44619</v>
      </c>
      <c r="G46" t="s">
        <v>12</v>
      </c>
      <c r="H46">
        <v>33920</v>
      </c>
    </row>
    <row r="47" spans="2:8" x14ac:dyDescent="0.25">
      <c r="B47" t="s">
        <v>188</v>
      </c>
      <c r="C47" t="s">
        <v>8</v>
      </c>
      <c r="D47">
        <v>33</v>
      </c>
      <c r="E47" t="s">
        <v>16</v>
      </c>
      <c r="F47" s="4">
        <v>44253</v>
      </c>
      <c r="G47" t="s">
        <v>12</v>
      </c>
      <c r="H47">
        <v>75280</v>
      </c>
    </row>
    <row r="48" spans="2:8" x14ac:dyDescent="0.25">
      <c r="B48" t="s">
        <v>130</v>
      </c>
      <c r="C48" t="s">
        <v>8</v>
      </c>
      <c r="D48">
        <v>34</v>
      </c>
      <c r="E48" t="s">
        <v>16</v>
      </c>
      <c r="F48" s="4">
        <v>44594</v>
      </c>
      <c r="G48" t="s">
        <v>21</v>
      </c>
      <c r="H48">
        <v>58940</v>
      </c>
    </row>
    <row r="49" spans="2:8" x14ac:dyDescent="0.25">
      <c r="B49" t="s">
        <v>136</v>
      </c>
      <c r="C49" t="s">
        <v>8</v>
      </c>
      <c r="D49">
        <v>28</v>
      </c>
      <c r="E49" t="s">
        <v>16</v>
      </c>
      <c r="F49" s="4">
        <v>44425</v>
      </c>
      <c r="G49" t="s">
        <v>9</v>
      </c>
      <c r="H49">
        <v>104770</v>
      </c>
    </row>
    <row r="50" spans="2:8" x14ac:dyDescent="0.25">
      <c r="B50" t="s">
        <v>125</v>
      </c>
      <c r="C50" t="s">
        <v>15</v>
      </c>
      <c r="D50">
        <v>21</v>
      </c>
      <c r="E50" t="s">
        <v>16</v>
      </c>
      <c r="F50" s="4">
        <v>44701</v>
      </c>
      <c r="G50" t="s">
        <v>9</v>
      </c>
      <c r="H50">
        <v>57090</v>
      </c>
    </row>
    <row r="51" spans="2:8" x14ac:dyDescent="0.25">
      <c r="B51" t="s">
        <v>160</v>
      </c>
      <c r="C51" t="s">
        <v>15</v>
      </c>
      <c r="D51">
        <v>27</v>
      </c>
      <c r="E51" t="s">
        <v>13</v>
      </c>
      <c r="F51" s="4">
        <v>44174</v>
      </c>
      <c r="G51" t="s">
        <v>21</v>
      </c>
      <c r="H51">
        <v>91650</v>
      </c>
    </row>
    <row r="52" spans="2:8" x14ac:dyDescent="0.25">
      <c r="B52" t="s">
        <v>183</v>
      </c>
      <c r="C52" t="s">
        <v>15</v>
      </c>
      <c r="D52">
        <v>42</v>
      </c>
      <c r="E52" t="s">
        <v>24</v>
      </c>
      <c r="F52" s="4">
        <v>44670</v>
      </c>
      <c r="G52" t="s">
        <v>21</v>
      </c>
      <c r="H52">
        <v>70270</v>
      </c>
    </row>
    <row r="53" spans="2:8" x14ac:dyDescent="0.25">
      <c r="B53" t="s">
        <v>129</v>
      </c>
      <c r="C53" t="s">
        <v>8</v>
      </c>
      <c r="D53">
        <v>28</v>
      </c>
      <c r="E53" t="s">
        <v>16</v>
      </c>
      <c r="F53" s="4">
        <v>44124</v>
      </c>
      <c r="G53" t="s">
        <v>21</v>
      </c>
      <c r="H53">
        <v>75970</v>
      </c>
    </row>
    <row r="54" spans="2:8" x14ac:dyDescent="0.25">
      <c r="B54" t="s">
        <v>112</v>
      </c>
      <c r="D54">
        <v>27</v>
      </c>
      <c r="E54" t="s">
        <v>13</v>
      </c>
      <c r="F54" s="4">
        <v>44212</v>
      </c>
      <c r="G54" t="s">
        <v>12</v>
      </c>
      <c r="H54">
        <v>90700</v>
      </c>
    </row>
    <row r="55" spans="2:8" x14ac:dyDescent="0.25">
      <c r="B55" t="s">
        <v>131</v>
      </c>
      <c r="C55" t="s">
        <v>15</v>
      </c>
      <c r="D55">
        <v>30</v>
      </c>
      <c r="E55" t="s">
        <v>16</v>
      </c>
      <c r="F55" s="4">
        <v>44607</v>
      </c>
      <c r="G55" t="s">
        <v>9</v>
      </c>
      <c r="H55">
        <v>60570</v>
      </c>
    </row>
    <row r="56" spans="2:8" x14ac:dyDescent="0.25">
      <c r="B56" t="s">
        <v>134</v>
      </c>
      <c r="C56" t="s">
        <v>15</v>
      </c>
      <c r="D56">
        <v>33</v>
      </c>
      <c r="E56" t="s">
        <v>16</v>
      </c>
      <c r="F56" s="4">
        <v>44103</v>
      </c>
      <c r="G56" t="s">
        <v>9</v>
      </c>
      <c r="H56">
        <v>115920</v>
      </c>
    </row>
    <row r="57" spans="2:8" x14ac:dyDescent="0.25">
      <c r="B57" t="s">
        <v>186</v>
      </c>
      <c r="C57" t="s">
        <v>8</v>
      </c>
      <c r="D57">
        <v>33</v>
      </c>
      <c r="E57" t="s">
        <v>16</v>
      </c>
      <c r="F57" s="4">
        <v>44006</v>
      </c>
      <c r="G57" t="s">
        <v>21</v>
      </c>
      <c r="H57">
        <v>65360</v>
      </c>
    </row>
    <row r="58" spans="2:8" x14ac:dyDescent="0.25">
      <c r="B58" t="s">
        <v>116</v>
      </c>
      <c r="D58">
        <v>30</v>
      </c>
      <c r="E58" t="s">
        <v>16</v>
      </c>
      <c r="F58" s="4">
        <v>44535</v>
      </c>
      <c r="G58" t="s">
        <v>21</v>
      </c>
      <c r="H58">
        <v>64000</v>
      </c>
    </row>
    <row r="59" spans="2:8" x14ac:dyDescent="0.25">
      <c r="B59" t="s">
        <v>195</v>
      </c>
      <c r="C59" t="s">
        <v>8</v>
      </c>
      <c r="D59">
        <v>34</v>
      </c>
      <c r="E59" t="s">
        <v>16</v>
      </c>
      <c r="F59" s="4">
        <v>44383</v>
      </c>
      <c r="G59" t="s">
        <v>21</v>
      </c>
      <c r="H59">
        <v>92450</v>
      </c>
    </row>
    <row r="60" spans="2:8" x14ac:dyDescent="0.25">
      <c r="B60" t="s">
        <v>113</v>
      </c>
      <c r="C60" t="s">
        <v>15</v>
      </c>
      <c r="D60">
        <v>31</v>
      </c>
      <c r="E60" t="s">
        <v>16</v>
      </c>
      <c r="F60" s="4">
        <v>44450</v>
      </c>
      <c r="G60" t="s">
        <v>12</v>
      </c>
      <c r="H60">
        <v>48950</v>
      </c>
    </row>
    <row r="61" spans="2:8" x14ac:dyDescent="0.25">
      <c r="B61" t="s">
        <v>185</v>
      </c>
      <c r="C61" t="s">
        <v>8</v>
      </c>
      <c r="D61">
        <v>27</v>
      </c>
      <c r="E61" t="s">
        <v>16</v>
      </c>
      <c r="F61" s="4">
        <v>44625</v>
      </c>
      <c r="G61" t="s">
        <v>12</v>
      </c>
      <c r="H61">
        <v>83750</v>
      </c>
    </row>
    <row r="62" spans="2:8" x14ac:dyDescent="0.25">
      <c r="B62" t="s">
        <v>166</v>
      </c>
      <c r="C62" t="s">
        <v>8</v>
      </c>
      <c r="D62">
        <v>40</v>
      </c>
      <c r="E62" t="s">
        <v>16</v>
      </c>
      <c r="F62" s="4">
        <v>44276</v>
      </c>
      <c r="G62" t="s">
        <v>12</v>
      </c>
      <c r="H62">
        <v>87620</v>
      </c>
    </row>
    <row r="63" spans="2:8" x14ac:dyDescent="0.25">
      <c r="B63" t="s">
        <v>184</v>
      </c>
      <c r="C63" t="s">
        <v>8</v>
      </c>
      <c r="D63">
        <v>20</v>
      </c>
      <c r="E63" t="s">
        <v>24</v>
      </c>
      <c r="F63" s="4">
        <v>44476</v>
      </c>
      <c r="G63" t="s">
        <v>19</v>
      </c>
      <c r="H63">
        <v>68900</v>
      </c>
    </row>
    <row r="64" spans="2:8" x14ac:dyDescent="0.25">
      <c r="B64" t="s">
        <v>157</v>
      </c>
      <c r="C64" t="s">
        <v>15</v>
      </c>
      <c r="D64">
        <v>32</v>
      </c>
      <c r="E64" t="s">
        <v>16</v>
      </c>
      <c r="F64" s="4">
        <v>44403</v>
      </c>
      <c r="G64" t="s">
        <v>19</v>
      </c>
      <c r="H64">
        <v>53540</v>
      </c>
    </row>
    <row r="65" spans="2:8" x14ac:dyDescent="0.25">
      <c r="B65" t="s">
        <v>172</v>
      </c>
      <c r="C65" t="s">
        <v>15</v>
      </c>
      <c r="D65">
        <v>28</v>
      </c>
      <c r="E65" t="s">
        <v>42</v>
      </c>
      <c r="F65" s="4">
        <v>44758</v>
      </c>
      <c r="G65" t="s">
        <v>19</v>
      </c>
      <c r="H65">
        <v>43510</v>
      </c>
    </row>
    <row r="66" spans="2:8" x14ac:dyDescent="0.25">
      <c r="B66" t="s">
        <v>127</v>
      </c>
      <c r="C66" t="s">
        <v>8</v>
      </c>
      <c r="D66">
        <v>38</v>
      </c>
      <c r="E66" t="s">
        <v>10</v>
      </c>
      <c r="F66" s="4">
        <v>44316</v>
      </c>
      <c r="G66" t="s">
        <v>19</v>
      </c>
      <c r="H66">
        <v>109160</v>
      </c>
    </row>
    <row r="67" spans="2:8" x14ac:dyDescent="0.25">
      <c r="B67" t="s">
        <v>198</v>
      </c>
      <c r="C67" t="s">
        <v>15</v>
      </c>
      <c r="D67">
        <v>40</v>
      </c>
      <c r="E67" t="s">
        <v>16</v>
      </c>
      <c r="F67" s="4">
        <v>44204</v>
      </c>
      <c r="G67" t="s">
        <v>9</v>
      </c>
      <c r="H67">
        <v>99750</v>
      </c>
    </row>
    <row r="68" spans="2:8" x14ac:dyDescent="0.25">
      <c r="B68" t="s">
        <v>124</v>
      </c>
      <c r="C68" t="s">
        <v>8</v>
      </c>
      <c r="D68">
        <v>31</v>
      </c>
      <c r="E68" t="s">
        <v>16</v>
      </c>
      <c r="F68" s="4">
        <v>44084</v>
      </c>
      <c r="G68" t="s">
        <v>12</v>
      </c>
      <c r="H68">
        <v>41980</v>
      </c>
    </row>
    <row r="69" spans="2:8" x14ac:dyDescent="0.25">
      <c r="B69" t="s">
        <v>187</v>
      </c>
      <c r="C69" t="s">
        <v>15</v>
      </c>
      <c r="D69">
        <v>36</v>
      </c>
      <c r="E69" t="s">
        <v>16</v>
      </c>
      <c r="F69" s="4">
        <v>44272</v>
      </c>
      <c r="G69" t="s">
        <v>21</v>
      </c>
      <c r="H69">
        <v>71380</v>
      </c>
    </row>
    <row r="70" spans="2:8" x14ac:dyDescent="0.25">
      <c r="B70" t="s">
        <v>191</v>
      </c>
      <c r="C70" t="s">
        <v>15</v>
      </c>
      <c r="D70">
        <v>27</v>
      </c>
      <c r="E70" t="s">
        <v>42</v>
      </c>
      <c r="F70" s="4">
        <v>44547</v>
      </c>
      <c r="G70" t="s">
        <v>9</v>
      </c>
      <c r="H70">
        <v>113280</v>
      </c>
    </row>
    <row r="71" spans="2:8" x14ac:dyDescent="0.25">
      <c r="B71" t="s">
        <v>181</v>
      </c>
      <c r="C71" t="s">
        <v>8</v>
      </c>
      <c r="D71">
        <v>33</v>
      </c>
      <c r="E71" t="s">
        <v>16</v>
      </c>
      <c r="F71" s="4">
        <v>44747</v>
      </c>
      <c r="G71" t="s">
        <v>21</v>
      </c>
      <c r="H71">
        <v>86570</v>
      </c>
    </row>
    <row r="72" spans="2:8" x14ac:dyDescent="0.25">
      <c r="B72" t="s">
        <v>139</v>
      </c>
      <c r="C72" t="s">
        <v>15</v>
      </c>
      <c r="D72">
        <v>26</v>
      </c>
      <c r="E72" t="s">
        <v>16</v>
      </c>
      <c r="F72" s="4">
        <v>44350</v>
      </c>
      <c r="G72" t="s">
        <v>9</v>
      </c>
      <c r="H72">
        <v>53540</v>
      </c>
    </row>
    <row r="73" spans="2:8" x14ac:dyDescent="0.25">
      <c r="B73" t="s">
        <v>190</v>
      </c>
      <c r="C73" t="s">
        <v>15</v>
      </c>
      <c r="D73">
        <v>37</v>
      </c>
      <c r="E73" t="s">
        <v>16</v>
      </c>
      <c r="F73" s="4">
        <v>44640</v>
      </c>
      <c r="G73" t="s">
        <v>12</v>
      </c>
      <c r="H73">
        <v>69070</v>
      </c>
    </row>
    <row r="74" spans="2:8" x14ac:dyDescent="0.25">
      <c r="B74" t="s">
        <v>121</v>
      </c>
      <c r="C74" t="s">
        <v>8</v>
      </c>
      <c r="D74">
        <v>30</v>
      </c>
      <c r="E74" t="s">
        <v>24</v>
      </c>
      <c r="F74" s="4">
        <v>44328</v>
      </c>
      <c r="G74" t="s">
        <v>21</v>
      </c>
      <c r="H74">
        <v>67910</v>
      </c>
    </row>
    <row r="75" spans="2:8" x14ac:dyDescent="0.25">
      <c r="B75" t="s">
        <v>119</v>
      </c>
      <c r="C75" t="s">
        <v>15</v>
      </c>
      <c r="D75">
        <v>30</v>
      </c>
      <c r="E75" t="s">
        <v>16</v>
      </c>
      <c r="F75" s="4">
        <v>44214</v>
      </c>
      <c r="G75" t="s">
        <v>12</v>
      </c>
      <c r="H75">
        <v>69120</v>
      </c>
    </row>
    <row r="76" spans="2:8" x14ac:dyDescent="0.25">
      <c r="B76" t="s">
        <v>132</v>
      </c>
      <c r="C76" t="s">
        <v>8</v>
      </c>
      <c r="D76">
        <v>34</v>
      </c>
      <c r="E76" t="s">
        <v>16</v>
      </c>
      <c r="F76" s="4">
        <v>44550</v>
      </c>
      <c r="G76" t="s">
        <v>21</v>
      </c>
      <c r="H76">
        <v>60130</v>
      </c>
    </row>
    <row r="77" spans="2:8" x14ac:dyDescent="0.25">
      <c r="B77" t="s">
        <v>161</v>
      </c>
      <c r="C77" t="s">
        <v>15</v>
      </c>
      <c r="D77">
        <v>23</v>
      </c>
      <c r="E77" t="s">
        <v>16</v>
      </c>
      <c r="F77" s="4">
        <v>44378</v>
      </c>
      <c r="G77" t="s">
        <v>9</v>
      </c>
      <c r="H77">
        <v>106460</v>
      </c>
    </row>
    <row r="78" spans="2:8" x14ac:dyDescent="0.25">
      <c r="B78" t="s">
        <v>148</v>
      </c>
      <c r="C78" t="s">
        <v>8</v>
      </c>
      <c r="D78">
        <v>37</v>
      </c>
      <c r="E78" t="s">
        <v>16</v>
      </c>
      <c r="F78" s="4">
        <v>44389</v>
      </c>
      <c r="G78" t="s">
        <v>56</v>
      </c>
      <c r="H78">
        <v>118100</v>
      </c>
    </row>
    <row r="79" spans="2:8" x14ac:dyDescent="0.25">
      <c r="B79" t="s">
        <v>164</v>
      </c>
      <c r="C79" t="s">
        <v>8</v>
      </c>
      <c r="D79">
        <v>36</v>
      </c>
      <c r="E79" t="s">
        <v>16</v>
      </c>
      <c r="F79" s="4">
        <v>44468</v>
      </c>
      <c r="G79" t="s">
        <v>9</v>
      </c>
      <c r="H79">
        <v>78390</v>
      </c>
    </row>
    <row r="80" spans="2:8" x14ac:dyDescent="0.25">
      <c r="B80" t="s">
        <v>147</v>
      </c>
      <c r="C80" t="s">
        <v>8</v>
      </c>
      <c r="D80">
        <v>30</v>
      </c>
      <c r="E80" t="s">
        <v>16</v>
      </c>
      <c r="F80" s="4">
        <v>44789</v>
      </c>
      <c r="G80" t="s">
        <v>9</v>
      </c>
      <c r="H80">
        <v>114180</v>
      </c>
    </row>
    <row r="81" spans="2:8" x14ac:dyDescent="0.25">
      <c r="B81" t="s">
        <v>189</v>
      </c>
      <c r="C81" t="s">
        <v>8</v>
      </c>
      <c r="D81">
        <v>28</v>
      </c>
      <c r="E81" t="s">
        <v>16</v>
      </c>
      <c r="F81" s="4">
        <v>44590</v>
      </c>
      <c r="G81" t="s">
        <v>9</v>
      </c>
      <c r="H81">
        <v>104120</v>
      </c>
    </row>
    <row r="82" spans="2:8" x14ac:dyDescent="0.25">
      <c r="B82" t="s">
        <v>138</v>
      </c>
      <c r="C82" t="s">
        <v>15</v>
      </c>
      <c r="D82">
        <v>30</v>
      </c>
      <c r="E82" t="s">
        <v>16</v>
      </c>
      <c r="F82" s="4">
        <v>44640</v>
      </c>
      <c r="G82" t="s">
        <v>9</v>
      </c>
      <c r="H82">
        <v>67950</v>
      </c>
    </row>
    <row r="83" spans="2:8" x14ac:dyDescent="0.25">
      <c r="B83" t="s">
        <v>137</v>
      </c>
      <c r="C83" t="s">
        <v>8</v>
      </c>
      <c r="D83">
        <v>29</v>
      </c>
      <c r="E83" t="s">
        <v>16</v>
      </c>
      <c r="F83" s="4">
        <v>43962</v>
      </c>
      <c r="G83" t="s">
        <v>12</v>
      </c>
      <c r="H83">
        <v>34980</v>
      </c>
    </row>
    <row r="84" spans="2:8" x14ac:dyDescent="0.25">
      <c r="B84" t="s">
        <v>153</v>
      </c>
      <c r="C84" t="s">
        <v>8</v>
      </c>
      <c r="D84">
        <v>24</v>
      </c>
      <c r="E84" t="s">
        <v>16</v>
      </c>
      <c r="F84" s="4">
        <v>44087</v>
      </c>
      <c r="G84" t="s">
        <v>12</v>
      </c>
      <c r="H84">
        <v>62780</v>
      </c>
    </row>
    <row r="85" spans="2:8" x14ac:dyDescent="0.25">
      <c r="B85" t="s">
        <v>117</v>
      </c>
      <c r="C85" t="s">
        <v>15</v>
      </c>
      <c r="D85">
        <v>20</v>
      </c>
      <c r="E85" t="s">
        <v>16</v>
      </c>
      <c r="F85" s="4">
        <v>44397</v>
      </c>
      <c r="G85" t="s">
        <v>12</v>
      </c>
      <c r="H85">
        <v>107700</v>
      </c>
    </row>
    <row r="86" spans="2:8" x14ac:dyDescent="0.25">
      <c r="B86" t="s">
        <v>168</v>
      </c>
      <c r="C86" t="s">
        <v>15</v>
      </c>
      <c r="D86">
        <v>25</v>
      </c>
      <c r="E86" t="s">
        <v>16</v>
      </c>
      <c r="F86" s="4">
        <v>44322</v>
      </c>
      <c r="G86" t="s">
        <v>19</v>
      </c>
      <c r="H86">
        <v>65700</v>
      </c>
    </row>
    <row r="87" spans="2:8" x14ac:dyDescent="0.25">
      <c r="B87" t="s">
        <v>135</v>
      </c>
      <c r="C87" t="s">
        <v>8</v>
      </c>
      <c r="D87">
        <v>33</v>
      </c>
      <c r="E87" t="s">
        <v>42</v>
      </c>
      <c r="F87" s="4">
        <v>44313</v>
      </c>
      <c r="G87" t="s">
        <v>12</v>
      </c>
      <c r="H87">
        <v>75480</v>
      </c>
    </row>
    <row r="88" spans="2:8" x14ac:dyDescent="0.25">
      <c r="B88" t="s">
        <v>174</v>
      </c>
      <c r="C88" t="s">
        <v>15</v>
      </c>
      <c r="D88">
        <v>33</v>
      </c>
      <c r="E88" t="s">
        <v>16</v>
      </c>
      <c r="F88" s="4">
        <v>44448</v>
      </c>
      <c r="G88" t="s">
        <v>12</v>
      </c>
      <c r="H88">
        <v>53870</v>
      </c>
    </row>
    <row r="89" spans="2:8" x14ac:dyDescent="0.25">
      <c r="B89" t="s">
        <v>141</v>
      </c>
      <c r="C89" t="s">
        <v>8</v>
      </c>
      <c r="D89">
        <v>36</v>
      </c>
      <c r="E89" t="s">
        <v>16</v>
      </c>
      <c r="F89" s="4">
        <v>44433</v>
      </c>
      <c r="G89" t="s">
        <v>19</v>
      </c>
      <c r="H89">
        <v>78540</v>
      </c>
    </row>
    <row r="90" spans="2:8" x14ac:dyDescent="0.25">
      <c r="B90" t="s">
        <v>193</v>
      </c>
      <c r="C90" t="s">
        <v>15</v>
      </c>
      <c r="D90">
        <v>19</v>
      </c>
      <c r="E90" t="s">
        <v>16</v>
      </c>
      <c r="F90" s="4">
        <v>44218</v>
      </c>
      <c r="G90" t="s">
        <v>9</v>
      </c>
      <c r="H90">
        <v>58960</v>
      </c>
    </row>
    <row r="91" spans="2:8" x14ac:dyDescent="0.25">
      <c r="B91" t="s">
        <v>162</v>
      </c>
      <c r="C91" t="s">
        <v>15</v>
      </c>
      <c r="D91">
        <v>46</v>
      </c>
      <c r="E91" t="s">
        <v>16</v>
      </c>
      <c r="F91" s="4">
        <v>44697</v>
      </c>
      <c r="G91" t="s">
        <v>9</v>
      </c>
      <c r="H91">
        <v>70610</v>
      </c>
    </row>
    <row r="92" spans="2:8" x14ac:dyDescent="0.25">
      <c r="B92" t="s">
        <v>171</v>
      </c>
      <c r="C92" t="s">
        <v>15</v>
      </c>
      <c r="D92">
        <v>33</v>
      </c>
      <c r="E92" t="s">
        <v>16</v>
      </c>
      <c r="F92" s="4">
        <v>44181</v>
      </c>
      <c r="G92" t="s">
        <v>21</v>
      </c>
      <c r="H92">
        <v>59430</v>
      </c>
    </row>
    <row r="93" spans="2:8" x14ac:dyDescent="0.25">
      <c r="B93" t="s">
        <v>144</v>
      </c>
      <c r="C93" t="s">
        <v>15</v>
      </c>
      <c r="D93">
        <v>33</v>
      </c>
      <c r="E93" t="s">
        <v>13</v>
      </c>
      <c r="F93" s="4">
        <v>44640</v>
      </c>
      <c r="G93" t="s">
        <v>9</v>
      </c>
      <c r="H93">
        <v>48530</v>
      </c>
    </row>
    <row r="94" spans="2:8" x14ac:dyDescent="0.25">
      <c r="B94" t="s">
        <v>163</v>
      </c>
      <c r="C94" t="s">
        <v>8</v>
      </c>
      <c r="D94">
        <v>33</v>
      </c>
      <c r="E94" t="s">
        <v>16</v>
      </c>
      <c r="F94" s="4">
        <v>44129</v>
      </c>
      <c r="G94" t="s">
        <v>12</v>
      </c>
      <c r="H94">
        <v>96140</v>
      </c>
    </row>
    <row r="95" spans="2:8" x14ac:dyDescent="0.25">
      <c r="B95" t="s">
        <v>156</v>
      </c>
      <c r="C95" t="s">
        <v>15</v>
      </c>
      <c r="D95">
        <v>20</v>
      </c>
      <c r="E95" t="s">
        <v>16</v>
      </c>
      <c r="F95" s="4">
        <v>44122</v>
      </c>
      <c r="G95" t="s">
        <v>12</v>
      </c>
      <c r="H95">
        <v>112650</v>
      </c>
    </row>
    <row r="96" spans="2:8" x14ac:dyDescent="0.25">
      <c r="B96" t="s">
        <v>176</v>
      </c>
      <c r="C96" t="s">
        <v>8</v>
      </c>
      <c r="D96">
        <v>32</v>
      </c>
      <c r="E96" t="s">
        <v>13</v>
      </c>
      <c r="F96" s="4">
        <v>44293</v>
      </c>
      <c r="G96" t="s">
        <v>12</v>
      </c>
      <c r="H96">
        <v>43840</v>
      </c>
    </row>
    <row r="97" spans="2:8" x14ac:dyDescent="0.25">
      <c r="B97" t="s">
        <v>143</v>
      </c>
      <c r="C97" t="s">
        <v>15</v>
      </c>
      <c r="D97">
        <v>31</v>
      </c>
      <c r="E97" t="s">
        <v>16</v>
      </c>
      <c r="F97" s="4">
        <v>44663</v>
      </c>
      <c r="G97" t="s">
        <v>9</v>
      </c>
      <c r="H97">
        <v>103550</v>
      </c>
    </row>
    <row r="98" spans="2:8" x14ac:dyDescent="0.25">
      <c r="B98" t="s">
        <v>201</v>
      </c>
      <c r="C98" t="s">
        <v>8</v>
      </c>
      <c r="D98">
        <v>32</v>
      </c>
      <c r="E98" t="s">
        <v>16</v>
      </c>
      <c r="F98" s="4">
        <v>44339</v>
      </c>
      <c r="G98" t="s">
        <v>56</v>
      </c>
      <c r="H98">
        <v>45510</v>
      </c>
    </row>
    <row r="99" spans="2:8" x14ac:dyDescent="0.25">
      <c r="B99" t="s">
        <v>142</v>
      </c>
      <c r="D99">
        <v>37</v>
      </c>
      <c r="E99" t="s">
        <v>24</v>
      </c>
      <c r="F99" s="4">
        <v>44085</v>
      </c>
      <c r="G99" t="s">
        <v>21</v>
      </c>
      <c r="H99">
        <v>115440</v>
      </c>
    </row>
    <row r="100" spans="2:8" x14ac:dyDescent="0.25">
      <c r="B100" t="s">
        <v>202</v>
      </c>
      <c r="C100" t="s">
        <v>8</v>
      </c>
      <c r="D100">
        <v>38</v>
      </c>
      <c r="E100" t="s">
        <v>13</v>
      </c>
      <c r="F100" s="4">
        <v>44268</v>
      </c>
      <c r="G100" t="s">
        <v>19</v>
      </c>
      <c r="H100">
        <v>56870</v>
      </c>
    </row>
    <row r="101" spans="2:8" x14ac:dyDescent="0.25">
      <c r="B101" t="s">
        <v>169</v>
      </c>
      <c r="C101" t="s">
        <v>8</v>
      </c>
      <c r="D101">
        <v>25</v>
      </c>
      <c r="E101" t="s">
        <v>16</v>
      </c>
      <c r="F101" s="4">
        <v>44144</v>
      </c>
      <c r="G101" t="s">
        <v>19</v>
      </c>
      <c r="H101">
        <v>92700</v>
      </c>
    </row>
    <row r="102" spans="2:8" x14ac:dyDescent="0.25">
      <c r="B102" t="s">
        <v>145</v>
      </c>
      <c r="D102">
        <v>32</v>
      </c>
      <c r="E102" t="s">
        <v>16</v>
      </c>
      <c r="F102" s="4">
        <v>44713</v>
      </c>
      <c r="G102" t="s">
        <v>12</v>
      </c>
      <c r="H102">
        <v>91310</v>
      </c>
    </row>
    <row r="103" spans="2:8" x14ac:dyDescent="0.25">
      <c r="B103" t="s">
        <v>115</v>
      </c>
      <c r="C103" t="s">
        <v>15</v>
      </c>
      <c r="D103">
        <v>33</v>
      </c>
      <c r="E103" t="s">
        <v>16</v>
      </c>
      <c r="F103" s="4">
        <v>44324</v>
      </c>
      <c r="G103" t="s">
        <v>19</v>
      </c>
      <c r="H103">
        <v>74550</v>
      </c>
    </row>
    <row r="104" spans="2:8" x14ac:dyDescent="0.25">
      <c r="B104" t="s">
        <v>128</v>
      </c>
      <c r="C104" t="s">
        <v>15</v>
      </c>
      <c r="D104">
        <v>25</v>
      </c>
      <c r="E104" t="s">
        <v>13</v>
      </c>
      <c r="F104" s="4">
        <v>44665</v>
      </c>
      <c r="G104" t="s">
        <v>9</v>
      </c>
      <c r="H104">
        <v>109190</v>
      </c>
    </row>
    <row r="105" spans="2:8" x14ac:dyDescent="0.25">
      <c r="B105" t="s">
        <v>194</v>
      </c>
      <c r="C105" t="s">
        <v>8</v>
      </c>
      <c r="D105">
        <v>40</v>
      </c>
      <c r="E105" t="s">
        <v>16</v>
      </c>
      <c r="F105" s="4">
        <v>44320</v>
      </c>
      <c r="G105" t="s">
        <v>12</v>
      </c>
      <c r="H105">
        <v>104410</v>
      </c>
    </row>
    <row r="106" spans="2:8" x14ac:dyDescent="0.25">
      <c r="B106" t="s">
        <v>177</v>
      </c>
      <c r="C106" t="s">
        <v>15</v>
      </c>
      <c r="D106">
        <v>30</v>
      </c>
      <c r="E106" t="s">
        <v>16</v>
      </c>
      <c r="F106" s="4">
        <v>44544</v>
      </c>
      <c r="G106" t="s">
        <v>21</v>
      </c>
      <c r="H106">
        <v>96800</v>
      </c>
    </row>
    <row r="107" spans="2:8" x14ac:dyDescent="0.25">
      <c r="B107" t="s">
        <v>123</v>
      </c>
      <c r="C107" t="s">
        <v>15</v>
      </c>
      <c r="D107">
        <v>28</v>
      </c>
      <c r="E107" t="s">
        <v>13</v>
      </c>
      <c r="F107" s="4">
        <v>43980</v>
      </c>
      <c r="G107" t="s">
        <v>21</v>
      </c>
      <c r="H107">
        <v>48170</v>
      </c>
    </row>
    <row r="108" spans="2:8" x14ac:dyDescent="0.25">
      <c r="B108" t="s">
        <v>140</v>
      </c>
      <c r="C108" t="s">
        <v>15</v>
      </c>
      <c r="D108">
        <v>21</v>
      </c>
      <c r="E108" t="s">
        <v>16</v>
      </c>
      <c r="F108" s="4">
        <v>44042</v>
      </c>
      <c r="G108" t="s">
        <v>9</v>
      </c>
      <c r="H108">
        <v>37920</v>
      </c>
    </row>
    <row r="109" spans="2:8" x14ac:dyDescent="0.25">
      <c r="B109" t="s">
        <v>178</v>
      </c>
      <c r="C109" t="s">
        <v>15</v>
      </c>
      <c r="D109">
        <v>34</v>
      </c>
      <c r="E109" t="s">
        <v>16</v>
      </c>
      <c r="F109" s="4">
        <v>44642</v>
      </c>
      <c r="G109" t="s">
        <v>9</v>
      </c>
      <c r="H109">
        <v>112650</v>
      </c>
    </row>
    <row r="110" spans="2:8" x14ac:dyDescent="0.25">
      <c r="B110" t="s">
        <v>165</v>
      </c>
      <c r="C110" t="s">
        <v>8</v>
      </c>
      <c r="D110">
        <v>34</v>
      </c>
      <c r="E110" t="s">
        <v>24</v>
      </c>
      <c r="F110" s="4">
        <v>44660</v>
      </c>
      <c r="G110" t="s">
        <v>19</v>
      </c>
      <c r="H110">
        <v>49630</v>
      </c>
    </row>
    <row r="111" spans="2:8" x14ac:dyDescent="0.25">
      <c r="B111" t="s">
        <v>199</v>
      </c>
      <c r="C111" t="s">
        <v>15</v>
      </c>
      <c r="D111">
        <v>36</v>
      </c>
      <c r="E111" t="s">
        <v>16</v>
      </c>
      <c r="F111" s="4">
        <v>43958</v>
      </c>
      <c r="G111" t="s">
        <v>12</v>
      </c>
      <c r="H111">
        <v>118840</v>
      </c>
    </row>
    <row r="112" spans="2:8" x14ac:dyDescent="0.25">
      <c r="B112" t="s">
        <v>159</v>
      </c>
      <c r="C112" t="s">
        <v>15</v>
      </c>
      <c r="D112">
        <v>30</v>
      </c>
      <c r="E112" t="s">
        <v>16</v>
      </c>
      <c r="F112" s="4">
        <v>44789</v>
      </c>
      <c r="G112" t="s">
        <v>12</v>
      </c>
      <c r="H112">
        <v>69710</v>
      </c>
    </row>
    <row r="113" spans="2:8" x14ac:dyDescent="0.25">
      <c r="B113" t="s">
        <v>197</v>
      </c>
      <c r="C113" t="s">
        <v>15</v>
      </c>
      <c r="D113">
        <v>20</v>
      </c>
      <c r="E113" t="s">
        <v>16</v>
      </c>
      <c r="F113" s="4">
        <v>44683</v>
      </c>
      <c r="G113" t="s">
        <v>9</v>
      </c>
      <c r="H113">
        <v>79570</v>
      </c>
    </row>
    <row r="114" spans="2:8" x14ac:dyDescent="0.25">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082E0-FE8B-4271-9084-27D21E6D8FA7}">
  <sheetPr>
    <tabColor theme="7"/>
  </sheetPr>
  <dimension ref="A1:U184"/>
  <sheetViews>
    <sheetView tabSelected="1" workbookViewId="0">
      <selection activeCell="K2" sqref="K2"/>
    </sheetView>
  </sheetViews>
  <sheetFormatPr defaultRowHeight="15" x14ac:dyDescent="0.25"/>
  <cols>
    <col min="1" max="1" width="30" bestFit="1" customWidth="1"/>
    <col min="2" max="2" width="10" bestFit="1" customWidth="1"/>
    <col min="3" max="3" width="14" bestFit="1" customWidth="1"/>
    <col min="4" max="4" width="6.7109375" bestFit="1" customWidth="1"/>
    <col min="5" max="5" width="13.7109375" bestFit="1" customWidth="1"/>
    <col min="6" max="6" width="13.42578125" customWidth="1"/>
    <col min="7" max="7" width="14.28515625" bestFit="1" customWidth="1"/>
    <col min="8" max="8" width="10.28515625" bestFit="1" customWidth="1"/>
    <col min="9" max="9" width="9.7109375" bestFit="1" customWidth="1"/>
    <col min="10" max="10" width="12.42578125" customWidth="1"/>
    <col min="11" max="11" width="19.42578125" customWidth="1"/>
    <col min="14" max="14" width="11.28515625" customWidth="1"/>
    <col min="15" max="15" width="27.85546875" customWidth="1"/>
    <col min="16" max="16" width="12.28515625" customWidth="1"/>
    <col min="17" max="17" width="9.42578125" bestFit="1" customWidth="1"/>
    <col min="18" max="18" width="10.85546875" bestFit="1" customWidth="1"/>
  </cols>
  <sheetData>
    <row r="1" spans="1:18" x14ac:dyDescent="0.25">
      <c r="A1" t="s">
        <v>0</v>
      </c>
      <c r="B1" t="s">
        <v>1</v>
      </c>
      <c r="C1" t="s">
        <v>2</v>
      </c>
      <c r="D1" t="s">
        <v>3</v>
      </c>
      <c r="E1" t="s">
        <v>4</v>
      </c>
      <c r="F1" t="s">
        <v>5</v>
      </c>
      <c r="G1" t="s">
        <v>6</v>
      </c>
      <c r="H1" t="s">
        <v>204</v>
      </c>
      <c r="I1" t="s">
        <v>213</v>
      </c>
      <c r="J1" t="s">
        <v>228</v>
      </c>
      <c r="K1" t="s">
        <v>230</v>
      </c>
    </row>
    <row r="2" spans="1:18" x14ac:dyDescent="0.25">
      <c r="A2" t="s">
        <v>58</v>
      </c>
      <c r="B2" t="s">
        <v>15</v>
      </c>
      <c r="C2" t="s">
        <v>19</v>
      </c>
      <c r="D2">
        <v>22</v>
      </c>
      <c r="E2" s="6">
        <v>44446</v>
      </c>
      <c r="F2" s="16">
        <v>112780</v>
      </c>
      <c r="G2" t="s">
        <v>13</v>
      </c>
      <c r="H2" t="s">
        <v>205</v>
      </c>
      <c r="I2" s="7">
        <f ca="1">(TODAY()-staff[[#This Row],[Date Joined]])/365</f>
        <v>2.2767123287671232</v>
      </c>
      <c r="J2" s="5">
        <f ca="1">IF(staff[[#This Row],[Tenure]] &gt;2,3%,2%)*staff[[#This Row],[Salary]]</f>
        <v>3383.4</v>
      </c>
      <c r="K2" s="7">
        <f>_xlfn.XLOOKUP(staff[[#This Row],[Rating]], 'Rating maping table'!$C$6:$C$10,'Rating maping table'!$D$6:$D$10)</f>
        <v>4</v>
      </c>
    </row>
    <row r="3" spans="1:18" x14ac:dyDescent="0.25">
      <c r="A3" t="s">
        <v>70</v>
      </c>
      <c r="B3" t="s">
        <v>15</v>
      </c>
      <c r="C3" t="s">
        <v>9</v>
      </c>
      <c r="D3">
        <v>46</v>
      </c>
      <c r="E3" s="6">
        <v>44758</v>
      </c>
      <c r="F3" s="5">
        <v>70610</v>
      </c>
      <c r="G3" t="s">
        <v>16</v>
      </c>
      <c r="H3" t="s">
        <v>205</v>
      </c>
      <c r="I3" s="7">
        <f ca="1">(TODAY()-staff[[#This Row],[Date Joined]])/365</f>
        <v>1.4219178082191781</v>
      </c>
      <c r="J3" s="5">
        <f ca="1">IF(staff[[#This Row],[Tenure]] &gt;2,3%,2%)*staff[[#This Row],[Salary]]</f>
        <v>1412.2</v>
      </c>
      <c r="K3" s="7">
        <f>_xlfn.XLOOKUP(staff[[#This Row],[Rating]], 'Rating maping table'!$C$6:$C$10,'Rating maping table'!$D$6:$D$10)</f>
        <v>3</v>
      </c>
    </row>
    <row r="4" spans="1:18" x14ac:dyDescent="0.25">
      <c r="A4" t="s">
        <v>75</v>
      </c>
      <c r="B4" t="s">
        <v>8</v>
      </c>
      <c r="C4" t="s">
        <v>19</v>
      </c>
      <c r="D4">
        <v>28</v>
      </c>
      <c r="E4" s="6">
        <v>44357</v>
      </c>
      <c r="F4" s="5">
        <v>53240</v>
      </c>
      <c r="G4" t="s">
        <v>16</v>
      </c>
      <c r="H4" t="s">
        <v>205</v>
      </c>
      <c r="I4" s="7">
        <f ca="1">(TODAY()-staff[[#This Row],[Date Joined]])/365</f>
        <v>2.5205479452054793</v>
      </c>
      <c r="J4" s="5">
        <f ca="1">IF(staff[[#This Row],[Tenure]] &gt;2,3%,2%)*staff[[#This Row],[Salary]]</f>
        <v>1597.2</v>
      </c>
      <c r="K4" s="7">
        <f>_xlfn.XLOOKUP(staff[[#This Row],[Rating]], 'Rating maping table'!$C$6:$C$10,'Rating maping table'!$D$6:$D$10)</f>
        <v>3</v>
      </c>
      <c r="M4" s="9" t="s">
        <v>254</v>
      </c>
      <c r="N4" s="43" t="s">
        <v>210</v>
      </c>
      <c r="O4" s="43"/>
      <c r="P4" s="10">
        <f>COUNTA(staff[Name])</f>
        <v>183</v>
      </c>
    </row>
    <row r="5" spans="1:18" x14ac:dyDescent="0.25">
      <c r="A5" t="s">
        <v>49</v>
      </c>
      <c r="B5" t="s">
        <v>206</v>
      </c>
      <c r="C5" t="s">
        <v>21</v>
      </c>
      <c r="D5">
        <v>37</v>
      </c>
      <c r="E5" s="6">
        <v>44146</v>
      </c>
      <c r="F5" s="5">
        <v>115440</v>
      </c>
      <c r="G5" t="s">
        <v>24</v>
      </c>
      <c r="H5" t="s">
        <v>205</v>
      </c>
      <c r="I5" s="7">
        <f ca="1">(TODAY()-staff[[#This Row],[Date Joined]])/365</f>
        <v>3.0986301369863014</v>
      </c>
      <c r="J5" s="5">
        <f ca="1">IF(staff[[#This Row],[Tenure]] &gt;2,3%,2%)*staff[[#This Row],[Salary]]</f>
        <v>3463.2</v>
      </c>
      <c r="K5" s="7">
        <f>_xlfn.XLOOKUP(staff[[#This Row],[Rating]], 'Rating maping table'!$C$6:$C$10,'Rating maping table'!$D$6:$D$10)</f>
        <v>2</v>
      </c>
      <c r="N5" s="43" t="s">
        <v>208</v>
      </c>
      <c r="O5" s="43"/>
      <c r="P5" s="48">
        <f>AVERAGE(staff[Salary])</f>
        <v>77173.715846994543</v>
      </c>
    </row>
    <row r="6" spans="1:18" x14ac:dyDescent="0.25">
      <c r="A6" t="s">
        <v>65</v>
      </c>
      <c r="B6" t="s">
        <v>15</v>
      </c>
      <c r="C6" t="s">
        <v>19</v>
      </c>
      <c r="D6">
        <v>32</v>
      </c>
      <c r="E6" s="6">
        <v>44465</v>
      </c>
      <c r="F6" s="5">
        <v>53540</v>
      </c>
      <c r="G6" t="s">
        <v>16</v>
      </c>
      <c r="H6" t="s">
        <v>205</v>
      </c>
      <c r="I6" s="7">
        <f ca="1">(TODAY()-staff[[#This Row],[Date Joined]])/365</f>
        <v>2.2246575342465755</v>
      </c>
      <c r="J6" s="5">
        <f ca="1">IF(staff[[#This Row],[Tenure]] &gt;2,3%,2%)*staff[[#This Row],[Salary]]</f>
        <v>1606.2</v>
      </c>
      <c r="K6" s="7">
        <f>_xlfn.XLOOKUP(staff[[#This Row],[Rating]], 'Rating maping table'!$C$6:$C$10,'Rating maping table'!$D$6:$D$10)</f>
        <v>3</v>
      </c>
      <c r="N6" s="43" t="s">
        <v>209</v>
      </c>
      <c r="O6" s="43"/>
      <c r="P6" s="44">
        <f>AVERAGE(staff[Age])</f>
        <v>30.42622950819672</v>
      </c>
    </row>
    <row r="7" spans="1:18" x14ac:dyDescent="0.25">
      <c r="A7" t="s">
        <v>81</v>
      </c>
      <c r="B7" t="s">
        <v>8</v>
      </c>
      <c r="C7" t="s">
        <v>9</v>
      </c>
      <c r="D7">
        <v>30</v>
      </c>
      <c r="E7" s="6">
        <v>44861</v>
      </c>
      <c r="F7" s="5">
        <v>112570</v>
      </c>
      <c r="G7" t="s">
        <v>16</v>
      </c>
      <c r="H7" t="s">
        <v>205</v>
      </c>
      <c r="I7" s="7">
        <f ca="1">(TODAY()-staff[[#This Row],[Date Joined]])/365</f>
        <v>1.1397260273972603</v>
      </c>
      <c r="J7" s="5">
        <f ca="1">IF(staff[[#This Row],[Tenure]] &gt;2,3%,2%)*staff[[#This Row],[Salary]]</f>
        <v>2251.4</v>
      </c>
      <c r="K7" s="7">
        <f>_xlfn.XLOOKUP(staff[[#This Row],[Rating]], 'Rating maping table'!$C$6:$C$10,'Rating maping table'!$D$6:$D$10)</f>
        <v>3</v>
      </c>
      <c r="N7" s="43" t="s">
        <v>211</v>
      </c>
      <c r="O7" s="43"/>
      <c r="P7" s="44">
        <f ca="1">AVERAGE(staff[Tenure])</f>
        <v>2.3122389400404231</v>
      </c>
    </row>
    <row r="8" spans="1:18" x14ac:dyDescent="0.25">
      <c r="A8" t="s">
        <v>51</v>
      </c>
      <c r="B8" t="s">
        <v>15</v>
      </c>
      <c r="C8" t="s">
        <v>9</v>
      </c>
      <c r="D8">
        <v>33</v>
      </c>
      <c r="E8" s="6">
        <v>44701</v>
      </c>
      <c r="F8" s="5">
        <v>48530</v>
      </c>
      <c r="G8" t="s">
        <v>13</v>
      </c>
      <c r="H8" t="s">
        <v>205</v>
      </c>
      <c r="I8" s="7">
        <f ca="1">(TODAY()-staff[[#This Row],[Date Joined]])/365</f>
        <v>1.5780821917808219</v>
      </c>
      <c r="J8" s="5">
        <f ca="1">IF(staff[[#This Row],[Tenure]] &gt;2,3%,2%)*staff[[#This Row],[Salary]]</f>
        <v>970.6</v>
      </c>
      <c r="K8" s="7">
        <f>_xlfn.XLOOKUP(staff[[#This Row],[Rating]], 'Rating maping table'!$C$6:$C$10,'Rating maping table'!$D$6:$D$10)</f>
        <v>4</v>
      </c>
      <c r="N8" s="8" t="s">
        <v>212</v>
      </c>
      <c r="O8" s="8"/>
    </row>
    <row r="9" spans="1:18" x14ac:dyDescent="0.25">
      <c r="A9" t="s">
        <v>61</v>
      </c>
      <c r="B9" t="s">
        <v>8</v>
      </c>
      <c r="C9" t="s">
        <v>12</v>
      </c>
      <c r="D9">
        <v>24</v>
      </c>
      <c r="E9" s="6">
        <v>44148</v>
      </c>
      <c r="F9" s="5">
        <v>62780</v>
      </c>
      <c r="G9" t="s">
        <v>16</v>
      </c>
      <c r="H9" t="s">
        <v>205</v>
      </c>
      <c r="I9" s="7">
        <f ca="1">(TODAY()-staff[[#This Row],[Date Joined]])/365</f>
        <v>3.0931506849315067</v>
      </c>
      <c r="J9" s="5">
        <f ca="1">IF(staff[[#This Row],[Tenure]] &gt;2,3%,2%)*staff[[#This Row],[Salary]]</f>
        <v>1883.3999999999999</v>
      </c>
      <c r="K9" s="7">
        <f>_xlfn.XLOOKUP(staff[[#This Row],[Rating]], 'Rating maping table'!$C$6:$C$10,'Rating maping table'!$D$6:$D$10)</f>
        <v>3</v>
      </c>
      <c r="N9" s="43" t="s">
        <v>214</v>
      </c>
      <c r="O9" s="43"/>
      <c r="P9" s="46">
        <f>COUNTIFS(staff[Gender], "Female")</f>
        <v>86</v>
      </c>
    </row>
    <row r="10" spans="1:18" x14ac:dyDescent="0.25">
      <c r="A10" t="s">
        <v>82</v>
      </c>
      <c r="B10" t="s">
        <v>15</v>
      </c>
      <c r="C10" t="s">
        <v>12</v>
      </c>
      <c r="D10">
        <v>33</v>
      </c>
      <c r="E10" s="6">
        <v>44509</v>
      </c>
      <c r="F10" s="5">
        <v>53870</v>
      </c>
      <c r="G10" t="s">
        <v>16</v>
      </c>
      <c r="H10" t="s">
        <v>205</v>
      </c>
      <c r="I10" s="7">
        <f ca="1">(TODAY()-staff[[#This Row],[Date Joined]])/365</f>
        <v>2.1041095890410957</v>
      </c>
      <c r="J10" s="5">
        <f ca="1">IF(staff[[#This Row],[Tenure]] &gt;2,3%,2%)*staff[[#This Row],[Salary]]</f>
        <v>1616.1</v>
      </c>
      <c r="K10" s="7">
        <f>_xlfn.XLOOKUP(staff[[#This Row],[Rating]], 'Rating maping table'!$C$6:$C$10,'Rating maping table'!$D$6:$D$10)</f>
        <v>3</v>
      </c>
      <c r="N10" s="43" t="s">
        <v>215</v>
      </c>
      <c r="O10" s="43"/>
      <c r="P10" s="47">
        <f>P9/P4</f>
        <v>0.46994535519125685</v>
      </c>
    </row>
    <row r="11" spans="1:18" x14ac:dyDescent="0.25">
      <c r="A11" t="s">
        <v>60</v>
      </c>
      <c r="B11" t="s">
        <v>8</v>
      </c>
      <c r="C11" t="s">
        <v>56</v>
      </c>
      <c r="D11">
        <v>27</v>
      </c>
      <c r="E11" s="6">
        <v>44122</v>
      </c>
      <c r="F11" s="5">
        <v>119110</v>
      </c>
      <c r="G11" t="s">
        <v>16</v>
      </c>
      <c r="H11" t="s">
        <v>205</v>
      </c>
      <c r="I11" s="7">
        <f ca="1">(TODAY()-staff[[#This Row],[Date Joined]])/365</f>
        <v>3.1643835616438358</v>
      </c>
      <c r="J11" s="5">
        <f ca="1">IF(staff[[#This Row],[Tenure]] &gt;2,3%,2%)*staff[[#This Row],[Salary]]</f>
        <v>3573.2999999999997</v>
      </c>
      <c r="K11" s="7">
        <f>_xlfn.XLOOKUP(staff[[#This Row],[Rating]], 'Rating maping table'!$C$6:$C$10,'Rating maping table'!$D$6:$D$10)</f>
        <v>3</v>
      </c>
      <c r="N11" s="8"/>
      <c r="O11" s="8"/>
      <c r="P11" s="8"/>
      <c r="Q11" s="8"/>
      <c r="R11" s="8"/>
    </row>
    <row r="12" spans="1:18" x14ac:dyDescent="0.25">
      <c r="A12" t="s">
        <v>87</v>
      </c>
      <c r="B12" t="s">
        <v>15</v>
      </c>
      <c r="C12" t="s">
        <v>12</v>
      </c>
      <c r="D12">
        <v>29</v>
      </c>
      <c r="E12" s="6">
        <v>44180</v>
      </c>
      <c r="F12" s="5">
        <v>112110</v>
      </c>
      <c r="G12" t="s">
        <v>24</v>
      </c>
      <c r="H12" t="s">
        <v>205</v>
      </c>
      <c r="I12" s="7">
        <f ca="1">(TODAY()-staff[[#This Row],[Date Joined]])/365</f>
        <v>3.0054794520547947</v>
      </c>
      <c r="J12" s="5">
        <f ca="1">IF(staff[[#This Row],[Tenure]] &gt;2,3%,2%)*staff[[#This Row],[Salary]]</f>
        <v>3363.2999999999997</v>
      </c>
      <c r="K12" s="7">
        <f>_xlfn.XLOOKUP(staff[[#This Row],[Rating]], 'Rating maping table'!$C$6:$C$10,'Rating maping table'!$D$6:$D$10)</f>
        <v>2</v>
      </c>
      <c r="N12" s="43" t="s">
        <v>253</v>
      </c>
      <c r="O12" s="43"/>
      <c r="P12" s="38">
        <f>COUNTIFS(staff[Salary], "&gt; 90000")</f>
        <v>63</v>
      </c>
    </row>
    <row r="13" spans="1:18" x14ac:dyDescent="0.25">
      <c r="A13" t="s">
        <v>76</v>
      </c>
      <c r="B13" t="s">
        <v>15</v>
      </c>
      <c r="C13" t="s">
        <v>19</v>
      </c>
      <c r="D13">
        <v>25</v>
      </c>
      <c r="E13" s="6">
        <v>44383</v>
      </c>
      <c r="F13" s="5">
        <v>65700</v>
      </c>
      <c r="G13" t="s">
        <v>16</v>
      </c>
      <c r="H13" t="s">
        <v>205</v>
      </c>
      <c r="I13" s="7">
        <f ca="1">(TODAY()-staff[[#This Row],[Date Joined]])/365</f>
        <v>2.4493150684931506</v>
      </c>
      <c r="J13" s="5">
        <f ca="1">IF(staff[[#This Row],[Tenure]] &gt;2,3%,2%)*staff[[#This Row],[Salary]]</f>
        <v>1971</v>
      </c>
      <c r="K13" s="7">
        <f>_xlfn.XLOOKUP(staff[[#This Row],[Rating]], 'Rating maping table'!$C$6:$C$10,'Rating maping table'!$D$6:$D$10)</f>
        <v>3</v>
      </c>
      <c r="N13" s="43" t="s">
        <v>216</v>
      </c>
      <c r="O13" s="43"/>
      <c r="P13" s="45">
        <f>P12/P4</f>
        <v>0.34426229508196721</v>
      </c>
    </row>
    <row r="14" spans="1:18" x14ac:dyDescent="0.25">
      <c r="A14" t="s">
        <v>97</v>
      </c>
      <c r="B14" t="s">
        <v>15</v>
      </c>
      <c r="C14" t="s">
        <v>12</v>
      </c>
      <c r="D14">
        <v>37</v>
      </c>
      <c r="E14" s="6">
        <v>44701</v>
      </c>
      <c r="F14" s="5">
        <v>69070</v>
      </c>
      <c r="G14" t="s">
        <v>16</v>
      </c>
      <c r="H14" t="s">
        <v>205</v>
      </c>
      <c r="I14" s="7">
        <f ca="1">(TODAY()-staff[[#This Row],[Date Joined]])/365</f>
        <v>1.5780821917808219</v>
      </c>
      <c r="J14" s="5">
        <f ca="1">IF(staff[[#This Row],[Tenure]] &gt;2,3%,2%)*staff[[#This Row],[Salary]]</f>
        <v>1381.4</v>
      </c>
      <c r="K14" s="7">
        <f>_xlfn.XLOOKUP(staff[[#This Row],[Rating]], 'Rating maping table'!$C$6:$C$10,'Rating maping table'!$D$6:$D$10)</f>
        <v>3</v>
      </c>
    </row>
    <row r="15" spans="1:18" x14ac:dyDescent="0.25">
      <c r="A15" t="s">
        <v>22</v>
      </c>
      <c r="B15" t="s">
        <v>15</v>
      </c>
      <c r="C15" t="s">
        <v>12</v>
      </c>
      <c r="D15">
        <v>20</v>
      </c>
      <c r="E15" s="6">
        <v>44459</v>
      </c>
      <c r="F15" s="5">
        <v>107700</v>
      </c>
      <c r="G15" t="s">
        <v>16</v>
      </c>
      <c r="H15" t="s">
        <v>205</v>
      </c>
      <c r="I15" s="7">
        <f ca="1">(TODAY()-staff[[#This Row],[Date Joined]])/365</f>
        <v>2.2410958904109588</v>
      </c>
      <c r="J15" s="5">
        <f ca="1">IF(staff[[#This Row],[Tenure]] &gt;2,3%,2%)*staff[[#This Row],[Salary]]</f>
        <v>3231</v>
      </c>
      <c r="K15" s="7">
        <f>_xlfn.XLOOKUP(staff[[#This Row],[Rating]], 'Rating maping table'!$C$6:$C$10,'Rating maping table'!$D$6:$D$10)</f>
        <v>3</v>
      </c>
    </row>
    <row r="16" spans="1:18" x14ac:dyDescent="0.25">
      <c r="A16" t="s">
        <v>84</v>
      </c>
      <c r="B16" t="s">
        <v>8</v>
      </c>
      <c r="C16" t="s">
        <v>12</v>
      </c>
      <c r="D16">
        <v>32</v>
      </c>
      <c r="E16" s="6">
        <v>44354</v>
      </c>
      <c r="F16" s="5">
        <v>43840</v>
      </c>
      <c r="G16" t="s">
        <v>13</v>
      </c>
      <c r="H16" t="s">
        <v>205</v>
      </c>
      <c r="I16" s="7">
        <f ca="1">(TODAY()-staff[[#This Row],[Date Joined]])/365</f>
        <v>2.5287671232876714</v>
      </c>
      <c r="J16" s="5">
        <f ca="1">IF(staff[[#This Row],[Tenure]] &gt;2,3%,2%)*staff[[#This Row],[Salary]]</f>
        <v>1315.2</v>
      </c>
      <c r="K16" s="7">
        <f>_xlfn.XLOOKUP(staff[[#This Row],[Rating]], 'Rating maping table'!$C$6:$C$10,'Rating maping table'!$D$6:$D$10)</f>
        <v>4</v>
      </c>
    </row>
    <row r="17" spans="1:21" x14ac:dyDescent="0.25">
      <c r="A17" t="s">
        <v>105</v>
      </c>
      <c r="B17" t="s">
        <v>15</v>
      </c>
      <c r="C17" t="s">
        <v>9</v>
      </c>
      <c r="D17">
        <v>40</v>
      </c>
      <c r="E17" s="6">
        <v>44263</v>
      </c>
      <c r="F17" s="5">
        <v>99750</v>
      </c>
      <c r="G17" t="s">
        <v>16</v>
      </c>
      <c r="H17" t="s">
        <v>205</v>
      </c>
      <c r="I17" s="7">
        <f ca="1">(TODAY()-staff[[#This Row],[Date Joined]])/365</f>
        <v>2.7780821917808218</v>
      </c>
      <c r="J17" s="5">
        <f ca="1">IF(staff[[#This Row],[Tenure]] &gt;2,3%,2%)*staff[[#This Row],[Salary]]</f>
        <v>2992.5</v>
      </c>
      <c r="K17" s="7">
        <f>_xlfn.XLOOKUP(staff[[#This Row],[Rating]], 'Rating maping table'!$C$6:$C$10,'Rating maping table'!$D$6:$D$10)</f>
        <v>3</v>
      </c>
      <c r="M17" s="9" t="s">
        <v>255</v>
      </c>
      <c r="N17" s="49" t="s">
        <v>217</v>
      </c>
      <c r="O17" s="49"/>
      <c r="P17" s="10" t="s">
        <v>48</v>
      </c>
    </row>
    <row r="18" spans="1:21" x14ac:dyDescent="0.25">
      <c r="A18" t="s">
        <v>47</v>
      </c>
      <c r="B18" t="s">
        <v>15</v>
      </c>
      <c r="C18" t="s">
        <v>9</v>
      </c>
      <c r="D18">
        <v>21</v>
      </c>
      <c r="E18" s="6">
        <v>44104</v>
      </c>
      <c r="F18" s="5">
        <v>37920</v>
      </c>
      <c r="G18" t="s">
        <v>16</v>
      </c>
      <c r="H18" t="s">
        <v>205</v>
      </c>
      <c r="I18" s="7">
        <f ca="1">(TODAY()-staff[[#This Row],[Date Joined]])/365</f>
        <v>3.2136986301369861</v>
      </c>
      <c r="J18" s="5">
        <f ca="1">IF(staff[[#This Row],[Tenure]] &gt;2,3%,2%)*staff[[#This Row],[Salary]]</f>
        <v>1137.5999999999999</v>
      </c>
      <c r="K18" s="7">
        <f>_xlfn.XLOOKUP(staff[[#This Row],[Rating]], 'Rating maping table'!$C$6:$C$10,'Rating maping table'!$D$6:$D$10)</f>
        <v>3</v>
      </c>
    </row>
    <row r="19" spans="1:21" x14ac:dyDescent="0.25">
      <c r="A19" t="s">
        <v>31</v>
      </c>
      <c r="B19" t="s">
        <v>15</v>
      </c>
      <c r="C19" t="s">
        <v>9</v>
      </c>
      <c r="D19">
        <v>21</v>
      </c>
      <c r="E19" s="6">
        <v>44762</v>
      </c>
      <c r="F19" s="5">
        <v>57090</v>
      </c>
      <c r="G19" t="s">
        <v>16</v>
      </c>
      <c r="H19" t="s">
        <v>205</v>
      </c>
      <c r="I19" s="7">
        <f ca="1">(TODAY()-staff[[#This Row],[Date Joined]])/365</f>
        <v>1.4109589041095891</v>
      </c>
      <c r="J19" s="5">
        <f ca="1">IF(staff[[#This Row],[Tenure]] &gt;2,3%,2%)*staff[[#This Row],[Salary]]</f>
        <v>1141.8</v>
      </c>
      <c r="K19" s="7">
        <f>_xlfn.XLOOKUP(staff[[#This Row],[Rating]], 'Rating maping table'!$C$6:$C$10,'Rating maping table'!$D$6:$D$10)</f>
        <v>3</v>
      </c>
      <c r="N19" s="50" t="s">
        <v>1</v>
      </c>
      <c r="O19" s="51" t="str" cm="1">
        <f t="array" aca="1" ref="O19:O26" ca="1">TRANSPOSE(_xlfn.XLOOKUP(P17, staff[Name], staff[[Gender]:[Tenure]]))</f>
        <v>Female</v>
      </c>
    </row>
    <row r="20" spans="1:21" x14ac:dyDescent="0.25">
      <c r="A20" t="s">
        <v>30</v>
      </c>
      <c r="B20" t="s">
        <v>8</v>
      </c>
      <c r="C20" t="s">
        <v>12</v>
      </c>
      <c r="D20">
        <v>31</v>
      </c>
      <c r="E20" s="6">
        <v>44145</v>
      </c>
      <c r="F20" s="5">
        <v>41980</v>
      </c>
      <c r="G20" t="s">
        <v>16</v>
      </c>
      <c r="H20" t="s">
        <v>205</v>
      </c>
      <c r="I20" s="7">
        <f ca="1">(TODAY()-staff[[#This Row],[Date Joined]])/365</f>
        <v>3.1013698630136988</v>
      </c>
      <c r="J20" s="5">
        <f ca="1">IF(staff[[#This Row],[Tenure]] &gt;2,3%,2%)*staff[[#This Row],[Salary]]</f>
        <v>1259.3999999999999</v>
      </c>
      <c r="K20" s="7">
        <f>_xlfn.XLOOKUP(staff[[#This Row],[Rating]], 'Rating maping table'!$C$6:$C$10,'Rating maping table'!$D$6:$D$10)</f>
        <v>3</v>
      </c>
      <c r="N20" s="50" t="s">
        <v>2</v>
      </c>
      <c r="O20" s="51" t="str">
        <f ca="1"/>
        <v>Sales</v>
      </c>
      <c r="P20" s="54"/>
      <c r="Q20" s="55"/>
      <c r="R20" s="55"/>
      <c r="S20" s="55"/>
      <c r="T20" s="55"/>
      <c r="U20" s="55"/>
    </row>
    <row r="21" spans="1:21" x14ac:dyDescent="0.25">
      <c r="A21" t="s">
        <v>78</v>
      </c>
      <c r="B21" t="s">
        <v>15</v>
      </c>
      <c r="C21" t="s">
        <v>56</v>
      </c>
      <c r="D21">
        <v>21</v>
      </c>
      <c r="E21" s="6">
        <v>44242</v>
      </c>
      <c r="F21" s="5">
        <v>75880</v>
      </c>
      <c r="G21" t="s">
        <v>16</v>
      </c>
      <c r="H21" t="s">
        <v>205</v>
      </c>
      <c r="I21" s="7">
        <f ca="1">(TODAY()-staff[[#This Row],[Date Joined]])/365</f>
        <v>2.8356164383561642</v>
      </c>
      <c r="J21" s="5">
        <f ca="1">IF(staff[[#This Row],[Tenure]] &gt;2,3%,2%)*staff[[#This Row],[Salary]]</f>
        <v>2276.4</v>
      </c>
      <c r="K21" s="7">
        <f>_xlfn.XLOOKUP(staff[[#This Row],[Rating]], 'Rating maping table'!$C$6:$C$10,'Rating maping table'!$D$6:$D$10)</f>
        <v>3</v>
      </c>
      <c r="N21" s="50" t="s">
        <v>3</v>
      </c>
      <c r="O21" s="51">
        <f ca="1"/>
        <v>36</v>
      </c>
      <c r="P21" s="56"/>
      <c r="Q21" s="57"/>
      <c r="R21" s="58"/>
      <c r="S21" s="59"/>
      <c r="T21" s="59"/>
      <c r="U21" s="59"/>
    </row>
    <row r="22" spans="1:21" x14ac:dyDescent="0.25">
      <c r="A22" t="s">
        <v>36</v>
      </c>
      <c r="B22" t="s">
        <v>8</v>
      </c>
      <c r="C22" t="s">
        <v>21</v>
      </c>
      <c r="D22">
        <v>34</v>
      </c>
      <c r="E22" s="6">
        <v>44653</v>
      </c>
      <c r="F22" s="5">
        <v>58940</v>
      </c>
      <c r="G22" t="s">
        <v>16</v>
      </c>
      <c r="H22" t="s">
        <v>205</v>
      </c>
      <c r="I22" s="7">
        <f ca="1">(TODAY()-staff[[#This Row],[Date Joined]])/365</f>
        <v>1.7095890410958905</v>
      </c>
      <c r="J22" s="5">
        <f ca="1">IF(staff[[#This Row],[Tenure]] &gt;2,3%,2%)*staff[[#This Row],[Salary]]</f>
        <v>1178.8</v>
      </c>
      <c r="K22" s="7">
        <f>_xlfn.XLOOKUP(staff[[#This Row],[Rating]], 'Rating maping table'!$C$6:$C$10,'Rating maping table'!$D$6:$D$10)</f>
        <v>3</v>
      </c>
      <c r="N22" s="50" t="s">
        <v>4</v>
      </c>
      <c r="O22" s="52">
        <f ca="1"/>
        <v>44494</v>
      </c>
    </row>
    <row r="23" spans="1:21" x14ac:dyDescent="0.25">
      <c r="A23" t="s">
        <v>27</v>
      </c>
      <c r="B23" t="s">
        <v>8</v>
      </c>
      <c r="C23" t="s">
        <v>21</v>
      </c>
      <c r="D23">
        <v>30</v>
      </c>
      <c r="E23" s="6">
        <v>44389</v>
      </c>
      <c r="F23" s="5">
        <v>67910</v>
      </c>
      <c r="G23" t="s">
        <v>24</v>
      </c>
      <c r="H23" t="s">
        <v>205</v>
      </c>
      <c r="I23" s="7">
        <f ca="1">(TODAY()-staff[[#This Row],[Date Joined]])/365</f>
        <v>2.4328767123287673</v>
      </c>
      <c r="J23" s="5">
        <f ca="1">IF(staff[[#This Row],[Tenure]] &gt;2,3%,2%)*staff[[#This Row],[Salary]]</f>
        <v>2037.3</v>
      </c>
      <c r="K23" s="7">
        <f>_xlfn.XLOOKUP(staff[[#This Row],[Rating]], 'Rating maping table'!$C$6:$C$10,'Rating maping table'!$D$6:$D$10)</f>
        <v>2</v>
      </c>
      <c r="N23" s="50" t="s">
        <v>5</v>
      </c>
      <c r="O23" s="53">
        <f ca="1"/>
        <v>78540</v>
      </c>
    </row>
    <row r="24" spans="1:21" x14ac:dyDescent="0.25">
      <c r="A24" t="s">
        <v>26</v>
      </c>
      <c r="B24" t="s">
        <v>8</v>
      </c>
      <c r="C24" t="s">
        <v>12</v>
      </c>
      <c r="D24">
        <v>31</v>
      </c>
      <c r="E24" s="6">
        <v>44663</v>
      </c>
      <c r="F24" s="5">
        <v>58100</v>
      </c>
      <c r="G24" t="s">
        <v>16</v>
      </c>
      <c r="H24" t="s">
        <v>205</v>
      </c>
      <c r="I24" s="7">
        <f ca="1">(TODAY()-staff[[#This Row],[Date Joined]])/365</f>
        <v>1.6821917808219178</v>
      </c>
      <c r="J24" s="5">
        <f ca="1">IF(staff[[#This Row],[Tenure]] &gt;2,3%,2%)*staff[[#This Row],[Salary]]</f>
        <v>1162</v>
      </c>
      <c r="K24" s="7">
        <f>_xlfn.XLOOKUP(staff[[#This Row],[Rating]], 'Rating maping table'!$C$6:$C$10,'Rating maping table'!$D$6:$D$10)</f>
        <v>3</v>
      </c>
      <c r="N24" s="50" t="s">
        <v>6</v>
      </c>
      <c r="O24" s="51" t="str">
        <f ca="1"/>
        <v>Average</v>
      </c>
    </row>
    <row r="25" spans="1:21" x14ac:dyDescent="0.25">
      <c r="A25" t="s">
        <v>53</v>
      </c>
      <c r="B25" t="s">
        <v>15</v>
      </c>
      <c r="C25" t="s">
        <v>21</v>
      </c>
      <c r="D25">
        <v>27</v>
      </c>
      <c r="E25" s="6">
        <v>44567</v>
      </c>
      <c r="F25" s="5">
        <v>48980</v>
      </c>
      <c r="G25" t="s">
        <v>16</v>
      </c>
      <c r="H25" t="s">
        <v>205</v>
      </c>
      <c r="I25" s="7">
        <f ca="1">(TODAY()-staff[[#This Row],[Date Joined]])/365</f>
        <v>1.9452054794520548</v>
      </c>
      <c r="J25" s="5">
        <f ca="1">IF(staff[[#This Row],[Tenure]] &gt;2,3%,2%)*staff[[#This Row],[Salary]]</f>
        <v>979.6</v>
      </c>
      <c r="K25" s="7">
        <f>_xlfn.XLOOKUP(staff[[#This Row],[Rating]], 'Rating maping table'!$C$6:$C$10,'Rating maping table'!$D$6:$D$10)</f>
        <v>3</v>
      </c>
      <c r="N25" s="50" t="s">
        <v>204</v>
      </c>
      <c r="O25" s="51" t="str">
        <f ca="1"/>
        <v>NZ</v>
      </c>
    </row>
    <row r="26" spans="1:21" x14ac:dyDescent="0.25">
      <c r="A26" t="s">
        <v>20</v>
      </c>
      <c r="B26" t="s">
        <v>206</v>
      </c>
      <c r="C26" t="s">
        <v>21</v>
      </c>
      <c r="D26">
        <v>30</v>
      </c>
      <c r="E26" s="6">
        <v>44597</v>
      </c>
      <c r="F26" s="5">
        <v>64000</v>
      </c>
      <c r="G26" t="s">
        <v>16</v>
      </c>
      <c r="H26" t="s">
        <v>205</v>
      </c>
      <c r="I26" s="7">
        <f ca="1">(TODAY()-staff[[#This Row],[Date Joined]])/365</f>
        <v>1.8630136986301369</v>
      </c>
      <c r="J26" s="5">
        <f ca="1">IF(staff[[#This Row],[Tenure]] &gt;2,3%,2%)*staff[[#This Row],[Salary]]</f>
        <v>1280</v>
      </c>
      <c r="K26" s="7">
        <f>_xlfn.XLOOKUP(staff[[#This Row],[Rating]], 'Rating maping table'!$C$6:$C$10,'Rating maping table'!$D$6:$D$10)</f>
        <v>3</v>
      </c>
      <c r="N26" s="50" t="s">
        <v>213</v>
      </c>
      <c r="O26" s="51">
        <f ca="1"/>
        <v>2.1452054794520548</v>
      </c>
    </row>
    <row r="27" spans="1:21" x14ac:dyDescent="0.25">
      <c r="A27" t="s">
        <v>7</v>
      </c>
      <c r="B27" t="s">
        <v>8</v>
      </c>
      <c r="C27" t="s">
        <v>9</v>
      </c>
      <c r="D27">
        <v>42</v>
      </c>
      <c r="E27" s="6">
        <v>44779</v>
      </c>
      <c r="F27" s="5">
        <v>75000</v>
      </c>
      <c r="G27" t="s">
        <v>10</v>
      </c>
      <c r="H27" t="s">
        <v>205</v>
      </c>
      <c r="I27" s="7">
        <f ca="1">(TODAY()-staff[[#This Row],[Date Joined]])/365</f>
        <v>1.3643835616438356</v>
      </c>
      <c r="J27" s="5">
        <f ca="1">IF(staff[[#This Row],[Tenure]] &gt;2,3%,2%)*staff[[#This Row],[Salary]]</f>
        <v>1500</v>
      </c>
      <c r="K27" s="7">
        <f>_xlfn.XLOOKUP(staff[[#This Row],[Rating]], 'Rating maping table'!$C$6:$C$10,'Rating maping table'!$D$6:$D$10)</f>
        <v>5</v>
      </c>
    </row>
    <row r="28" spans="1:21" x14ac:dyDescent="0.25">
      <c r="A28" t="s">
        <v>74</v>
      </c>
      <c r="B28" t="s">
        <v>8</v>
      </c>
      <c r="C28" t="s">
        <v>12</v>
      </c>
      <c r="D28">
        <v>40</v>
      </c>
      <c r="E28" s="6">
        <v>44337</v>
      </c>
      <c r="F28" s="5">
        <v>87620</v>
      </c>
      <c r="G28" t="s">
        <v>16</v>
      </c>
      <c r="H28" t="s">
        <v>205</v>
      </c>
      <c r="I28" s="7">
        <f ca="1">(TODAY()-staff[[#This Row],[Date Joined]])/365</f>
        <v>2.5753424657534247</v>
      </c>
      <c r="J28" s="5">
        <f ca="1">IF(staff[[#This Row],[Tenure]] &gt;2,3%,2%)*staff[[#This Row],[Salary]]</f>
        <v>2628.6</v>
      </c>
      <c r="K28" s="7">
        <f>_xlfn.XLOOKUP(staff[[#This Row],[Rating]], 'Rating maping table'!$C$6:$C$10,'Rating maping table'!$D$6:$D$10)</f>
        <v>3</v>
      </c>
    </row>
    <row r="29" spans="1:21" x14ac:dyDescent="0.25">
      <c r="A29" t="s">
        <v>44</v>
      </c>
      <c r="B29" t="s">
        <v>8</v>
      </c>
      <c r="C29" t="s">
        <v>12</v>
      </c>
      <c r="D29">
        <v>29</v>
      </c>
      <c r="E29" s="6">
        <v>44023</v>
      </c>
      <c r="F29" s="5">
        <v>34980</v>
      </c>
      <c r="G29" t="s">
        <v>16</v>
      </c>
      <c r="H29" t="s">
        <v>205</v>
      </c>
      <c r="I29" s="7">
        <f ca="1">(TODAY()-staff[[#This Row],[Date Joined]])/365</f>
        <v>3.4356164383561643</v>
      </c>
      <c r="J29" s="5">
        <f ca="1">IF(staff[[#This Row],[Tenure]] &gt;2,3%,2%)*staff[[#This Row],[Salary]]</f>
        <v>1049.3999999999999</v>
      </c>
      <c r="K29" s="7">
        <f>_xlfn.XLOOKUP(staff[[#This Row],[Rating]], 'Rating maping table'!$C$6:$C$10,'Rating maping table'!$D$6:$D$10)</f>
        <v>3</v>
      </c>
    </row>
    <row r="30" spans="1:21" x14ac:dyDescent="0.25">
      <c r="A30" t="s">
        <v>35</v>
      </c>
      <c r="B30" t="s">
        <v>8</v>
      </c>
      <c r="C30" t="s">
        <v>21</v>
      </c>
      <c r="D30">
        <v>28</v>
      </c>
      <c r="E30" s="6">
        <v>44185</v>
      </c>
      <c r="F30" s="5">
        <v>75970</v>
      </c>
      <c r="G30" t="s">
        <v>16</v>
      </c>
      <c r="H30" t="s">
        <v>205</v>
      </c>
      <c r="I30" s="7">
        <f ca="1">(TODAY()-staff[[#This Row],[Date Joined]])/365</f>
        <v>2.9917808219178084</v>
      </c>
      <c r="J30" s="5">
        <f ca="1">IF(staff[[#This Row],[Tenure]] &gt;2,3%,2%)*staff[[#This Row],[Salary]]</f>
        <v>2279.1</v>
      </c>
      <c r="K30" s="7">
        <f>_xlfn.XLOOKUP(staff[[#This Row],[Rating]], 'Rating maping table'!$C$6:$C$10,'Rating maping table'!$D$6:$D$10)</f>
        <v>3</v>
      </c>
    </row>
    <row r="31" spans="1:21" x14ac:dyDescent="0.25">
      <c r="A31" t="s">
        <v>38</v>
      </c>
      <c r="B31" t="s">
        <v>8</v>
      </c>
      <c r="C31" t="s">
        <v>21</v>
      </c>
      <c r="D31">
        <v>34</v>
      </c>
      <c r="E31" s="6">
        <v>44612</v>
      </c>
      <c r="F31" s="5">
        <v>60130</v>
      </c>
      <c r="G31" t="s">
        <v>16</v>
      </c>
      <c r="H31" t="s">
        <v>205</v>
      </c>
      <c r="I31" s="7">
        <f ca="1">(TODAY()-staff[[#This Row],[Date Joined]])/365</f>
        <v>1.821917808219178</v>
      </c>
      <c r="J31" s="5">
        <f ca="1">IF(staff[[#This Row],[Tenure]] &gt;2,3%,2%)*staff[[#This Row],[Salary]]</f>
        <v>1202.6000000000001</v>
      </c>
      <c r="K31" s="7">
        <f>_xlfn.XLOOKUP(staff[[#This Row],[Rating]], 'Rating maping table'!$C$6:$C$10,'Rating maping table'!$D$6:$D$10)</f>
        <v>3</v>
      </c>
    </row>
    <row r="32" spans="1:21" x14ac:dyDescent="0.25">
      <c r="A32" t="s">
        <v>41</v>
      </c>
      <c r="B32" t="s">
        <v>8</v>
      </c>
      <c r="C32" t="s">
        <v>12</v>
      </c>
      <c r="D32">
        <v>33</v>
      </c>
      <c r="E32" s="6">
        <v>44374</v>
      </c>
      <c r="F32" s="5">
        <v>75480</v>
      </c>
      <c r="G32" t="s">
        <v>42</v>
      </c>
      <c r="H32" t="s">
        <v>205</v>
      </c>
      <c r="I32" s="7">
        <f ca="1">(TODAY()-staff[[#This Row],[Date Joined]])/365</f>
        <v>2.473972602739726</v>
      </c>
      <c r="J32" s="5">
        <f ca="1">IF(staff[[#This Row],[Tenure]] &gt;2,3%,2%)*staff[[#This Row],[Salary]]</f>
        <v>2264.4</v>
      </c>
      <c r="K32" s="7">
        <f>_xlfn.XLOOKUP(staff[[#This Row],[Rating]], 'Rating maping table'!$C$6:$C$10,'Rating maping table'!$D$6:$D$10)</f>
        <v>1</v>
      </c>
    </row>
    <row r="33" spans="1:11" x14ac:dyDescent="0.25">
      <c r="A33" t="s">
        <v>40</v>
      </c>
      <c r="B33" t="s">
        <v>15</v>
      </c>
      <c r="C33" t="s">
        <v>9</v>
      </c>
      <c r="D33">
        <v>33</v>
      </c>
      <c r="E33" s="6">
        <v>44164</v>
      </c>
      <c r="F33" s="5">
        <v>115920</v>
      </c>
      <c r="G33" t="s">
        <v>16</v>
      </c>
      <c r="H33" t="s">
        <v>205</v>
      </c>
      <c r="I33" s="7">
        <f ca="1">(TODAY()-staff[[#This Row],[Date Joined]])/365</f>
        <v>3.0493150684931507</v>
      </c>
      <c r="J33" s="5">
        <f ca="1">IF(staff[[#This Row],[Tenure]] &gt;2,3%,2%)*staff[[#This Row],[Salary]]</f>
        <v>3477.6</v>
      </c>
      <c r="K33" s="7">
        <f>_xlfn.XLOOKUP(staff[[#This Row],[Rating]], 'Rating maping table'!$C$6:$C$10,'Rating maping table'!$D$6:$D$10)</f>
        <v>3</v>
      </c>
    </row>
    <row r="34" spans="1:11" x14ac:dyDescent="0.25">
      <c r="A34" t="s">
        <v>48</v>
      </c>
      <c r="B34" t="s">
        <v>8</v>
      </c>
      <c r="C34" t="s">
        <v>19</v>
      </c>
      <c r="D34">
        <v>36</v>
      </c>
      <c r="E34" s="6">
        <v>44494</v>
      </c>
      <c r="F34" s="5">
        <v>78540</v>
      </c>
      <c r="G34" t="s">
        <v>16</v>
      </c>
      <c r="H34" t="s">
        <v>205</v>
      </c>
      <c r="I34" s="7">
        <f ca="1">(TODAY()-staff[[#This Row],[Date Joined]])/365</f>
        <v>2.1452054794520548</v>
      </c>
      <c r="J34" s="5">
        <f ca="1">IF(staff[[#This Row],[Tenure]] &gt;2,3%,2%)*staff[[#This Row],[Salary]]</f>
        <v>2356.1999999999998</v>
      </c>
      <c r="K34" s="7">
        <f>_xlfn.XLOOKUP(staff[[#This Row],[Rating]], 'Rating maping table'!$C$6:$C$10,'Rating maping table'!$D$6:$D$10)</f>
        <v>3</v>
      </c>
    </row>
    <row r="35" spans="1:11" x14ac:dyDescent="0.25">
      <c r="A35" t="s">
        <v>34</v>
      </c>
      <c r="B35" t="s">
        <v>15</v>
      </c>
      <c r="C35" t="s">
        <v>9</v>
      </c>
      <c r="D35">
        <v>25</v>
      </c>
      <c r="E35" s="6">
        <v>44726</v>
      </c>
      <c r="F35" s="5">
        <v>109190</v>
      </c>
      <c r="G35" t="s">
        <v>13</v>
      </c>
      <c r="H35" t="s">
        <v>205</v>
      </c>
      <c r="I35" s="7">
        <f ca="1">(TODAY()-staff[[#This Row],[Date Joined]])/365</f>
        <v>1.5095890410958903</v>
      </c>
      <c r="J35" s="5">
        <f ca="1">IF(staff[[#This Row],[Tenure]] &gt;2,3%,2%)*staff[[#This Row],[Salary]]</f>
        <v>2183.8000000000002</v>
      </c>
      <c r="K35" s="7">
        <f>_xlfn.XLOOKUP(staff[[#This Row],[Rating]], 'Rating maping table'!$C$6:$C$10,'Rating maping table'!$D$6:$D$10)</f>
        <v>4</v>
      </c>
    </row>
    <row r="36" spans="1:11" x14ac:dyDescent="0.25">
      <c r="A36" t="s">
        <v>73</v>
      </c>
      <c r="B36" t="s">
        <v>8</v>
      </c>
      <c r="C36" t="s">
        <v>19</v>
      </c>
      <c r="D36">
        <v>34</v>
      </c>
      <c r="E36" s="6">
        <v>44721</v>
      </c>
      <c r="F36" s="5">
        <v>49630</v>
      </c>
      <c r="G36" t="s">
        <v>24</v>
      </c>
      <c r="H36" t="s">
        <v>205</v>
      </c>
      <c r="I36" s="7">
        <f ca="1">(TODAY()-staff[[#This Row],[Date Joined]])/365</f>
        <v>1.5232876712328767</v>
      </c>
      <c r="J36" s="5">
        <f ca="1">IF(staff[[#This Row],[Tenure]] &gt;2,3%,2%)*staff[[#This Row],[Salary]]</f>
        <v>992.6</v>
      </c>
      <c r="K36" s="7">
        <f>_xlfn.XLOOKUP(staff[[#This Row],[Rating]], 'Rating maping table'!$C$6:$C$10,'Rating maping table'!$D$6:$D$10)</f>
        <v>2</v>
      </c>
    </row>
    <row r="37" spans="1:11" x14ac:dyDescent="0.25">
      <c r="A37" t="s">
        <v>107</v>
      </c>
      <c r="B37" t="s">
        <v>8</v>
      </c>
      <c r="C37" t="s">
        <v>9</v>
      </c>
      <c r="D37">
        <v>28</v>
      </c>
      <c r="E37" s="6">
        <v>44630</v>
      </c>
      <c r="F37" s="5">
        <v>99970</v>
      </c>
      <c r="G37" t="s">
        <v>16</v>
      </c>
      <c r="H37" t="s">
        <v>205</v>
      </c>
      <c r="I37" s="7">
        <f ca="1">(TODAY()-staff[[#This Row],[Date Joined]])/365</f>
        <v>1.7726027397260273</v>
      </c>
      <c r="J37" s="5">
        <f ca="1">IF(staff[[#This Row],[Tenure]] &gt;2,3%,2%)*staff[[#This Row],[Salary]]</f>
        <v>1999.4</v>
      </c>
      <c r="K37" s="7">
        <f>_xlfn.XLOOKUP(staff[[#This Row],[Rating]], 'Rating maping table'!$C$6:$C$10,'Rating maping table'!$D$6:$D$10)</f>
        <v>3</v>
      </c>
    </row>
    <row r="38" spans="1:11" x14ac:dyDescent="0.25">
      <c r="A38" t="s">
        <v>71</v>
      </c>
      <c r="B38" t="s">
        <v>8</v>
      </c>
      <c r="C38" t="s">
        <v>12</v>
      </c>
      <c r="D38">
        <v>33</v>
      </c>
      <c r="E38" s="6">
        <v>44190</v>
      </c>
      <c r="F38" s="5">
        <v>96140</v>
      </c>
      <c r="G38" t="s">
        <v>16</v>
      </c>
      <c r="H38" t="s">
        <v>205</v>
      </c>
      <c r="I38" s="7">
        <f ca="1">(TODAY()-staff[[#This Row],[Date Joined]])/365</f>
        <v>2.978082191780822</v>
      </c>
      <c r="J38" s="5">
        <f ca="1">IF(staff[[#This Row],[Tenure]] &gt;2,3%,2%)*staff[[#This Row],[Salary]]</f>
        <v>2884.2</v>
      </c>
      <c r="K38" s="7">
        <f>_xlfn.XLOOKUP(staff[[#This Row],[Rating]], 'Rating maping table'!$C$6:$C$10,'Rating maping table'!$D$6:$D$10)</f>
        <v>3</v>
      </c>
    </row>
    <row r="39" spans="1:11" x14ac:dyDescent="0.25">
      <c r="A39" t="s">
        <v>50</v>
      </c>
      <c r="B39" t="s">
        <v>15</v>
      </c>
      <c r="C39" t="s">
        <v>9</v>
      </c>
      <c r="D39">
        <v>31</v>
      </c>
      <c r="E39" s="6">
        <v>44724</v>
      </c>
      <c r="F39" s="5">
        <v>103550</v>
      </c>
      <c r="G39" t="s">
        <v>16</v>
      </c>
      <c r="H39" t="s">
        <v>205</v>
      </c>
      <c r="I39" s="7">
        <f ca="1">(TODAY()-staff[[#This Row],[Date Joined]])/365</f>
        <v>1.515068493150685</v>
      </c>
      <c r="J39" s="5">
        <f ca="1">IF(staff[[#This Row],[Tenure]] &gt;2,3%,2%)*staff[[#This Row],[Salary]]</f>
        <v>2071</v>
      </c>
      <c r="K39" s="7">
        <f>_xlfn.XLOOKUP(staff[[#This Row],[Rating]], 'Rating maping table'!$C$6:$C$10,'Rating maping table'!$D$6:$D$10)</f>
        <v>3</v>
      </c>
    </row>
    <row r="40" spans="1:11" x14ac:dyDescent="0.25">
      <c r="A40" t="s">
        <v>14</v>
      </c>
      <c r="B40" t="s">
        <v>15</v>
      </c>
      <c r="C40" t="s">
        <v>12</v>
      </c>
      <c r="D40">
        <v>31</v>
      </c>
      <c r="E40" s="6">
        <v>44511</v>
      </c>
      <c r="F40" s="5">
        <v>48950</v>
      </c>
      <c r="G40" t="s">
        <v>16</v>
      </c>
      <c r="H40" t="s">
        <v>205</v>
      </c>
      <c r="I40" s="7">
        <f ca="1">(TODAY()-staff[[#This Row],[Date Joined]])/365</f>
        <v>2.0986301369863014</v>
      </c>
      <c r="J40" s="5">
        <f ca="1">IF(staff[[#This Row],[Tenure]] &gt;2,3%,2%)*staff[[#This Row],[Salary]]</f>
        <v>1468.5</v>
      </c>
      <c r="K40" s="7">
        <f>_xlfn.XLOOKUP(staff[[#This Row],[Rating]], 'Rating maping table'!$C$6:$C$10,'Rating maping table'!$D$6:$D$10)</f>
        <v>3</v>
      </c>
    </row>
    <row r="41" spans="1:11" x14ac:dyDescent="0.25">
      <c r="A41" t="s">
        <v>63</v>
      </c>
      <c r="B41" t="s">
        <v>15</v>
      </c>
      <c r="C41" t="s">
        <v>21</v>
      </c>
      <c r="D41">
        <v>24</v>
      </c>
      <c r="E41" s="6">
        <v>44436</v>
      </c>
      <c r="F41" s="5">
        <v>52610</v>
      </c>
      <c r="G41" t="s">
        <v>24</v>
      </c>
      <c r="H41" t="s">
        <v>205</v>
      </c>
      <c r="I41" s="7">
        <f ca="1">(TODAY()-staff[[#This Row],[Date Joined]])/365</f>
        <v>2.3041095890410959</v>
      </c>
      <c r="J41" s="5">
        <f ca="1">IF(staff[[#This Row],[Tenure]] &gt;2,3%,2%)*staff[[#This Row],[Salary]]</f>
        <v>1578.3</v>
      </c>
      <c r="K41" s="7">
        <f>_xlfn.XLOOKUP(staff[[#This Row],[Rating]], 'Rating maping table'!$C$6:$C$10,'Rating maping table'!$D$6:$D$10)</f>
        <v>2</v>
      </c>
    </row>
    <row r="42" spans="1:11" x14ac:dyDescent="0.25">
      <c r="A42" t="s">
        <v>72</v>
      </c>
      <c r="B42" t="s">
        <v>8</v>
      </c>
      <c r="C42" t="s">
        <v>9</v>
      </c>
      <c r="D42">
        <v>36</v>
      </c>
      <c r="E42" s="6">
        <v>44529</v>
      </c>
      <c r="F42" s="5">
        <v>78390</v>
      </c>
      <c r="G42" t="s">
        <v>16</v>
      </c>
      <c r="H42" t="s">
        <v>205</v>
      </c>
      <c r="I42" s="7">
        <f ca="1">(TODAY()-staff[[#This Row],[Date Joined]])/365</f>
        <v>2.0493150684931507</v>
      </c>
      <c r="J42" s="5">
        <f ca="1">IF(staff[[#This Row],[Tenure]] &gt;2,3%,2%)*staff[[#This Row],[Salary]]</f>
        <v>2351.6999999999998</v>
      </c>
      <c r="K42" s="7">
        <f>_xlfn.XLOOKUP(staff[[#This Row],[Rating]], 'Rating maping table'!$C$6:$C$10,'Rating maping table'!$D$6:$D$10)</f>
        <v>3</v>
      </c>
    </row>
    <row r="43" spans="1:11" x14ac:dyDescent="0.25">
      <c r="A43" t="s">
        <v>88</v>
      </c>
      <c r="B43" t="s">
        <v>8</v>
      </c>
      <c r="C43" t="s">
        <v>21</v>
      </c>
      <c r="D43">
        <v>33</v>
      </c>
      <c r="E43" s="6">
        <v>44809</v>
      </c>
      <c r="F43" s="5">
        <v>86570</v>
      </c>
      <c r="G43" t="s">
        <v>16</v>
      </c>
      <c r="H43" t="s">
        <v>205</v>
      </c>
      <c r="I43" s="7">
        <f ca="1">(TODAY()-staff[[#This Row],[Date Joined]])/365</f>
        <v>1.2821917808219179</v>
      </c>
      <c r="J43" s="5">
        <f ca="1">IF(staff[[#This Row],[Tenure]] &gt;2,3%,2%)*staff[[#This Row],[Salary]]</f>
        <v>1731.4</v>
      </c>
      <c r="K43" s="7">
        <f>_xlfn.XLOOKUP(staff[[#This Row],[Rating]], 'Rating maping table'!$C$6:$C$10,'Rating maping table'!$D$6:$D$10)</f>
        <v>3</v>
      </c>
    </row>
    <row r="44" spans="1:11" x14ac:dyDescent="0.25">
      <c r="A44" t="s">
        <v>92</v>
      </c>
      <c r="B44" t="s">
        <v>8</v>
      </c>
      <c r="C44" t="s">
        <v>12</v>
      </c>
      <c r="D44">
        <v>27</v>
      </c>
      <c r="E44" s="6">
        <v>44686</v>
      </c>
      <c r="F44" s="5">
        <v>83750</v>
      </c>
      <c r="G44" t="s">
        <v>16</v>
      </c>
      <c r="H44" t="s">
        <v>205</v>
      </c>
      <c r="I44" s="7">
        <f ca="1">(TODAY()-staff[[#This Row],[Date Joined]])/365</f>
        <v>1.6191780821917807</v>
      </c>
      <c r="J44" s="5">
        <f ca="1">IF(staff[[#This Row],[Tenure]] &gt;2,3%,2%)*staff[[#This Row],[Salary]]</f>
        <v>1675</v>
      </c>
      <c r="K44" s="7">
        <f>_xlfn.XLOOKUP(staff[[#This Row],[Rating]], 'Rating maping table'!$C$6:$C$10,'Rating maping table'!$D$6:$D$10)</f>
        <v>3</v>
      </c>
    </row>
    <row r="45" spans="1:11" x14ac:dyDescent="0.25">
      <c r="A45" t="s">
        <v>102</v>
      </c>
      <c r="B45" t="s">
        <v>8</v>
      </c>
      <c r="C45" t="s">
        <v>21</v>
      </c>
      <c r="D45">
        <v>34</v>
      </c>
      <c r="E45" s="6">
        <v>44445</v>
      </c>
      <c r="F45" s="5">
        <v>92450</v>
      </c>
      <c r="G45" t="s">
        <v>16</v>
      </c>
      <c r="H45" t="s">
        <v>205</v>
      </c>
      <c r="I45" s="7">
        <f ca="1">(TODAY()-staff[[#This Row],[Date Joined]])/365</f>
        <v>2.2794520547945205</v>
      </c>
      <c r="J45" s="5">
        <f ca="1">IF(staff[[#This Row],[Tenure]] &gt;2,3%,2%)*staff[[#This Row],[Salary]]</f>
        <v>2773.5</v>
      </c>
      <c r="K45" s="7">
        <f>_xlfn.XLOOKUP(staff[[#This Row],[Rating]], 'Rating maping table'!$C$6:$C$10,'Rating maping table'!$D$6:$D$10)</f>
        <v>3</v>
      </c>
    </row>
    <row r="46" spans="1:11" x14ac:dyDescent="0.25">
      <c r="A46" t="s">
        <v>64</v>
      </c>
      <c r="B46" t="s">
        <v>15</v>
      </c>
      <c r="C46" t="s">
        <v>12</v>
      </c>
      <c r="D46">
        <v>20</v>
      </c>
      <c r="E46" s="6">
        <v>44183</v>
      </c>
      <c r="F46" s="5">
        <v>112650</v>
      </c>
      <c r="G46" t="s">
        <v>16</v>
      </c>
      <c r="H46" t="s">
        <v>205</v>
      </c>
      <c r="I46" s="7">
        <f ca="1">(TODAY()-staff[[#This Row],[Date Joined]])/365</f>
        <v>2.9972602739726026</v>
      </c>
      <c r="J46" s="5">
        <f ca="1">IF(staff[[#This Row],[Tenure]] &gt;2,3%,2%)*staff[[#This Row],[Salary]]</f>
        <v>3379.5</v>
      </c>
      <c r="K46" s="7">
        <f>_xlfn.XLOOKUP(staff[[#This Row],[Rating]], 'Rating maping table'!$C$6:$C$10,'Rating maping table'!$D$6:$D$10)</f>
        <v>3</v>
      </c>
    </row>
    <row r="47" spans="1:11" x14ac:dyDescent="0.25">
      <c r="A47" t="s">
        <v>104</v>
      </c>
      <c r="B47" t="s">
        <v>15</v>
      </c>
      <c r="C47" t="s">
        <v>9</v>
      </c>
      <c r="D47">
        <v>20</v>
      </c>
      <c r="E47" s="6">
        <v>44744</v>
      </c>
      <c r="F47" s="5">
        <v>79570</v>
      </c>
      <c r="G47" t="s">
        <v>16</v>
      </c>
      <c r="H47" t="s">
        <v>205</v>
      </c>
      <c r="I47" s="7">
        <f ca="1">(TODAY()-staff[[#This Row],[Date Joined]])/365</f>
        <v>1.4602739726027398</v>
      </c>
      <c r="J47" s="5">
        <f ca="1">IF(staff[[#This Row],[Tenure]] &gt;2,3%,2%)*staff[[#This Row],[Salary]]</f>
        <v>1591.4</v>
      </c>
      <c r="K47" s="7">
        <f>_xlfn.XLOOKUP(staff[[#This Row],[Rating]], 'Rating maping table'!$C$6:$C$10,'Rating maping table'!$D$6:$D$10)</f>
        <v>3</v>
      </c>
    </row>
    <row r="48" spans="1:11" x14ac:dyDescent="0.25">
      <c r="A48" t="s">
        <v>91</v>
      </c>
      <c r="B48" t="s">
        <v>8</v>
      </c>
      <c r="C48" t="s">
        <v>19</v>
      </c>
      <c r="D48">
        <v>20</v>
      </c>
      <c r="E48" s="6">
        <v>44537</v>
      </c>
      <c r="F48" s="5">
        <v>68900</v>
      </c>
      <c r="G48" t="s">
        <v>24</v>
      </c>
      <c r="H48" t="s">
        <v>205</v>
      </c>
      <c r="I48" s="7">
        <f ca="1">(TODAY()-staff[[#This Row],[Date Joined]])/365</f>
        <v>2.0273972602739727</v>
      </c>
      <c r="J48" s="5">
        <f ca="1">IF(staff[[#This Row],[Tenure]] &gt;2,3%,2%)*staff[[#This Row],[Salary]]</f>
        <v>2067</v>
      </c>
      <c r="K48" s="7">
        <f>_xlfn.XLOOKUP(staff[[#This Row],[Rating]], 'Rating maping table'!$C$6:$C$10,'Rating maping table'!$D$6:$D$10)</f>
        <v>2</v>
      </c>
    </row>
    <row r="49" spans="1:11" x14ac:dyDescent="0.25">
      <c r="A49" t="s">
        <v>39</v>
      </c>
      <c r="B49" t="s">
        <v>8</v>
      </c>
      <c r="C49" t="s">
        <v>12</v>
      </c>
      <c r="D49">
        <v>25</v>
      </c>
      <c r="E49" s="6">
        <v>44694</v>
      </c>
      <c r="F49" s="5">
        <v>80700</v>
      </c>
      <c r="G49" t="s">
        <v>13</v>
      </c>
      <c r="H49" t="s">
        <v>205</v>
      </c>
      <c r="I49" s="7">
        <f ca="1">(TODAY()-staff[[#This Row],[Date Joined]])/365</f>
        <v>1.5972602739726027</v>
      </c>
      <c r="J49" s="5">
        <f ca="1">IF(staff[[#This Row],[Tenure]] &gt;2,3%,2%)*staff[[#This Row],[Salary]]</f>
        <v>1614</v>
      </c>
      <c r="K49" s="7">
        <f>_xlfn.XLOOKUP(staff[[#This Row],[Rating]], 'Rating maping table'!$C$6:$C$10,'Rating maping table'!$D$6:$D$10)</f>
        <v>4</v>
      </c>
    </row>
    <row r="50" spans="1:11" x14ac:dyDescent="0.25">
      <c r="A50" t="s">
        <v>100</v>
      </c>
      <c r="B50" t="s">
        <v>15</v>
      </c>
      <c r="C50" t="s">
        <v>9</v>
      </c>
      <c r="D50">
        <v>19</v>
      </c>
      <c r="E50" s="6">
        <v>44277</v>
      </c>
      <c r="F50" s="5">
        <v>58960</v>
      </c>
      <c r="G50" t="s">
        <v>16</v>
      </c>
      <c r="H50" t="s">
        <v>205</v>
      </c>
      <c r="I50" s="7">
        <f ca="1">(TODAY()-staff[[#This Row],[Date Joined]])/365</f>
        <v>2.7397260273972601</v>
      </c>
      <c r="J50" s="5">
        <f ca="1">IF(staff[[#This Row],[Tenure]] &gt;2,3%,2%)*staff[[#This Row],[Salary]]</f>
        <v>1768.8</v>
      </c>
      <c r="K50" s="7">
        <f>_xlfn.XLOOKUP(staff[[#This Row],[Rating]], 'Rating maping table'!$C$6:$C$10,'Rating maping table'!$D$6:$D$10)</f>
        <v>3</v>
      </c>
    </row>
    <row r="51" spans="1:11" x14ac:dyDescent="0.25">
      <c r="A51" t="s">
        <v>106</v>
      </c>
      <c r="B51" t="s">
        <v>15</v>
      </c>
      <c r="C51" t="s">
        <v>12</v>
      </c>
      <c r="D51">
        <v>36</v>
      </c>
      <c r="E51" s="6">
        <v>44019</v>
      </c>
      <c r="F51" s="5">
        <v>118840</v>
      </c>
      <c r="G51" t="s">
        <v>16</v>
      </c>
      <c r="H51" t="s">
        <v>205</v>
      </c>
      <c r="I51" s="7">
        <f ca="1">(TODAY()-staff[[#This Row],[Date Joined]])/365</f>
        <v>3.4465753424657533</v>
      </c>
      <c r="J51" s="5">
        <f ca="1">IF(staff[[#This Row],[Tenure]] &gt;2,3%,2%)*staff[[#This Row],[Salary]]</f>
        <v>3565.2</v>
      </c>
      <c r="K51" s="7">
        <f>_xlfn.XLOOKUP(staff[[#This Row],[Rating]], 'Rating maping table'!$C$6:$C$10,'Rating maping table'!$D$6:$D$10)</f>
        <v>3</v>
      </c>
    </row>
    <row r="52" spans="1:11" x14ac:dyDescent="0.25">
      <c r="A52" t="s">
        <v>29</v>
      </c>
      <c r="B52" t="s">
        <v>15</v>
      </c>
      <c r="C52" t="s">
        <v>21</v>
      </c>
      <c r="D52">
        <v>28</v>
      </c>
      <c r="E52" s="6">
        <v>44041</v>
      </c>
      <c r="F52" s="5">
        <v>48170</v>
      </c>
      <c r="G52" t="s">
        <v>13</v>
      </c>
      <c r="H52" t="s">
        <v>205</v>
      </c>
      <c r="I52" s="7">
        <f ca="1">(TODAY()-staff[[#This Row],[Date Joined]])/365</f>
        <v>3.3863013698630136</v>
      </c>
      <c r="J52" s="5">
        <f ca="1">IF(staff[[#This Row],[Tenure]] &gt;2,3%,2%)*staff[[#This Row],[Salary]]</f>
        <v>1445.1</v>
      </c>
      <c r="K52" s="7">
        <f>_xlfn.XLOOKUP(staff[[#This Row],[Rating]], 'Rating maping table'!$C$6:$C$10,'Rating maping table'!$D$6:$D$10)</f>
        <v>4</v>
      </c>
    </row>
    <row r="53" spans="1:11" x14ac:dyDescent="0.25">
      <c r="A53" t="s">
        <v>108</v>
      </c>
      <c r="B53" t="s">
        <v>8</v>
      </c>
      <c r="C53" t="s">
        <v>56</v>
      </c>
      <c r="D53">
        <v>32</v>
      </c>
      <c r="E53" s="6">
        <v>44400</v>
      </c>
      <c r="F53" s="5">
        <v>45510</v>
      </c>
      <c r="G53" t="s">
        <v>16</v>
      </c>
      <c r="H53" t="s">
        <v>205</v>
      </c>
      <c r="I53" s="7">
        <f ca="1">(TODAY()-staff[[#This Row],[Date Joined]])/365</f>
        <v>2.4027397260273973</v>
      </c>
      <c r="J53" s="5">
        <f ca="1">IF(staff[[#This Row],[Tenure]] &gt;2,3%,2%)*staff[[#This Row],[Salary]]</f>
        <v>1365.3</v>
      </c>
      <c r="K53" s="7">
        <f>_xlfn.XLOOKUP(staff[[#This Row],[Rating]], 'Rating maping table'!$C$6:$C$10,'Rating maping table'!$D$6:$D$10)</f>
        <v>3</v>
      </c>
    </row>
    <row r="54" spans="1:11" x14ac:dyDescent="0.25">
      <c r="A54" t="s">
        <v>83</v>
      </c>
      <c r="B54" t="s">
        <v>8</v>
      </c>
      <c r="C54" t="s">
        <v>9</v>
      </c>
      <c r="D54">
        <v>36</v>
      </c>
      <c r="E54" s="6">
        <v>44085</v>
      </c>
      <c r="F54" s="5">
        <v>114890</v>
      </c>
      <c r="G54" t="s">
        <v>16</v>
      </c>
      <c r="H54" t="s">
        <v>205</v>
      </c>
      <c r="I54" s="7">
        <f ca="1">(TODAY()-staff[[#This Row],[Date Joined]])/365</f>
        <v>3.2657534246575342</v>
      </c>
      <c r="J54" s="5">
        <f ca="1">IF(staff[[#This Row],[Tenure]] &gt;2,3%,2%)*staff[[#This Row],[Salary]]</f>
        <v>3446.7</v>
      </c>
      <c r="K54" s="7">
        <f>_xlfn.XLOOKUP(staff[[#This Row],[Rating]], 'Rating maping table'!$C$6:$C$10,'Rating maping table'!$D$6:$D$10)</f>
        <v>3</v>
      </c>
    </row>
    <row r="55" spans="1:11" x14ac:dyDescent="0.25">
      <c r="A55" t="s">
        <v>67</v>
      </c>
      <c r="B55" t="s">
        <v>15</v>
      </c>
      <c r="C55" t="s">
        <v>12</v>
      </c>
      <c r="D55">
        <v>30</v>
      </c>
      <c r="E55" s="6">
        <v>44850</v>
      </c>
      <c r="F55" s="5">
        <v>69710</v>
      </c>
      <c r="G55" t="s">
        <v>16</v>
      </c>
      <c r="H55" t="s">
        <v>205</v>
      </c>
      <c r="I55" s="7">
        <f ca="1">(TODAY()-staff[[#This Row],[Date Joined]])/365</f>
        <v>1.1698630136986301</v>
      </c>
      <c r="J55" s="5">
        <f ca="1">IF(staff[[#This Row],[Tenure]] &gt;2,3%,2%)*staff[[#This Row],[Salary]]</f>
        <v>1394.2</v>
      </c>
      <c r="K55" s="7">
        <f>_xlfn.XLOOKUP(staff[[#This Row],[Rating]], 'Rating maping table'!$C$6:$C$10,'Rating maping table'!$D$6:$D$10)</f>
        <v>3</v>
      </c>
    </row>
    <row r="56" spans="1:11" x14ac:dyDescent="0.25">
      <c r="A56" t="s">
        <v>94</v>
      </c>
      <c r="B56" t="s">
        <v>15</v>
      </c>
      <c r="C56" t="s">
        <v>21</v>
      </c>
      <c r="D56">
        <v>36</v>
      </c>
      <c r="E56" s="6">
        <v>44333</v>
      </c>
      <c r="F56" s="5">
        <v>71380</v>
      </c>
      <c r="G56" t="s">
        <v>16</v>
      </c>
      <c r="H56" t="s">
        <v>205</v>
      </c>
      <c r="I56" s="7">
        <f ca="1">(TODAY()-staff[[#This Row],[Date Joined]])/365</f>
        <v>2.5863013698630137</v>
      </c>
      <c r="J56" s="5">
        <f ca="1">IF(staff[[#This Row],[Tenure]] &gt;2,3%,2%)*staff[[#This Row],[Salary]]</f>
        <v>2141.4</v>
      </c>
      <c r="K56" s="7">
        <f>_xlfn.XLOOKUP(staff[[#This Row],[Rating]], 'Rating maping table'!$C$6:$C$10,'Rating maping table'!$D$6:$D$10)</f>
        <v>3</v>
      </c>
    </row>
    <row r="57" spans="1:11" x14ac:dyDescent="0.25">
      <c r="A57" t="s">
        <v>33</v>
      </c>
      <c r="B57" t="s">
        <v>8</v>
      </c>
      <c r="C57" t="s">
        <v>19</v>
      </c>
      <c r="D57">
        <v>38</v>
      </c>
      <c r="E57" s="6">
        <v>44377</v>
      </c>
      <c r="F57" s="5">
        <v>109160</v>
      </c>
      <c r="G57" t="s">
        <v>10</v>
      </c>
      <c r="H57" t="s">
        <v>205</v>
      </c>
      <c r="I57" s="7">
        <f ca="1">(TODAY()-staff[[#This Row],[Date Joined]])/365</f>
        <v>2.4657534246575343</v>
      </c>
      <c r="J57" s="5">
        <f ca="1">IF(staff[[#This Row],[Tenure]] &gt;2,3%,2%)*staff[[#This Row],[Salary]]</f>
        <v>3274.7999999999997</v>
      </c>
      <c r="K57" s="7">
        <f>_xlfn.XLOOKUP(staff[[#This Row],[Rating]], 'Rating maping table'!$C$6:$C$10,'Rating maping table'!$D$6:$D$10)</f>
        <v>5</v>
      </c>
    </row>
    <row r="58" spans="1:11" x14ac:dyDescent="0.25">
      <c r="A58" t="s">
        <v>98</v>
      </c>
      <c r="B58" t="s">
        <v>15</v>
      </c>
      <c r="C58" t="s">
        <v>9</v>
      </c>
      <c r="D58">
        <v>27</v>
      </c>
      <c r="E58" s="6">
        <v>44609</v>
      </c>
      <c r="F58" s="5">
        <v>113280</v>
      </c>
      <c r="G58" t="s">
        <v>42</v>
      </c>
      <c r="H58" t="s">
        <v>205</v>
      </c>
      <c r="I58" s="7">
        <f ca="1">(TODAY()-staff[[#This Row],[Date Joined]])/365</f>
        <v>1.8301369863013699</v>
      </c>
      <c r="J58" s="5">
        <f ca="1">IF(staff[[#This Row],[Tenure]] &gt;2,3%,2%)*staff[[#This Row],[Salary]]</f>
        <v>2265.6</v>
      </c>
      <c r="K58" s="7">
        <f>_xlfn.XLOOKUP(staff[[#This Row],[Rating]], 'Rating maping table'!$C$6:$C$10,'Rating maping table'!$D$6:$D$10)</f>
        <v>1</v>
      </c>
    </row>
    <row r="59" spans="1:11" x14ac:dyDescent="0.25">
      <c r="A59" t="s">
        <v>25</v>
      </c>
      <c r="B59" t="s">
        <v>15</v>
      </c>
      <c r="C59" t="s">
        <v>12</v>
      </c>
      <c r="D59">
        <v>30</v>
      </c>
      <c r="E59" s="6">
        <v>44273</v>
      </c>
      <c r="F59" s="5">
        <v>69120</v>
      </c>
      <c r="G59" t="s">
        <v>16</v>
      </c>
      <c r="H59" t="s">
        <v>205</v>
      </c>
      <c r="I59" s="7">
        <f ca="1">(TODAY()-staff[[#This Row],[Date Joined]])/365</f>
        <v>2.7506849315068491</v>
      </c>
      <c r="J59" s="5">
        <f ca="1">IF(staff[[#This Row],[Tenure]] &gt;2,3%,2%)*staff[[#This Row],[Salary]]</f>
        <v>2073.6</v>
      </c>
      <c r="K59" s="7">
        <f>_xlfn.XLOOKUP(staff[[#This Row],[Rating]], 'Rating maping table'!$C$6:$C$10,'Rating maping table'!$D$6:$D$10)</f>
        <v>3</v>
      </c>
    </row>
    <row r="60" spans="1:11" x14ac:dyDescent="0.25">
      <c r="A60" t="s">
        <v>55</v>
      </c>
      <c r="B60" t="s">
        <v>8</v>
      </c>
      <c r="C60" t="s">
        <v>56</v>
      </c>
      <c r="D60">
        <v>37</v>
      </c>
      <c r="E60" s="6">
        <v>44451</v>
      </c>
      <c r="F60" s="5">
        <v>118100</v>
      </c>
      <c r="G60" t="s">
        <v>16</v>
      </c>
      <c r="H60" t="s">
        <v>205</v>
      </c>
      <c r="I60" s="7">
        <f ca="1">(TODAY()-staff[[#This Row],[Date Joined]])/365</f>
        <v>2.2630136986301368</v>
      </c>
      <c r="J60" s="5">
        <f ca="1">IF(staff[[#This Row],[Tenure]] &gt;2,3%,2%)*staff[[#This Row],[Salary]]</f>
        <v>3543</v>
      </c>
      <c r="K60" s="7">
        <f>_xlfn.XLOOKUP(staff[[#This Row],[Rating]], 'Rating maping table'!$C$6:$C$10,'Rating maping table'!$D$6:$D$10)</f>
        <v>3</v>
      </c>
    </row>
    <row r="61" spans="1:11" x14ac:dyDescent="0.25">
      <c r="A61" t="s">
        <v>62</v>
      </c>
      <c r="B61" t="s">
        <v>8</v>
      </c>
      <c r="C61" t="s">
        <v>9</v>
      </c>
      <c r="D61">
        <v>22</v>
      </c>
      <c r="E61" s="6">
        <v>44450</v>
      </c>
      <c r="F61" s="5">
        <v>76900</v>
      </c>
      <c r="G61" t="s">
        <v>13</v>
      </c>
      <c r="H61" t="s">
        <v>205</v>
      </c>
      <c r="I61" s="7">
        <f ca="1">(TODAY()-staff[[#This Row],[Date Joined]])/365</f>
        <v>2.2657534246575342</v>
      </c>
      <c r="J61" s="5">
        <f ca="1">IF(staff[[#This Row],[Tenure]] &gt;2,3%,2%)*staff[[#This Row],[Salary]]</f>
        <v>2307</v>
      </c>
      <c r="K61" s="7">
        <f>_xlfn.XLOOKUP(staff[[#This Row],[Rating]], 'Rating maping table'!$C$6:$C$10,'Rating maping table'!$D$6:$D$10)</f>
        <v>4</v>
      </c>
    </row>
    <row r="62" spans="1:11" x14ac:dyDescent="0.25">
      <c r="A62" t="s">
        <v>17</v>
      </c>
      <c r="B62" t="s">
        <v>8</v>
      </c>
      <c r="C62" t="s">
        <v>12</v>
      </c>
      <c r="D62">
        <v>43</v>
      </c>
      <c r="E62" s="6">
        <v>45045</v>
      </c>
      <c r="F62" s="5">
        <v>114870</v>
      </c>
      <c r="G62" t="s">
        <v>16</v>
      </c>
      <c r="H62" t="s">
        <v>205</v>
      </c>
      <c r="I62" s="7">
        <f ca="1">(TODAY()-staff[[#This Row],[Date Joined]])/365</f>
        <v>0.63561643835616444</v>
      </c>
      <c r="J62" s="5">
        <f ca="1">IF(staff[[#This Row],[Tenure]] &gt;2,3%,2%)*staff[[#This Row],[Salary]]</f>
        <v>2297.4</v>
      </c>
      <c r="K62" s="7">
        <f>_xlfn.XLOOKUP(staff[[#This Row],[Rating]], 'Rating maping table'!$C$6:$C$10,'Rating maping table'!$D$6:$D$10)</f>
        <v>3</v>
      </c>
    </row>
    <row r="63" spans="1:11" x14ac:dyDescent="0.25">
      <c r="A63" t="s">
        <v>52</v>
      </c>
      <c r="B63" t="s">
        <v>206</v>
      </c>
      <c r="C63" t="s">
        <v>12</v>
      </c>
      <c r="D63">
        <v>32</v>
      </c>
      <c r="E63" s="6">
        <v>44774</v>
      </c>
      <c r="F63" s="5">
        <v>91310</v>
      </c>
      <c r="G63" t="s">
        <v>16</v>
      </c>
      <c r="H63" t="s">
        <v>205</v>
      </c>
      <c r="I63" s="7">
        <f ca="1">(TODAY()-staff[[#This Row],[Date Joined]])/365</f>
        <v>1.3780821917808219</v>
      </c>
      <c r="J63" s="5">
        <f ca="1">IF(staff[[#This Row],[Tenure]] &gt;2,3%,2%)*staff[[#This Row],[Salary]]</f>
        <v>1826.2</v>
      </c>
      <c r="K63" s="7">
        <f>_xlfn.XLOOKUP(staff[[#This Row],[Rating]], 'Rating maping table'!$C$6:$C$10,'Rating maping table'!$D$6:$D$10)</f>
        <v>3</v>
      </c>
    </row>
    <row r="64" spans="1:11" x14ac:dyDescent="0.25">
      <c r="A64" t="s">
        <v>43</v>
      </c>
      <c r="B64" t="s">
        <v>8</v>
      </c>
      <c r="C64" t="s">
        <v>9</v>
      </c>
      <c r="D64">
        <v>28</v>
      </c>
      <c r="E64" s="6">
        <v>44486</v>
      </c>
      <c r="F64" s="5">
        <v>104770</v>
      </c>
      <c r="G64" t="s">
        <v>16</v>
      </c>
      <c r="H64" t="s">
        <v>205</v>
      </c>
      <c r="I64" s="7">
        <f ca="1">(TODAY()-staff[[#This Row],[Date Joined]])/365</f>
        <v>2.1671232876712327</v>
      </c>
      <c r="J64" s="5">
        <f ca="1">IF(staff[[#This Row],[Tenure]] &gt;2,3%,2%)*staff[[#This Row],[Salary]]</f>
        <v>3143.1</v>
      </c>
      <c r="K64" s="7">
        <f>_xlfn.XLOOKUP(staff[[#This Row],[Rating]], 'Rating maping table'!$C$6:$C$10,'Rating maping table'!$D$6:$D$10)</f>
        <v>3</v>
      </c>
    </row>
    <row r="65" spans="1:11" x14ac:dyDescent="0.25">
      <c r="A65" t="s">
        <v>89</v>
      </c>
      <c r="B65" t="s">
        <v>15</v>
      </c>
      <c r="C65" t="s">
        <v>19</v>
      </c>
      <c r="D65">
        <v>27</v>
      </c>
      <c r="E65" s="6">
        <v>44134</v>
      </c>
      <c r="F65" s="5">
        <v>54970</v>
      </c>
      <c r="G65" t="s">
        <v>16</v>
      </c>
      <c r="H65" t="s">
        <v>205</v>
      </c>
      <c r="I65" s="7">
        <f ca="1">(TODAY()-staff[[#This Row],[Date Joined]])/365</f>
        <v>3.1315068493150684</v>
      </c>
      <c r="J65" s="5">
        <f ca="1">IF(staff[[#This Row],[Tenure]] &gt;2,3%,2%)*staff[[#This Row],[Salary]]</f>
        <v>1649.1</v>
      </c>
      <c r="K65" s="7">
        <f>_xlfn.XLOOKUP(staff[[#This Row],[Rating]], 'Rating maping table'!$C$6:$C$10,'Rating maping table'!$D$6:$D$10)</f>
        <v>3</v>
      </c>
    </row>
    <row r="66" spans="1:11" x14ac:dyDescent="0.25">
      <c r="A66" t="s">
        <v>11</v>
      </c>
      <c r="B66" t="s">
        <v>206</v>
      </c>
      <c r="C66" t="s">
        <v>12</v>
      </c>
      <c r="D66">
        <v>26</v>
      </c>
      <c r="E66" s="6">
        <v>44271</v>
      </c>
      <c r="F66" s="5">
        <v>90700</v>
      </c>
      <c r="G66" t="s">
        <v>13</v>
      </c>
      <c r="H66" t="s">
        <v>205</v>
      </c>
      <c r="I66" s="7">
        <f ca="1">(TODAY()-staff[[#This Row],[Date Joined]])/365</f>
        <v>2.7561643835616438</v>
      </c>
      <c r="J66" s="5">
        <f ca="1">IF(staff[[#This Row],[Tenure]] &gt;2,3%,2%)*staff[[#This Row],[Salary]]</f>
        <v>2721</v>
      </c>
      <c r="K66" s="7">
        <f>_xlfn.XLOOKUP(staff[[#This Row],[Rating]], 'Rating maping table'!$C$6:$C$10,'Rating maping table'!$D$6:$D$10)</f>
        <v>4</v>
      </c>
    </row>
    <row r="67" spans="1:11" x14ac:dyDescent="0.25">
      <c r="A67" t="s">
        <v>109</v>
      </c>
      <c r="B67" t="s">
        <v>8</v>
      </c>
      <c r="C67" t="s">
        <v>19</v>
      </c>
      <c r="D67">
        <v>38</v>
      </c>
      <c r="E67" s="6">
        <v>44329</v>
      </c>
      <c r="F67" s="5">
        <v>56870</v>
      </c>
      <c r="G67" t="s">
        <v>13</v>
      </c>
      <c r="H67" t="s">
        <v>205</v>
      </c>
      <c r="I67" s="7">
        <f ca="1">(TODAY()-staff[[#This Row],[Date Joined]])/365</f>
        <v>2.5972602739726027</v>
      </c>
      <c r="J67" s="5">
        <f ca="1">IF(staff[[#This Row],[Tenure]] &gt;2,3%,2%)*staff[[#This Row],[Salary]]</f>
        <v>1706.1</v>
      </c>
      <c r="K67" s="7">
        <f>_xlfn.XLOOKUP(staff[[#This Row],[Rating]], 'Rating maping table'!$C$6:$C$10,'Rating maping table'!$D$6:$D$10)</f>
        <v>4</v>
      </c>
    </row>
    <row r="68" spans="1:11" x14ac:dyDescent="0.25">
      <c r="A68" t="s">
        <v>77</v>
      </c>
      <c r="B68" t="s">
        <v>8</v>
      </c>
      <c r="C68" t="s">
        <v>19</v>
      </c>
      <c r="D68">
        <v>25</v>
      </c>
      <c r="E68" s="6">
        <v>44205</v>
      </c>
      <c r="F68" s="5">
        <v>92700</v>
      </c>
      <c r="G68" t="s">
        <v>16</v>
      </c>
      <c r="H68" t="s">
        <v>205</v>
      </c>
      <c r="I68" s="7">
        <f ca="1">(TODAY()-staff[[#This Row],[Date Joined]])/365</f>
        <v>2.9369863013698629</v>
      </c>
      <c r="J68" s="5">
        <f ca="1">IF(staff[[#This Row],[Tenure]] &gt;2,3%,2%)*staff[[#This Row],[Salary]]</f>
        <v>2781</v>
      </c>
      <c r="K68" s="7">
        <f>_xlfn.XLOOKUP(staff[[#This Row],[Rating]], 'Rating maping table'!$C$6:$C$10,'Rating maping table'!$D$6:$D$10)</f>
        <v>3</v>
      </c>
    </row>
    <row r="69" spans="1:11" x14ac:dyDescent="0.25">
      <c r="A69" t="s">
        <v>32</v>
      </c>
      <c r="B69" t="s">
        <v>8</v>
      </c>
      <c r="C69" t="s">
        <v>21</v>
      </c>
      <c r="D69">
        <v>21</v>
      </c>
      <c r="E69" s="6">
        <v>44317</v>
      </c>
      <c r="F69" s="5">
        <v>65920</v>
      </c>
      <c r="G69" t="s">
        <v>16</v>
      </c>
      <c r="H69" t="s">
        <v>205</v>
      </c>
      <c r="I69" s="7">
        <f ca="1">(TODAY()-staff[[#This Row],[Date Joined]])/365</f>
        <v>2.6301369863013697</v>
      </c>
      <c r="J69" s="5">
        <f ca="1">IF(staff[[#This Row],[Tenure]] &gt;2,3%,2%)*staff[[#This Row],[Salary]]</f>
        <v>1977.6</v>
      </c>
      <c r="K69" s="7">
        <f>_xlfn.XLOOKUP(staff[[#This Row],[Rating]], 'Rating maping table'!$C$6:$C$10,'Rating maping table'!$D$6:$D$10)</f>
        <v>3</v>
      </c>
    </row>
    <row r="70" spans="1:11" x14ac:dyDescent="0.25">
      <c r="A70" t="s">
        <v>59</v>
      </c>
      <c r="B70" t="s">
        <v>15</v>
      </c>
      <c r="C70" t="s">
        <v>9</v>
      </c>
      <c r="D70">
        <v>26</v>
      </c>
      <c r="E70" s="6">
        <v>44225</v>
      </c>
      <c r="F70" s="5">
        <v>47360</v>
      </c>
      <c r="G70" t="s">
        <v>16</v>
      </c>
      <c r="H70" t="s">
        <v>205</v>
      </c>
      <c r="I70" s="7">
        <f ca="1">(TODAY()-staff[[#This Row],[Date Joined]])/365</f>
        <v>2.882191780821918</v>
      </c>
      <c r="J70" s="5">
        <f ca="1">IF(staff[[#This Row],[Tenure]] &gt;2,3%,2%)*staff[[#This Row],[Salary]]</f>
        <v>1420.8</v>
      </c>
      <c r="K70" s="7">
        <f>_xlfn.XLOOKUP(staff[[#This Row],[Rating]], 'Rating maping table'!$C$6:$C$10,'Rating maping table'!$D$6:$D$10)</f>
        <v>3</v>
      </c>
    </row>
    <row r="71" spans="1:11" x14ac:dyDescent="0.25">
      <c r="A71" t="s">
        <v>37</v>
      </c>
      <c r="B71" t="s">
        <v>15</v>
      </c>
      <c r="C71" t="s">
        <v>9</v>
      </c>
      <c r="D71">
        <v>30</v>
      </c>
      <c r="E71" s="6">
        <v>44666</v>
      </c>
      <c r="F71" s="5">
        <v>60570</v>
      </c>
      <c r="G71" t="s">
        <v>16</v>
      </c>
      <c r="H71" t="s">
        <v>205</v>
      </c>
      <c r="I71" s="7">
        <f ca="1">(TODAY()-staff[[#This Row],[Date Joined]])/365</f>
        <v>1.6739726027397259</v>
      </c>
      <c r="J71" s="5">
        <f ca="1">IF(staff[[#This Row],[Tenure]] &gt;2,3%,2%)*staff[[#This Row],[Salary]]</f>
        <v>1211.4000000000001</v>
      </c>
      <c r="K71" s="7">
        <f>_xlfn.XLOOKUP(staff[[#This Row],[Rating]], 'Rating maping table'!$C$6:$C$10,'Rating maping table'!$D$6:$D$10)</f>
        <v>3</v>
      </c>
    </row>
    <row r="72" spans="1:11" x14ac:dyDescent="0.25">
      <c r="A72" t="s">
        <v>96</v>
      </c>
      <c r="B72" t="s">
        <v>8</v>
      </c>
      <c r="C72" t="s">
        <v>9</v>
      </c>
      <c r="D72">
        <v>28</v>
      </c>
      <c r="E72" s="6">
        <v>44649</v>
      </c>
      <c r="F72" s="5">
        <v>104120</v>
      </c>
      <c r="G72" t="s">
        <v>16</v>
      </c>
      <c r="H72" t="s">
        <v>205</v>
      </c>
      <c r="I72" s="7">
        <f ca="1">(TODAY()-staff[[#This Row],[Date Joined]])/365</f>
        <v>1.7205479452054795</v>
      </c>
      <c r="J72" s="5">
        <f ca="1">IF(staff[[#This Row],[Tenure]] &gt;2,3%,2%)*staff[[#This Row],[Salary]]</f>
        <v>2082.4</v>
      </c>
      <c r="K72" s="7">
        <f>_xlfn.XLOOKUP(staff[[#This Row],[Rating]], 'Rating maping table'!$C$6:$C$10,'Rating maping table'!$D$6:$D$10)</f>
        <v>3</v>
      </c>
    </row>
    <row r="73" spans="1:11" x14ac:dyDescent="0.25">
      <c r="A73" t="s">
        <v>23</v>
      </c>
      <c r="B73" t="s">
        <v>15</v>
      </c>
      <c r="C73" t="s">
        <v>12</v>
      </c>
      <c r="D73">
        <v>37</v>
      </c>
      <c r="E73" s="6">
        <v>44338</v>
      </c>
      <c r="F73" s="5">
        <v>88050</v>
      </c>
      <c r="G73" t="s">
        <v>24</v>
      </c>
      <c r="H73" t="s">
        <v>205</v>
      </c>
      <c r="I73" s="7">
        <f ca="1">(TODAY()-staff[[#This Row],[Date Joined]])/365</f>
        <v>2.5726027397260274</v>
      </c>
      <c r="J73" s="5">
        <f ca="1">IF(staff[[#This Row],[Tenure]] &gt;2,3%,2%)*staff[[#This Row],[Salary]]</f>
        <v>2641.5</v>
      </c>
      <c r="K73" s="7">
        <f>_xlfn.XLOOKUP(staff[[#This Row],[Rating]], 'Rating maping table'!$C$6:$C$10,'Rating maping table'!$D$6:$D$10)</f>
        <v>2</v>
      </c>
    </row>
    <row r="74" spans="1:11" x14ac:dyDescent="0.25">
      <c r="A74" t="s">
        <v>103</v>
      </c>
      <c r="B74" t="s">
        <v>15</v>
      </c>
      <c r="C74" t="s">
        <v>12</v>
      </c>
      <c r="D74">
        <v>24</v>
      </c>
      <c r="E74" s="6">
        <v>44686</v>
      </c>
      <c r="F74" s="5">
        <v>100420</v>
      </c>
      <c r="G74" t="s">
        <v>16</v>
      </c>
      <c r="H74" t="s">
        <v>205</v>
      </c>
      <c r="I74" s="7">
        <f ca="1">(TODAY()-staff[[#This Row],[Date Joined]])/365</f>
        <v>1.6191780821917807</v>
      </c>
      <c r="J74" s="5">
        <f ca="1">IF(staff[[#This Row],[Tenure]] &gt;2,3%,2%)*staff[[#This Row],[Salary]]</f>
        <v>2008.4</v>
      </c>
      <c r="K74" s="7">
        <f>_xlfn.XLOOKUP(staff[[#This Row],[Rating]], 'Rating maping table'!$C$6:$C$10,'Rating maping table'!$D$6:$D$10)</f>
        <v>3</v>
      </c>
    </row>
    <row r="75" spans="1:11" x14ac:dyDescent="0.25">
      <c r="A75" t="s">
        <v>54</v>
      </c>
      <c r="B75" t="s">
        <v>8</v>
      </c>
      <c r="C75" t="s">
        <v>9</v>
      </c>
      <c r="D75">
        <v>30</v>
      </c>
      <c r="E75" s="6">
        <v>44850</v>
      </c>
      <c r="F75" s="5">
        <v>114180</v>
      </c>
      <c r="G75" t="s">
        <v>16</v>
      </c>
      <c r="H75" t="s">
        <v>205</v>
      </c>
      <c r="I75" s="7">
        <f ca="1">(TODAY()-staff[[#This Row],[Date Joined]])/365</f>
        <v>1.1698630136986301</v>
      </c>
      <c r="J75" s="5">
        <f ca="1">IF(staff[[#This Row],[Tenure]] &gt;2,3%,2%)*staff[[#This Row],[Salary]]</f>
        <v>2283.6</v>
      </c>
      <c r="K75" s="7">
        <f>_xlfn.XLOOKUP(staff[[#This Row],[Rating]], 'Rating maping table'!$C$6:$C$10,'Rating maping table'!$D$6:$D$10)</f>
        <v>3</v>
      </c>
    </row>
    <row r="76" spans="1:11" x14ac:dyDescent="0.25">
      <c r="A76" t="s">
        <v>86</v>
      </c>
      <c r="B76" t="s">
        <v>8</v>
      </c>
      <c r="C76" t="s">
        <v>12</v>
      </c>
      <c r="D76">
        <v>21</v>
      </c>
      <c r="E76" s="6">
        <v>44678</v>
      </c>
      <c r="F76" s="5">
        <v>33920</v>
      </c>
      <c r="G76" t="s">
        <v>16</v>
      </c>
      <c r="H76" t="s">
        <v>205</v>
      </c>
      <c r="I76" s="7">
        <f ca="1">(TODAY()-staff[[#This Row],[Date Joined]])/365</f>
        <v>1.6410958904109589</v>
      </c>
      <c r="J76" s="5">
        <f ca="1">IF(staff[[#This Row],[Tenure]] &gt;2,3%,2%)*staff[[#This Row],[Salary]]</f>
        <v>678.4</v>
      </c>
      <c r="K76" s="7">
        <f>_xlfn.XLOOKUP(staff[[#This Row],[Rating]], 'Rating maping table'!$C$6:$C$10,'Rating maping table'!$D$6:$D$10)</f>
        <v>3</v>
      </c>
    </row>
    <row r="77" spans="1:11" x14ac:dyDescent="0.25">
      <c r="A77" t="s">
        <v>69</v>
      </c>
      <c r="B77" t="s">
        <v>15</v>
      </c>
      <c r="C77" t="s">
        <v>9</v>
      </c>
      <c r="D77">
        <v>23</v>
      </c>
      <c r="E77" s="6">
        <v>44440</v>
      </c>
      <c r="F77" s="5">
        <v>106460</v>
      </c>
      <c r="G77" t="s">
        <v>16</v>
      </c>
      <c r="H77" t="s">
        <v>205</v>
      </c>
      <c r="I77" s="7">
        <f ca="1">(TODAY()-staff[[#This Row],[Date Joined]])/365</f>
        <v>2.2931506849315069</v>
      </c>
      <c r="J77" s="5">
        <f ca="1">IF(staff[[#This Row],[Tenure]] &gt;2,3%,2%)*staff[[#This Row],[Salary]]</f>
        <v>3193.7999999999997</v>
      </c>
      <c r="K77" s="7">
        <f>_xlfn.XLOOKUP(staff[[#This Row],[Rating]], 'Rating maping table'!$C$6:$C$10,'Rating maping table'!$D$6:$D$10)</f>
        <v>3</v>
      </c>
    </row>
    <row r="78" spans="1:11" x14ac:dyDescent="0.25">
      <c r="A78" t="s">
        <v>57</v>
      </c>
      <c r="B78" t="s">
        <v>15</v>
      </c>
      <c r="C78" t="s">
        <v>9</v>
      </c>
      <c r="D78">
        <v>35</v>
      </c>
      <c r="E78" s="6">
        <v>44727</v>
      </c>
      <c r="F78" s="5">
        <v>40400</v>
      </c>
      <c r="G78" t="s">
        <v>16</v>
      </c>
      <c r="H78" t="s">
        <v>205</v>
      </c>
      <c r="I78" s="7">
        <f ca="1">(TODAY()-staff[[#This Row],[Date Joined]])/365</f>
        <v>1.5068493150684932</v>
      </c>
      <c r="J78" s="5">
        <f ca="1">IF(staff[[#This Row],[Tenure]] &gt;2,3%,2%)*staff[[#This Row],[Salary]]</f>
        <v>808</v>
      </c>
      <c r="K78" s="7">
        <f>_xlfn.XLOOKUP(staff[[#This Row],[Rating]], 'Rating maping table'!$C$6:$C$10,'Rating maping table'!$D$6:$D$10)</f>
        <v>3</v>
      </c>
    </row>
    <row r="79" spans="1:11" x14ac:dyDescent="0.25">
      <c r="A79" t="s">
        <v>68</v>
      </c>
      <c r="B79" t="s">
        <v>15</v>
      </c>
      <c r="C79" t="s">
        <v>21</v>
      </c>
      <c r="D79">
        <v>27</v>
      </c>
      <c r="E79" s="6">
        <v>44236</v>
      </c>
      <c r="F79" s="5">
        <v>91650</v>
      </c>
      <c r="G79" t="s">
        <v>13</v>
      </c>
      <c r="H79" t="s">
        <v>205</v>
      </c>
      <c r="I79" s="7">
        <f ca="1">(TODAY()-staff[[#This Row],[Date Joined]])/365</f>
        <v>2.8520547945205479</v>
      </c>
      <c r="J79" s="5">
        <f ca="1">IF(staff[[#This Row],[Tenure]] &gt;2,3%,2%)*staff[[#This Row],[Salary]]</f>
        <v>2749.5</v>
      </c>
      <c r="K79" s="7">
        <f>_xlfn.XLOOKUP(staff[[#This Row],[Rating]], 'Rating maping table'!$C$6:$C$10,'Rating maping table'!$D$6:$D$10)</f>
        <v>4</v>
      </c>
    </row>
    <row r="80" spans="1:11" x14ac:dyDescent="0.25">
      <c r="A80" t="s">
        <v>99</v>
      </c>
      <c r="B80" t="s">
        <v>15</v>
      </c>
      <c r="C80" t="s">
        <v>19</v>
      </c>
      <c r="D80">
        <v>43</v>
      </c>
      <c r="E80" s="6">
        <v>44620</v>
      </c>
      <c r="F80" s="5">
        <v>36040</v>
      </c>
      <c r="G80" t="s">
        <v>16</v>
      </c>
      <c r="H80" t="s">
        <v>205</v>
      </c>
      <c r="I80" s="7">
        <f ca="1">(TODAY()-staff[[#This Row],[Date Joined]])/365</f>
        <v>1.8</v>
      </c>
      <c r="J80" s="5">
        <f ca="1">IF(staff[[#This Row],[Tenure]] &gt;2,3%,2%)*staff[[#This Row],[Salary]]</f>
        <v>720.80000000000007</v>
      </c>
      <c r="K80" s="7">
        <f>_xlfn.XLOOKUP(staff[[#This Row],[Rating]], 'Rating maping table'!$C$6:$C$10,'Rating maping table'!$D$6:$D$10)</f>
        <v>3</v>
      </c>
    </row>
    <row r="81" spans="1:11" x14ac:dyDescent="0.25">
      <c r="A81" t="s">
        <v>101</v>
      </c>
      <c r="B81" t="s">
        <v>8</v>
      </c>
      <c r="C81" t="s">
        <v>12</v>
      </c>
      <c r="D81">
        <v>40</v>
      </c>
      <c r="E81" s="6">
        <v>44381</v>
      </c>
      <c r="F81" s="5">
        <v>104410</v>
      </c>
      <c r="G81" t="s">
        <v>16</v>
      </c>
      <c r="H81" t="s">
        <v>205</v>
      </c>
      <c r="I81" s="7">
        <f ca="1">(TODAY()-staff[[#This Row],[Date Joined]])/365</f>
        <v>2.4547945205479453</v>
      </c>
      <c r="J81" s="5">
        <f ca="1">IF(staff[[#This Row],[Tenure]] &gt;2,3%,2%)*staff[[#This Row],[Salary]]</f>
        <v>3132.2999999999997</v>
      </c>
      <c r="K81" s="7">
        <f>_xlfn.XLOOKUP(staff[[#This Row],[Rating]], 'Rating maping table'!$C$6:$C$10,'Rating maping table'!$D$6:$D$10)</f>
        <v>3</v>
      </c>
    </row>
    <row r="82" spans="1:11" x14ac:dyDescent="0.25">
      <c r="A82" t="s">
        <v>85</v>
      </c>
      <c r="B82" t="s">
        <v>15</v>
      </c>
      <c r="C82" t="s">
        <v>21</v>
      </c>
      <c r="D82">
        <v>30</v>
      </c>
      <c r="E82" s="6">
        <v>44606</v>
      </c>
      <c r="F82" s="5">
        <v>96800</v>
      </c>
      <c r="G82" t="s">
        <v>16</v>
      </c>
      <c r="H82" t="s">
        <v>205</v>
      </c>
      <c r="I82" s="7">
        <f ca="1">(TODAY()-staff[[#This Row],[Date Joined]])/365</f>
        <v>1.8383561643835618</v>
      </c>
      <c r="J82" s="5">
        <f ca="1">IF(staff[[#This Row],[Tenure]] &gt;2,3%,2%)*staff[[#This Row],[Salary]]</f>
        <v>1936</v>
      </c>
      <c r="K82" s="7">
        <f>_xlfn.XLOOKUP(staff[[#This Row],[Rating]], 'Rating maping table'!$C$6:$C$10,'Rating maping table'!$D$6:$D$10)</f>
        <v>3</v>
      </c>
    </row>
    <row r="83" spans="1:11" x14ac:dyDescent="0.25">
      <c r="A83" t="s">
        <v>28</v>
      </c>
      <c r="B83" t="s">
        <v>8</v>
      </c>
      <c r="C83" t="s">
        <v>21</v>
      </c>
      <c r="D83">
        <v>34</v>
      </c>
      <c r="E83" s="6">
        <v>44459</v>
      </c>
      <c r="F83" s="5">
        <v>85000</v>
      </c>
      <c r="G83" t="s">
        <v>16</v>
      </c>
      <c r="H83" t="s">
        <v>205</v>
      </c>
      <c r="I83" s="7">
        <f ca="1">(TODAY()-staff[[#This Row],[Date Joined]])/365</f>
        <v>2.2410958904109588</v>
      </c>
      <c r="J83" s="5">
        <f ca="1">IF(staff[[#This Row],[Tenure]] &gt;2,3%,2%)*staff[[#This Row],[Salary]]</f>
        <v>2550</v>
      </c>
      <c r="K83" s="7">
        <f>_xlfn.XLOOKUP(staff[[#This Row],[Rating]], 'Rating maping table'!$C$6:$C$10,'Rating maping table'!$D$6:$D$10)</f>
        <v>3</v>
      </c>
    </row>
    <row r="84" spans="1:11" x14ac:dyDescent="0.25">
      <c r="A84" t="s">
        <v>80</v>
      </c>
      <c r="B84" t="s">
        <v>15</v>
      </c>
      <c r="C84" t="s">
        <v>19</v>
      </c>
      <c r="D84">
        <v>28</v>
      </c>
      <c r="E84" s="6">
        <v>44820</v>
      </c>
      <c r="F84" s="5">
        <v>43510</v>
      </c>
      <c r="G84" t="s">
        <v>42</v>
      </c>
      <c r="H84" t="s">
        <v>205</v>
      </c>
      <c r="I84" s="7">
        <f ca="1">(TODAY()-staff[[#This Row],[Date Joined]])/365</f>
        <v>1.252054794520548</v>
      </c>
      <c r="J84" s="5">
        <f ca="1">IF(staff[[#This Row],[Tenure]] &gt;2,3%,2%)*staff[[#This Row],[Salary]]</f>
        <v>870.2</v>
      </c>
      <c r="K84" s="7">
        <f>_xlfn.XLOOKUP(staff[[#This Row],[Rating]], 'Rating maping table'!$C$6:$C$10,'Rating maping table'!$D$6:$D$10)</f>
        <v>1</v>
      </c>
    </row>
    <row r="85" spans="1:11" x14ac:dyDescent="0.25">
      <c r="A85" t="s">
        <v>79</v>
      </c>
      <c r="B85" t="s">
        <v>15</v>
      </c>
      <c r="C85" t="s">
        <v>21</v>
      </c>
      <c r="D85">
        <v>33</v>
      </c>
      <c r="E85" s="6">
        <v>44243</v>
      </c>
      <c r="F85" s="5">
        <v>59430</v>
      </c>
      <c r="G85" t="s">
        <v>16</v>
      </c>
      <c r="H85" t="s">
        <v>205</v>
      </c>
      <c r="I85" s="7">
        <f ca="1">(TODAY()-staff[[#This Row],[Date Joined]])/365</f>
        <v>2.8328767123287673</v>
      </c>
      <c r="J85" s="5">
        <f ca="1">IF(staff[[#This Row],[Tenure]] &gt;2,3%,2%)*staff[[#This Row],[Salary]]</f>
        <v>1782.8999999999999</v>
      </c>
      <c r="K85" s="7">
        <f>_xlfn.XLOOKUP(staff[[#This Row],[Rating]], 'Rating maping table'!$C$6:$C$10,'Rating maping table'!$D$6:$D$10)</f>
        <v>3</v>
      </c>
    </row>
    <row r="86" spans="1:11" x14ac:dyDescent="0.25">
      <c r="A86" t="s">
        <v>93</v>
      </c>
      <c r="B86" t="s">
        <v>8</v>
      </c>
      <c r="C86" t="s">
        <v>21</v>
      </c>
      <c r="D86">
        <v>33</v>
      </c>
      <c r="E86" s="6">
        <v>44067</v>
      </c>
      <c r="F86" s="5">
        <v>65360</v>
      </c>
      <c r="G86" t="s">
        <v>16</v>
      </c>
      <c r="H86" t="s">
        <v>205</v>
      </c>
      <c r="I86" s="7">
        <f ca="1">(TODAY()-staff[[#This Row],[Date Joined]])/365</f>
        <v>3.3150684931506849</v>
      </c>
      <c r="J86" s="5">
        <f ca="1">IF(staff[[#This Row],[Tenure]] &gt;2,3%,2%)*staff[[#This Row],[Salary]]</f>
        <v>1960.8</v>
      </c>
      <c r="K86" s="7">
        <f>_xlfn.XLOOKUP(staff[[#This Row],[Rating]], 'Rating maping table'!$C$6:$C$10,'Rating maping table'!$D$6:$D$10)</f>
        <v>3</v>
      </c>
    </row>
    <row r="87" spans="1:11" x14ac:dyDescent="0.25">
      <c r="A87" t="s">
        <v>66</v>
      </c>
      <c r="B87" t="s">
        <v>8</v>
      </c>
      <c r="C87" t="s">
        <v>9</v>
      </c>
      <c r="D87">
        <v>32</v>
      </c>
      <c r="E87" s="6">
        <v>44611</v>
      </c>
      <c r="F87" s="5">
        <v>41570</v>
      </c>
      <c r="G87" t="s">
        <v>16</v>
      </c>
      <c r="H87" t="s">
        <v>205</v>
      </c>
      <c r="I87" s="7">
        <f ca="1">(TODAY()-staff[[#This Row],[Date Joined]])/365</f>
        <v>1.8246575342465754</v>
      </c>
      <c r="J87" s="5">
        <f ca="1">IF(staff[[#This Row],[Tenure]] &gt;2,3%,2%)*staff[[#This Row],[Salary]]</f>
        <v>831.4</v>
      </c>
      <c r="K87" s="7">
        <f>_xlfn.XLOOKUP(staff[[#This Row],[Rating]], 'Rating maping table'!$C$6:$C$10,'Rating maping table'!$D$6:$D$10)</f>
        <v>3</v>
      </c>
    </row>
    <row r="88" spans="1:11" x14ac:dyDescent="0.25">
      <c r="A88" t="s">
        <v>95</v>
      </c>
      <c r="B88" t="s">
        <v>8</v>
      </c>
      <c r="C88" t="s">
        <v>12</v>
      </c>
      <c r="D88">
        <v>33</v>
      </c>
      <c r="E88" s="6">
        <v>44312</v>
      </c>
      <c r="F88" s="5">
        <v>75280</v>
      </c>
      <c r="G88" t="s">
        <v>16</v>
      </c>
      <c r="H88" t="s">
        <v>205</v>
      </c>
      <c r="I88" s="7">
        <f ca="1">(TODAY()-staff[[#This Row],[Date Joined]])/365</f>
        <v>2.6438356164383561</v>
      </c>
      <c r="J88" s="5">
        <f ca="1">IF(staff[[#This Row],[Tenure]] &gt;2,3%,2%)*staff[[#This Row],[Salary]]</f>
        <v>2258.4</v>
      </c>
      <c r="K88" s="7">
        <f>_xlfn.XLOOKUP(staff[[#This Row],[Rating]], 'Rating maping table'!$C$6:$C$10,'Rating maping table'!$D$6:$D$10)</f>
        <v>3</v>
      </c>
    </row>
    <row r="89" spans="1:11" x14ac:dyDescent="0.25">
      <c r="A89" t="s">
        <v>18</v>
      </c>
      <c r="B89" t="s">
        <v>15</v>
      </c>
      <c r="C89" t="s">
        <v>19</v>
      </c>
      <c r="D89">
        <v>33</v>
      </c>
      <c r="E89" s="6">
        <v>44385</v>
      </c>
      <c r="F89" s="5">
        <v>74550</v>
      </c>
      <c r="G89" t="s">
        <v>16</v>
      </c>
      <c r="H89" t="s">
        <v>205</v>
      </c>
      <c r="I89" s="7">
        <f ca="1">(TODAY()-staff[[#This Row],[Date Joined]])/365</f>
        <v>2.4438356164383563</v>
      </c>
      <c r="J89" s="5">
        <f ca="1">IF(staff[[#This Row],[Tenure]] &gt;2,3%,2%)*staff[[#This Row],[Salary]]</f>
        <v>2236.5</v>
      </c>
      <c r="K89" s="7">
        <f>_xlfn.XLOOKUP(staff[[#This Row],[Rating]], 'Rating maping table'!$C$6:$C$10,'Rating maping table'!$D$6:$D$10)</f>
        <v>3</v>
      </c>
    </row>
    <row r="90" spans="1:11" x14ac:dyDescent="0.25">
      <c r="A90" t="s">
        <v>45</v>
      </c>
      <c r="B90" t="s">
        <v>15</v>
      </c>
      <c r="C90" t="s">
        <v>9</v>
      </c>
      <c r="D90">
        <v>30</v>
      </c>
      <c r="E90" s="6">
        <v>44701</v>
      </c>
      <c r="F90" s="5">
        <v>67950</v>
      </c>
      <c r="G90" t="s">
        <v>16</v>
      </c>
      <c r="H90" t="s">
        <v>205</v>
      </c>
      <c r="I90" s="7">
        <f ca="1">(TODAY()-staff[[#This Row],[Date Joined]])/365</f>
        <v>1.5780821917808219</v>
      </c>
      <c r="J90" s="5">
        <f ca="1">IF(staff[[#This Row],[Tenure]] &gt;2,3%,2%)*staff[[#This Row],[Salary]]</f>
        <v>1359</v>
      </c>
      <c r="K90" s="7">
        <f>_xlfn.XLOOKUP(staff[[#This Row],[Rating]], 'Rating maping table'!$C$6:$C$10,'Rating maping table'!$D$6:$D$10)</f>
        <v>3</v>
      </c>
    </row>
    <row r="91" spans="1:11" x14ac:dyDescent="0.25">
      <c r="A91" t="s">
        <v>90</v>
      </c>
      <c r="B91" t="s">
        <v>15</v>
      </c>
      <c r="C91" t="s">
        <v>21</v>
      </c>
      <c r="D91">
        <v>42</v>
      </c>
      <c r="E91" s="6">
        <v>44731</v>
      </c>
      <c r="F91" s="5">
        <v>70270</v>
      </c>
      <c r="G91" t="s">
        <v>24</v>
      </c>
      <c r="H91" t="s">
        <v>205</v>
      </c>
      <c r="I91" s="7">
        <f ca="1">(TODAY()-staff[[#This Row],[Date Joined]])/365</f>
        <v>1.4958904109589042</v>
      </c>
      <c r="J91" s="5">
        <f ca="1">IF(staff[[#This Row],[Tenure]] &gt;2,3%,2%)*staff[[#This Row],[Salary]]</f>
        <v>1405.4</v>
      </c>
      <c r="K91" s="7">
        <f>_xlfn.XLOOKUP(staff[[#This Row],[Rating]], 'Rating maping table'!$C$6:$C$10,'Rating maping table'!$D$6:$D$10)</f>
        <v>2</v>
      </c>
    </row>
    <row r="92" spans="1:11" x14ac:dyDescent="0.25">
      <c r="A92" t="s">
        <v>46</v>
      </c>
      <c r="B92" t="s">
        <v>15</v>
      </c>
      <c r="C92" t="s">
        <v>9</v>
      </c>
      <c r="D92">
        <v>26</v>
      </c>
      <c r="E92" s="6">
        <v>44411</v>
      </c>
      <c r="F92" s="5">
        <v>53540</v>
      </c>
      <c r="G92" t="s">
        <v>16</v>
      </c>
      <c r="H92" t="s">
        <v>205</v>
      </c>
      <c r="I92" s="7">
        <f ca="1">(TODAY()-staff[[#This Row],[Date Joined]])/365</f>
        <v>2.3726027397260272</v>
      </c>
      <c r="J92" s="5">
        <f ca="1">IF(staff[[#This Row],[Tenure]] &gt;2,3%,2%)*staff[[#This Row],[Salary]]</f>
        <v>1606.2</v>
      </c>
      <c r="K92" s="7">
        <f>_xlfn.XLOOKUP(staff[[#This Row],[Rating]], 'Rating maping table'!$C$6:$C$10,'Rating maping table'!$D$6:$D$10)</f>
        <v>3</v>
      </c>
    </row>
    <row r="93" spans="1:11" x14ac:dyDescent="0.25">
      <c r="A93" t="s">
        <v>156</v>
      </c>
      <c r="B93" t="s">
        <v>15</v>
      </c>
      <c r="C93" t="s">
        <v>12</v>
      </c>
      <c r="D93">
        <v>20</v>
      </c>
      <c r="E93" s="6">
        <v>44122</v>
      </c>
      <c r="F93" s="5">
        <v>112650</v>
      </c>
      <c r="G93" t="s">
        <v>16</v>
      </c>
      <c r="H93" t="s">
        <v>207</v>
      </c>
      <c r="I93" s="7">
        <f ca="1">(TODAY()-staff[[#This Row],[Date Joined]])/365</f>
        <v>3.1643835616438358</v>
      </c>
      <c r="J93" s="5">
        <f ca="1">IF(staff[[#This Row],[Tenure]] &gt;2,3%,2%)*staff[[#This Row],[Salary]]</f>
        <v>3379.5</v>
      </c>
      <c r="K93" s="7">
        <f>_xlfn.XLOOKUP(staff[[#This Row],[Rating]], 'Rating maping table'!$C$6:$C$10,'Rating maping table'!$D$6:$D$10)</f>
        <v>3</v>
      </c>
    </row>
    <row r="94" spans="1:11" x14ac:dyDescent="0.25">
      <c r="A94" t="s">
        <v>176</v>
      </c>
      <c r="B94" t="s">
        <v>8</v>
      </c>
      <c r="C94" t="s">
        <v>12</v>
      </c>
      <c r="D94">
        <v>32</v>
      </c>
      <c r="E94" s="6">
        <v>44293</v>
      </c>
      <c r="F94" s="5">
        <v>43840</v>
      </c>
      <c r="G94" t="s">
        <v>13</v>
      </c>
      <c r="H94" t="s">
        <v>207</v>
      </c>
      <c r="I94" s="7">
        <f ca="1">(TODAY()-staff[[#This Row],[Date Joined]])/365</f>
        <v>2.6958904109589041</v>
      </c>
      <c r="J94" s="5">
        <f ca="1">IF(staff[[#This Row],[Tenure]] &gt;2,3%,2%)*staff[[#This Row],[Salary]]</f>
        <v>1315.2</v>
      </c>
      <c r="K94" s="7">
        <f>_xlfn.XLOOKUP(staff[[#This Row],[Rating]], 'Rating maping table'!$C$6:$C$10,'Rating maping table'!$D$6:$D$10)</f>
        <v>4</v>
      </c>
    </row>
    <row r="95" spans="1:11" x14ac:dyDescent="0.25">
      <c r="A95" t="s">
        <v>143</v>
      </c>
      <c r="B95" t="s">
        <v>15</v>
      </c>
      <c r="C95" t="s">
        <v>9</v>
      </c>
      <c r="D95">
        <v>31</v>
      </c>
      <c r="E95" s="6">
        <v>44663</v>
      </c>
      <c r="F95" s="5">
        <v>103550</v>
      </c>
      <c r="G95" t="s">
        <v>16</v>
      </c>
      <c r="H95" t="s">
        <v>207</v>
      </c>
      <c r="I95" s="7">
        <f ca="1">(TODAY()-staff[[#This Row],[Date Joined]])/365</f>
        <v>1.6821917808219178</v>
      </c>
      <c r="J95" s="5">
        <f ca="1">IF(staff[[#This Row],[Tenure]] &gt;2,3%,2%)*staff[[#This Row],[Salary]]</f>
        <v>2071</v>
      </c>
      <c r="K95" s="7">
        <f>_xlfn.XLOOKUP(staff[[#This Row],[Rating]], 'Rating maping table'!$C$6:$C$10,'Rating maping table'!$D$6:$D$10)</f>
        <v>3</v>
      </c>
    </row>
    <row r="96" spans="1:11" x14ac:dyDescent="0.25">
      <c r="A96" t="s">
        <v>201</v>
      </c>
      <c r="B96" t="s">
        <v>8</v>
      </c>
      <c r="C96" t="s">
        <v>56</v>
      </c>
      <c r="D96">
        <v>32</v>
      </c>
      <c r="E96" s="6">
        <v>44339</v>
      </c>
      <c r="F96" s="5">
        <v>45510</v>
      </c>
      <c r="G96" t="s">
        <v>16</v>
      </c>
      <c r="H96" t="s">
        <v>207</v>
      </c>
      <c r="I96" s="7">
        <f ca="1">(TODAY()-staff[[#This Row],[Date Joined]])/365</f>
        <v>2.56986301369863</v>
      </c>
      <c r="J96" s="5">
        <f ca="1">IF(staff[[#This Row],[Tenure]] &gt;2,3%,2%)*staff[[#This Row],[Salary]]</f>
        <v>1365.3</v>
      </c>
      <c r="K96" s="7">
        <f>_xlfn.XLOOKUP(staff[[#This Row],[Rating]], 'Rating maping table'!$C$6:$C$10,'Rating maping table'!$D$6:$D$10)</f>
        <v>3</v>
      </c>
    </row>
    <row r="97" spans="1:11" x14ac:dyDescent="0.25">
      <c r="A97" t="s">
        <v>142</v>
      </c>
      <c r="B97" t="s">
        <v>206</v>
      </c>
      <c r="C97" t="s">
        <v>21</v>
      </c>
      <c r="D97">
        <v>37</v>
      </c>
      <c r="E97" s="6">
        <v>44085</v>
      </c>
      <c r="F97" s="5">
        <v>115440</v>
      </c>
      <c r="G97" t="s">
        <v>24</v>
      </c>
      <c r="H97" t="s">
        <v>207</v>
      </c>
      <c r="I97" s="7">
        <f ca="1">(TODAY()-staff[[#This Row],[Date Joined]])/365</f>
        <v>3.2657534246575342</v>
      </c>
      <c r="J97" s="5">
        <f ca="1">IF(staff[[#This Row],[Tenure]] &gt;2,3%,2%)*staff[[#This Row],[Salary]]</f>
        <v>3463.2</v>
      </c>
      <c r="K97" s="7">
        <f>_xlfn.XLOOKUP(staff[[#This Row],[Rating]], 'Rating maping table'!$C$6:$C$10,'Rating maping table'!$D$6:$D$10)</f>
        <v>2</v>
      </c>
    </row>
    <row r="98" spans="1:11" x14ac:dyDescent="0.25">
      <c r="A98" t="s">
        <v>202</v>
      </c>
      <c r="B98" t="s">
        <v>8</v>
      </c>
      <c r="C98" t="s">
        <v>19</v>
      </c>
      <c r="D98">
        <v>38</v>
      </c>
      <c r="E98" s="6">
        <v>44268</v>
      </c>
      <c r="F98" s="5">
        <v>56870</v>
      </c>
      <c r="G98" t="s">
        <v>13</v>
      </c>
      <c r="H98" t="s">
        <v>207</v>
      </c>
      <c r="I98" s="7">
        <f ca="1">(TODAY()-staff[[#This Row],[Date Joined]])/365</f>
        <v>2.7643835616438355</v>
      </c>
      <c r="J98" s="5">
        <f ca="1">IF(staff[[#This Row],[Tenure]] &gt;2,3%,2%)*staff[[#This Row],[Salary]]</f>
        <v>1706.1</v>
      </c>
      <c r="K98" s="7">
        <f>_xlfn.XLOOKUP(staff[[#This Row],[Rating]], 'Rating maping table'!$C$6:$C$10,'Rating maping table'!$D$6:$D$10)</f>
        <v>4</v>
      </c>
    </row>
    <row r="99" spans="1:11" x14ac:dyDescent="0.25">
      <c r="A99" t="s">
        <v>169</v>
      </c>
      <c r="B99" t="s">
        <v>8</v>
      </c>
      <c r="C99" t="s">
        <v>19</v>
      </c>
      <c r="D99">
        <v>25</v>
      </c>
      <c r="E99" s="6">
        <v>44144</v>
      </c>
      <c r="F99" s="5">
        <v>92700</v>
      </c>
      <c r="G99" t="s">
        <v>16</v>
      </c>
      <c r="H99" t="s">
        <v>207</v>
      </c>
      <c r="I99" s="7">
        <f ca="1">(TODAY()-staff[[#This Row],[Date Joined]])/365</f>
        <v>3.1041095890410957</v>
      </c>
      <c r="J99" s="5">
        <f ca="1">IF(staff[[#This Row],[Tenure]] &gt;2,3%,2%)*staff[[#This Row],[Salary]]</f>
        <v>2781</v>
      </c>
      <c r="K99" s="7">
        <f>_xlfn.XLOOKUP(staff[[#This Row],[Rating]], 'Rating maping table'!$C$6:$C$10,'Rating maping table'!$D$6:$D$10)</f>
        <v>3</v>
      </c>
    </row>
    <row r="100" spans="1:11" x14ac:dyDescent="0.25">
      <c r="A100" t="s">
        <v>145</v>
      </c>
      <c r="B100" t="s">
        <v>206</v>
      </c>
      <c r="C100" t="s">
        <v>12</v>
      </c>
      <c r="D100">
        <v>32</v>
      </c>
      <c r="E100" s="6">
        <v>44713</v>
      </c>
      <c r="F100" s="5">
        <v>91310</v>
      </c>
      <c r="G100" t="s">
        <v>16</v>
      </c>
      <c r="H100" t="s">
        <v>207</v>
      </c>
      <c r="I100" s="7">
        <f ca="1">(TODAY()-staff[[#This Row],[Date Joined]])/365</f>
        <v>1.5452054794520549</v>
      </c>
      <c r="J100" s="5">
        <f ca="1">IF(staff[[#This Row],[Tenure]] &gt;2,3%,2%)*staff[[#This Row],[Salary]]</f>
        <v>1826.2</v>
      </c>
      <c r="K100" s="7">
        <f>_xlfn.XLOOKUP(staff[[#This Row],[Rating]], 'Rating maping table'!$C$6:$C$10,'Rating maping table'!$D$6:$D$10)</f>
        <v>3</v>
      </c>
    </row>
    <row r="101" spans="1:11" x14ac:dyDescent="0.25">
      <c r="A101" t="s">
        <v>115</v>
      </c>
      <c r="B101" t="s">
        <v>15</v>
      </c>
      <c r="C101" t="s">
        <v>19</v>
      </c>
      <c r="D101">
        <v>33</v>
      </c>
      <c r="E101" s="6">
        <v>44324</v>
      </c>
      <c r="F101" s="5">
        <v>74550</v>
      </c>
      <c r="G101" t="s">
        <v>16</v>
      </c>
      <c r="H101" t="s">
        <v>207</v>
      </c>
      <c r="I101" s="7">
        <f ca="1">(TODAY()-staff[[#This Row],[Date Joined]])/365</f>
        <v>2.6109589041095891</v>
      </c>
      <c r="J101" s="5">
        <f ca="1">IF(staff[[#This Row],[Tenure]] &gt;2,3%,2%)*staff[[#This Row],[Salary]]</f>
        <v>2236.5</v>
      </c>
      <c r="K101" s="7">
        <f>_xlfn.XLOOKUP(staff[[#This Row],[Rating]], 'Rating maping table'!$C$6:$C$10,'Rating maping table'!$D$6:$D$10)</f>
        <v>3</v>
      </c>
    </row>
    <row r="102" spans="1:11" x14ac:dyDescent="0.25">
      <c r="A102" t="s">
        <v>128</v>
      </c>
      <c r="B102" t="s">
        <v>15</v>
      </c>
      <c r="C102" t="s">
        <v>9</v>
      </c>
      <c r="D102">
        <v>25</v>
      </c>
      <c r="E102" s="6">
        <v>44665</v>
      </c>
      <c r="F102" s="5">
        <v>109190</v>
      </c>
      <c r="G102" t="s">
        <v>13</v>
      </c>
      <c r="H102" t="s">
        <v>207</v>
      </c>
      <c r="I102" s="7">
        <f ca="1">(TODAY()-staff[[#This Row],[Date Joined]])/365</f>
        <v>1.6767123287671233</v>
      </c>
      <c r="J102" s="5">
        <f ca="1">IF(staff[[#This Row],[Tenure]] &gt;2,3%,2%)*staff[[#This Row],[Salary]]</f>
        <v>2183.8000000000002</v>
      </c>
      <c r="K102" s="7">
        <f>_xlfn.XLOOKUP(staff[[#This Row],[Rating]], 'Rating maping table'!$C$6:$C$10,'Rating maping table'!$D$6:$D$10)</f>
        <v>4</v>
      </c>
    </row>
    <row r="103" spans="1:11" x14ac:dyDescent="0.25">
      <c r="A103" t="s">
        <v>194</v>
      </c>
      <c r="B103" t="s">
        <v>8</v>
      </c>
      <c r="C103" t="s">
        <v>12</v>
      </c>
      <c r="D103">
        <v>40</v>
      </c>
      <c r="E103" s="6">
        <v>44320</v>
      </c>
      <c r="F103" s="5">
        <v>104410</v>
      </c>
      <c r="G103" t="s">
        <v>16</v>
      </c>
      <c r="H103" t="s">
        <v>207</v>
      </c>
      <c r="I103" s="7">
        <f ca="1">(TODAY()-staff[[#This Row],[Date Joined]])/365</f>
        <v>2.6219178082191781</v>
      </c>
      <c r="J103" s="5">
        <f ca="1">IF(staff[[#This Row],[Tenure]] &gt;2,3%,2%)*staff[[#This Row],[Salary]]</f>
        <v>3132.2999999999997</v>
      </c>
      <c r="K103" s="7">
        <f>_xlfn.XLOOKUP(staff[[#This Row],[Rating]], 'Rating maping table'!$C$6:$C$10,'Rating maping table'!$D$6:$D$10)</f>
        <v>3</v>
      </c>
    </row>
    <row r="104" spans="1:11" x14ac:dyDescent="0.25">
      <c r="A104" t="s">
        <v>177</v>
      </c>
      <c r="B104" t="s">
        <v>15</v>
      </c>
      <c r="C104" t="s">
        <v>21</v>
      </c>
      <c r="D104">
        <v>30</v>
      </c>
      <c r="E104" s="6">
        <v>44544</v>
      </c>
      <c r="F104" s="5">
        <v>96800</v>
      </c>
      <c r="G104" t="s">
        <v>16</v>
      </c>
      <c r="H104" t="s">
        <v>207</v>
      </c>
      <c r="I104" s="7">
        <f ca="1">(TODAY()-staff[[#This Row],[Date Joined]])/365</f>
        <v>2.0082191780821916</v>
      </c>
      <c r="J104" s="5">
        <f ca="1">IF(staff[[#This Row],[Tenure]] &gt;2,3%,2%)*staff[[#This Row],[Salary]]</f>
        <v>2904</v>
      </c>
      <c r="K104" s="7">
        <f>_xlfn.XLOOKUP(staff[[#This Row],[Rating]], 'Rating maping table'!$C$6:$C$10,'Rating maping table'!$D$6:$D$10)</f>
        <v>3</v>
      </c>
    </row>
    <row r="105" spans="1:11" x14ac:dyDescent="0.25">
      <c r="A105" t="s">
        <v>123</v>
      </c>
      <c r="B105" t="s">
        <v>15</v>
      </c>
      <c r="C105" t="s">
        <v>21</v>
      </c>
      <c r="D105">
        <v>28</v>
      </c>
      <c r="E105" s="6">
        <v>43980</v>
      </c>
      <c r="F105" s="5">
        <v>48170</v>
      </c>
      <c r="G105" t="s">
        <v>13</v>
      </c>
      <c r="H105" t="s">
        <v>207</v>
      </c>
      <c r="I105" s="7">
        <f ca="1">(TODAY()-staff[[#This Row],[Date Joined]])/365</f>
        <v>3.5534246575342467</v>
      </c>
      <c r="J105" s="5">
        <f ca="1">IF(staff[[#This Row],[Tenure]] &gt;2,3%,2%)*staff[[#This Row],[Salary]]</f>
        <v>1445.1</v>
      </c>
      <c r="K105" s="7">
        <f>_xlfn.XLOOKUP(staff[[#This Row],[Rating]], 'Rating maping table'!$C$6:$C$10,'Rating maping table'!$D$6:$D$10)</f>
        <v>4</v>
      </c>
    </row>
    <row r="106" spans="1:11" x14ac:dyDescent="0.25">
      <c r="A106" t="s">
        <v>140</v>
      </c>
      <c r="B106" t="s">
        <v>15</v>
      </c>
      <c r="C106" t="s">
        <v>9</v>
      </c>
      <c r="D106">
        <v>21</v>
      </c>
      <c r="E106" s="6">
        <v>44042</v>
      </c>
      <c r="F106" s="5">
        <v>37920</v>
      </c>
      <c r="G106" t="s">
        <v>16</v>
      </c>
      <c r="H106" t="s">
        <v>207</v>
      </c>
      <c r="I106" s="7">
        <f ca="1">(TODAY()-staff[[#This Row],[Date Joined]])/365</f>
        <v>3.3835616438356166</v>
      </c>
      <c r="J106" s="5">
        <f ca="1">IF(staff[[#This Row],[Tenure]] &gt;2,3%,2%)*staff[[#This Row],[Salary]]</f>
        <v>1137.5999999999999</v>
      </c>
      <c r="K106" s="7">
        <f>_xlfn.XLOOKUP(staff[[#This Row],[Rating]], 'Rating maping table'!$C$6:$C$10,'Rating maping table'!$D$6:$D$10)</f>
        <v>3</v>
      </c>
    </row>
    <row r="107" spans="1:11" x14ac:dyDescent="0.25">
      <c r="A107" t="s">
        <v>178</v>
      </c>
      <c r="B107" t="s">
        <v>15</v>
      </c>
      <c r="C107" t="s">
        <v>9</v>
      </c>
      <c r="D107">
        <v>34</v>
      </c>
      <c r="E107" s="6">
        <v>44642</v>
      </c>
      <c r="F107" s="5">
        <v>112650</v>
      </c>
      <c r="G107" t="s">
        <v>16</v>
      </c>
      <c r="H107" t="s">
        <v>207</v>
      </c>
      <c r="I107" s="7">
        <f ca="1">(TODAY()-staff[[#This Row],[Date Joined]])/365</f>
        <v>1.7397260273972603</v>
      </c>
      <c r="J107" s="5">
        <f ca="1">IF(staff[[#This Row],[Tenure]] &gt;2,3%,2%)*staff[[#This Row],[Salary]]</f>
        <v>2253</v>
      </c>
      <c r="K107" s="7">
        <f>_xlfn.XLOOKUP(staff[[#This Row],[Rating]], 'Rating maping table'!$C$6:$C$10,'Rating maping table'!$D$6:$D$10)</f>
        <v>3</v>
      </c>
    </row>
    <row r="108" spans="1:11" x14ac:dyDescent="0.25">
      <c r="A108" t="s">
        <v>165</v>
      </c>
      <c r="B108" t="s">
        <v>8</v>
      </c>
      <c r="C108" t="s">
        <v>19</v>
      </c>
      <c r="D108">
        <v>34</v>
      </c>
      <c r="E108" s="6">
        <v>44660</v>
      </c>
      <c r="F108" s="5">
        <v>49630</v>
      </c>
      <c r="G108" t="s">
        <v>24</v>
      </c>
      <c r="H108" t="s">
        <v>207</v>
      </c>
      <c r="I108" s="7">
        <f ca="1">(TODAY()-staff[[#This Row],[Date Joined]])/365</f>
        <v>1.6904109589041096</v>
      </c>
      <c r="J108" s="5">
        <f ca="1">IF(staff[[#This Row],[Tenure]] &gt;2,3%,2%)*staff[[#This Row],[Salary]]</f>
        <v>992.6</v>
      </c>
      <c r="K108" s="7">
        <f>_xlfn.XLOOKUP(staff[[#This Row],[Rating]], 'Rating maping table'!$C$6:$C$10,'Rating maping table'!$D$6:$D$10)</f>
        <v>2</v>
      </c>
    </row>
    <row r="109" spans="1:11" x14ac:dyDescent="0.25">
      <c r="A109" t="s">
        <v>199</v>
      </c>
      <c r="B109" t="s">
        <v>15</v>
      </c>
      <c r="C109" t="s">
        <v>12</v>
      </c>
      <c r="D109">
        <v>36</v>
      </c>
      <c r="E109" s="6">
        <v>43958</v>
      </c>
      <c r="F109" s="5">
        <v>118840</v>
      </c>
      <c r="G109" t="s">
        <v>16</v>
      </c>
      <c r="H109" t="s">
        <v>207</v>
      </c>
      <c r="I109" s="7">
        <f ca="1">(TODAY()-staff[[#This Row],[Date Joined]])/365</f>
        <v>3.6136986301369864</v>
      </c>
      <c r="J109" s="5">
        <f ca="1">IF(staff[[#This Row],[Tenure]] &gt;2,3%,2%)*staff[[#This Row],[Salary]]</f>
        <v>3565.2</v>
      </c>
      <c r="K109" s="7">
        <f>_xlfn.XLOOKUP(staff[[#This Row],[Rating]], 'Rating maping table'!$C$6:$C$10,'Rating maping table'!$D$6:$D$10)</f>
        <v>3</v>
      </c>
    </row>
    <row r="110" spans="1:11" x14ac:dyDescent="0.25">
      <c r="A110" t="s">
        <v>159</v>
      </c>
      <c r="B110" t="s">
        <v>15</v>
      </c>
      <c r="C110" t="s">
        <v>12</v>
      </c>
      <c r="D110">
        <v>30</v>
      </c>
      <c r="E110" s="6">
        <v>44789</v>
      </c>
      <c r="F110" s="5">
        <v>69710</v>
      </c>
      <c r="G110" t="s">
        <v>16</v>
      </c>
      <c r="H110" t="s">
        <v>207</v>
      </c>
      <c r="I110" s="7">
        <f ca="1">(TODAY()-staff[[#This Row],[Date Joined]])/365</f>
        <v>1.3369863013698631</v>
      </c>
      <c r="J110" s="5">
        <f ca="1">IF(staff[[#This Row],[Tenure]] &gt;2,3%,2%)*staff[[#This Row],[Salary]]</f>
        <v>1394.2</v>
      </c>
      <c r="K110" s="7">
        <f>_xlfn.XLOOKUP(staff[[#This Row],[Rating]], 'Rating maping table'!$C$6:$C$10,'Rating maping table'!$D$6:$D$10)</f>
        <v>3</v>
      </c>
    </row>
    <row r="111" spans="1:11" x14ac:dyDescent="0.25">
      <c r="A111" t="s">
        <v>197</v>
      </c>
      <c r="B111" t="s">
        <v>15</v>
      </c>
      <c r="C111" t="s">
        <v>9</v>
      </c>
      <c r="D111">
        <v>20</v>
      </c>
      <c r="E111" s="6">
        <v>44683</v>
      </c>
      <c r="F111" s="5">
        <v>79570</v>
      </c>
      <c r="G111" t="s">
        <v>16</v>
      </c>
      <c r="H111" t="s">
        <v>207</v>
      </c>
      <c r="I111" s="7">
        <f ca="1">(TODAY()-staff[[#This Row],[Date Joined]])/365</f>
        <v>1.6273972602739726</v>
      </c>
      <c r="J111" s="5">
        <f ca="1">IF(staff[[#This Row],[Tenure]] &gt;2,3%,2%)*staff[[#This Row],[Salary]]</f>
        <v>1591.4</v>
      </c>
      <c r="K111" s="7">
        <f>_xlfn.XLOOKUP(staff[[#This Row],[Rating]], 'Rating maping table'!$C$6:$C$10,'Rating maping table'!$D$6:$D$10)</f>
        <v>3</v>
      </c>
    </row>
    <row r="112" spans="1:11" x14ac:dyDescent="0.25">
      <c r="A112" t="s">
        <v>154</v>
      </c>
      <c r="B112" t="s">
        <v>8</v>
      </c>
      <c r="C112" t="s">
        <v>9</v>
      </c>
      <c r="D112">
        <v>22</v>
      </c>
      <c r="E112" s="6">
        <v>44388</v>
      </c>
      <c r="F112" s="5">
        <v>76900</v>
      </c>
      <c r="G112" t="s">
        <v>13</v>
      </c>
      <c r="H112" t="s">
        <v>207</v>
      </c>
      <c r="I112" s="7">
        <f ca="1">(TODAY()-staff[[#This Row],[Date Joined]])/365</f>
        <v>2.4356164383561643</v>
      </c>
      <c r="J112" s="5">
        <f ca="1">IF(staff[[#This Row],[Tenure]] &gt;2,3%,2%)*staff[[#This Row],[Salary]]</f>
        <v>2307</v>
      </c>
      <c r="K112" s="7">
        <f>_xlfn.XLOOKUP(staff[[#This Row],[Rating]], 'Rating maping table'!$C$6:$C$10,'Rating maping table'!$D$6:$D$10)</f>
        <v>4</v>
      </c>
    </row>
    <row r="113" spans="1:11" x14ac:dyDescent="0.25">
      <c r="A113" t="s">
        <v>182</v>
      </c>
      <c r="B113" t="s">
        <v>15</v>
      </c>
      <c r="C113" t="s">
        <v>19</v>
      </c>
      <c r="D113">
        <v>27</v>
      </c>
      <c r="E113" s="6">
        <v>44073</v>
      </c>
      <c r="F113" s="5">
        <v>54970</v>
      </c>
      <c r="G113" t="s">
        <v>16</v>
      </c>
      <c r="H113" t="s">
        <v>207</v>
      </c>
      <c r="I113" s="7">
        <f ca="1">(TODAY()-staff[[#This Row],[Date Joined]])/365</f>
        <v>3.2986301369863016</v>
      </c>
      <c r="J113" s="5">
        <f ca="1">IF(staff[[#This Row],[Tenure]] &gt;2,3%,2%)*staff[[#This Row],[Salary]]</f>
        <v>1649.1</v>
      </c>
      <c r="K113" s="7">
        <f>_xlfn.XLOOKUP(staff[[#This Row],[Rating]], 'Rating maping table'!$C$6:$C$10,'Rating maping table'!$D$6:$D$10)</f>
        <v>3</v>
      </c>
    </row>
    <row r="114" spans="1:11" x14ac:dyDescent="0.25">
      <c r="A114" t="s">
        <v>118</v>
      </c>
      <c r="B114" t="s">
        <v>15</v>
      </c>
      <c r="C114" t="s">
        <v>12</v>
      </c>
      <c r="D114">
        <v>37</v>
      </c>
      <c r="E114" s="6">
        <v>44277</v>
      </c>
      <c r="F114" s="5">
        <v>88050</v>
      </c>
      <c r="G114" t="s">
        <v>24</v>
      </c>
      <c r="H114" t="s">
        <v>207</v>
      </c>
      <c r="I114" s="7">
        <f ca="1">(TODAY()-staff[[#This Row],[Date Joined]])/365</f>
        <v>2.7397260273972601</v>
      </c>
      <c r="J114" s="5">
        <f ca="1">IF(staff[[#This Row],[Tenure]] &gt;2,3%,2%)*staff[[#This Row],[Salary]]</f>
        <v>2641.5</v>
      </c>
      <c r="K114" s="7">
        <f>_xlfn.XLOOKUP(staff[[#This Row],[Rating]], 'Rating maping table'!$C$6:$C$10,'Rating maping table'!$D$6:$D$10)</f>
        <v>2</v>
      </c>
    </row>
    <row r="115" spans="1:11" x14ac:dyDescent="0.25">
      <c r="A115" t="s">
        <v>192</v>
      </c>
      <c r="B115" t="s">
        <v>15</v>
      </c>
      <c r="C115" t="s">
        <v>19</v>
      </c>
      <c r="D115">
        <v>43</v>
      </c>
      <c r="E115" s="6">
        <v>44558</v>
      </c>
      <c r="F115" s="5">
        <v>36040</v>
      </c>
      <c r="G115" t="s">
        <v>16</v>
      </c>
      <c r="H115" t="s">
        <v>207</v>
      </c>
      <c r="I115" s="7">
        <f ca="1">(TODAY()-staff[[#This Row],[Date Joined]])/365</f>
        <v>1.9698630136986301</v>
      </c>
      <c r="J115" s="5">
        <f ca="1">IF(staff[[#This Row],[Tenure]] &gt;2,3%,2%)*staff[[#This Row],[Salary]]</f>
        <v>720.80000000000007</v>
      </c>
      <c r="K115" s="7">
        <f>_xlfn.XLOOKUP(staff[[#This Row],[Rating]], 'Rating maping table'!$C$6:$C$10,'Rating maping table'!$D$6:$D$10)</f>
        <v>3</v>
      </c>
    </row>
    <row r="116" spans="1:11" x14ac:dyDescent="0.25">
      <c r="A116" t="s">
        <v>111</v>
      </c>
      <c r="B116" t="s">
        <v>8</v>
      </c>
      <c r="C116" t="s">
        <v>9</v>
      </c>
      <c r="D116">
        <v>42</v>
      </c>
      <c r="E116" s="6">
        <v>44718</v>
      </c>
      <c r="F116" s="5">
        <v>75000</v>
      </c>
      <c r="G116" t="s">
        <v>10</v>
      </c>
      <c r="H116" t="s">
        <v>207</v>
      </c>
      <c r="I116" s="7">
        <f ca="1">(TODAY()-staff[[#This Row],[Date Joined]])/365</f>
        <v>1.5315068493150685</v>
      </c>
      <c r="J116" s="5">
        <f ca="1">IF(staff[[#This Row],[Tenure]] &gt;2,3%,2%)*staff[[#This Row],[Salary]]</f>
        <v>1500</v>
      </c>
      <c r="K116" s="7">
        <f>_xlfn.XLOOKUP(staff[[#This Row],[Rating]], 'Rating maping table'!$C$6:$C$10,'Rating maping table'!$D$6:$D$10)</f>
        <v>5</v>
      </c>
    </row>
    <row r="117" spans="1:11" x14ac:dyDescent="0.25">
      <c r="A117" t="s">
        <v>149</v>
      </c>
      <c r="B117" t="s">
        <v>15</v>
      </c>
      <c r="C117" t="s">
        <v>9</v>
      </c>
      <c r="D117">
        <v>35</v>
      </c>
      <c r="E117" s="6">
        <v>44666</v>
      </c>
      <c r="F117" s="5">
        <v>40400</v>
      </c>
      <c r="G117" t="s">
        <v>16</v>
      </c>
      <c r="H117" t="s">
        <v>207</v>
      </c>
      <c r="I117" s="7">
        <f ca="1">(TODAY()-staff[[#This Row],[Date Joined]])/365</f>
        <v>1.6739726027397259</v>
      </c>
      <c r="J117" s="5">
        <f ca="1">IF(staff[[#This Row],[Tenure]] &gt;2,3%,2%)*staff[[#This Row],[Salary]]</f>
        <v>808</v>
      </c>
      <c r="K117" s="7">
        <f>_xlfn.XLOOKUP(staff[[#This Row],[Rating]], 'Rating maping table'!$C$6:$C$10,'Rating maping table'!$D$6:$D$10)</f>
        <v>3</v>
      </c>
    </row>
    <row r="118" spans="1:11" x14ac:dyDescent="0.25">
      <c r="A118" t="s">
        <v>196</v>
      </c>
      <c r="B118" t="s">
        <v>15</v>
      </c>
      <c r="C118" t="s">
        <v>12</v>
      </c>
      <c r="D118">
        <v>24</v>
      </c>
      <c r="E118" s="6">
        <v>44625</v>
      </c>
      <c r="F118" s="5">
        <v>100420</v>
      </c>
      <c r="G118" t="s">
        <v>16</v>
      </c>
      <c r="H118" t="s">
        <v>207</v>
      </c>
      <c r="I118" s="7">
        <f ca="1">(TODAY()-staff[[#This Row],[Date Joined]])/365</f>
        <v>1.7863013698630137</v>
      </c>
      <c r="J118" s="5">
        <f ca="1">IF(staff[[#This Row],[Tenure]] &gt;2,3%,2%)*staff[[#This Row],[Salary]]</f>
        <v>2008.4</v>
      </c>
      <c r="K118" s="7">
        <f>_xlfn.XLOOKUP(staff[[#This Row],[Rating]], 'Rating maping table'!$C$6:$C$10,'Rating maping table'!$D$6:$D$10)</f>
        <v>3</v>
      </c>
    </row>
    <row r="119" spans="1:11" x14ac:dyDescent="0.25">
      <c r="A119" t="s">
        <v>120</v>
      </c>
      <c r="B119" t="s">
        <v>8</v>
      </c>
      <c r="C119" t="s">
        <v>12</v>
      </c>
      <c r="D119">
        <v>31</v>
      </c>
      <c r="E119" s="6">
        <v>44604</v>
      </c>
      <c r="F119" s="5">
        <v>58100</v>
      </c>
      <c r="G119" t="s">
        <v>16</v>
      </c>
      <c r="H119" t="s">
        <v>207</v>
      </c>
      <c r="I119" s="7">
        <f ca="1">(TODAY()-staff[[#This Row],[Date Joined]])/365</f>
        <v>1.8438356164383563</v>
      </c>
      <c r="J119" s="5">
        <f ca="1">IF(staff[[#This Row],[Tenure]] &gt;2,3%,2%)*staff[[#This Row],[Salary]]</f>
        <v>1162</v>
      </c>
      <c r="K119" s="7">
        <f>_xlfn.XLOOKUP(staff[[#This Row],[Rating]], 'Rating maping table'!$C$6:$C$10,'Rating maping table'!$D$6:$D$10)</f>
        <v>3</v>
      </c>
    </row>
    <row r="120" spans="1:11" x14ac:dyDescent="0.25">
      <c r="A120" t="s">
        <v>114</v>
      </c>
      <c r="B120" t="s">
        <v>8</v>
      </c>
      <c r="C120" t="s">
        <v>12</v>
      </c>
      <c r="D120">
        <v>44</v>
      </c>
      <c r="E120" s="6">
        <v>44985</v>
      </c>
      <c r="F120" s="5">
        <v>114870</v>
      </c>
      <c r="G120" t="s">
        <v>16</v>
      </c>
      <c r="H120" t="s">
        <v>207</v>
      </c>
      <c r="I120" s="7">
        <f ca="1">(TODAY()-staff[[#This Row],[Date Joined]])/365</f>
        <v>0.8</v>
      </c>
      <c r="J120" s="5">
        <f ca="1">IF(staff[[#This Row],[Tenure]] &gt;2,3%,2%)*staff[[#This Row],[Salary]]</f>
        <v>2297.4</v>
      </c>
      <c r="K120" s="7">
        <f>_xlfn.XLOOKUP(staff[[#This Row],[Rating]], 'Rating maping table'!$C$6:$C$10,'Rating maping table'!$D$6:$D$10)</f>
        <v>3</v>
      </c>
    </row>
    <row r="121" spans="1:11" x14ac:dyDescent="0.25">
      <c r="A121" t="s">
        <v>158</v>
      </c>
      <c r="B121" t="s">
        <v>8</v>
      </c>
      <c r="C121" t="s">
        <v>9</v>
      </c>
      <c r="D121">
        <v>32</v>
      </c>
      <c r="E121" s="6">
        <v>44549</v>
      </c>
      <c r="F121" s="5">
        <v>41570</v>
      </c>
      <c r="G121" t="s">
        <v>16</v>
      </c>
      <c r="H121" t="s">
        <v>207</v>
      </c>
      <c r="I121" s="7">
        <f ca="1">(TODAY()-staff[[#This Row],[Date Joined]])/365</f>
        <v>1.9945205479452055</v>
      </c>
      <c r="J121" s="5">
        <f ca="1">IF(staff[[#This Row],[Tenure]] &gt;2,3%,2%)*staff[[#This Row],[Salary]]</f>
        <v>831.4</v>
      </c>
      <c r="K121" s="7">
        <f>_xlfn.XLOOKUP(staff[[#This Row],[Rating]], 'Rating maping table'!$C$6:$C$10,'Rating maping table'!$D$6:$D$10)</f>
        <v>3</v>
      </c>
    </row>
    <row r="122" spans="1:11" x14ac:dyDescent="0.25">
      <c r="A122" t="s">
        <v>173</v>
      </c>
      <c r="B122" t="s">
        <v>8</v>
      </c>
      <c r="C122" t="s">
        <v>9</v>
      </c>
      <c r="D122">
        <v>30</v>
      </c>
      <c r="E122" s="6">
        <v>44800</v>
      </c>
      <c r="F122" s="5">
        <v>112570</v>
      </c>
      <c r="G122" t="s">
        <v>16</v>
      </c>
      <c r="H122" t="s">
        <v>207</v>
      </c>
      <c r="I122" s="7">
        <f ca="1">(TODAY()-staff[[#This Row],[Date Joined]])/365</f>
        <v>1.3068493150684932</v>
      </c>
      <c r="J122" s="5">
        <f ca="1">IF(staff[[#This Row],[Tenure]] &gt;2,3%,2%)*staff[[#This Row],[Salary]]</f>
        <v>2251.4</v>
      </c>
      <c r="K122" s="7">
        <f>_xlfn.XLOOKUP(staff[[#This Row],[Rating]], 'Rating maping table'!$C$6:$C$10,'Rating maping table'!$D$6:$D$10)</f>
        <v>3</v>
      </c>
    </row>
    <row r="123" spans="1:11" x14ac:dyDescent="0.25">
      <c r="A123" t="s">
        <v>151</v>
      </c>
      <c r="B123" t="s">
        <v>15</v>
      </c>
      <c r="C123" t="s">
        <v>9</v>
      </c>
      <c r="D123">
        <v>26</v>
      </c>
      <c r="E123" s="6">
        <v>44164</v>
      </c>
      <c r="F123" s="5">
        <v>47360</v>
      </c>
      <c r="G123" t="s">
        <v>16</v>
      </c>
      <c r="H123" t="s">
        <v>207</v>
      </c>
      <c r="I123" s="7">
        <f ca="1">(TODAY()-staff[[#This Row],[Date Joined]])/365</f>
        <v>3.0493150684931507</v>
      </c>
      <c r="J123" s="5">
        <f ca="1">IF(staff[[#This Row],[Tenure]] &gt;2,3%,2%)*staff[[#This Row],[Salary]]</f>
        <v>1420.8</v>
      </c>
      <c r="K123" s="7">
        <f>_xlfn.XLOOKUP(staff[[#This Row],[Rating]], 'Rating maping table'!$C$6:$C$10,'Rating maping table'!$D$6:$D$10)</f>
        <v>3</v>
      </c>
    </row>
    <row r="124" spans="1:11" x14ac:dyDescent="0.25">
      <c r="A124" t="s">
        <v>126</v>
      </c>
      <c r="B124" t="s">
        <v>8</v>
      </c>
      <c r="C124" t="s">
        <v>21</v>
      </c>
      <c r="D124">
        <v>21</v>
      </c>
      <c r="E124" s="6">
        <v>44256</v>
      </c>
      <c r="F124" s="5">
        <v>65920</v>
      </c>
      <c r="G124" t="s">
        <v>16</v>
      </c>
      <c r="H124" t="s">
        <v>207</v>
      </c>
      <c r="I124" s="7">
        <f ca="1">(TODAY()-staff[[#This Row],[Date Joined]])/365</f>
        <v>2.7972602739726029</v>
      </c>
      <c r="J124" s="5">
        <f ca="1">IF(staff[[#This Row],[Tenure]] &gt;2,3%,2%)*staff[[#This Row],[Salary]]</f>
        <v>1977.6</v>
      </c>
      <c r="K124" s="7">
        <f>_xlfn.XLOOKUP(staff[[#This Row],[Rating]], 'Rating maping table'!$C$6:$C$10,'Rating maping table'!$D$6:$D$10)</f>
        <v>3</v>
      </c>
    </row>
    <row r="125" spans="1:11" x14ac:dyDescent="0.25">
      <c r="A125" t="s">
        <v>200</v>
      </c>
      <c r="B125" t="s">
        <v>8</v>
      </c>
      <c r="C125" t="s">
        <v>9</v>
      </c>
      <c r="D125">
        <v>28</v>
      </c>
      <c r="E125" s="6">
        <v>44571</v>
      </c>
      <c r="F125" s="5">
        <v>99970</v>
      </c>
      <c r="G125" t="s">
        <v>16</v>
      </c>
      <c r="H125" t="s">
        <v>207</v>
      </c>
      <c r="I125" s="7">
        <f ca="1">(TODAY()-staff[[#This Row],[Date Joined]])/365</f>
        <v>1.9342465753424658</v>
      </c>
      <c r="J125" s="5">
        <f ca="1">IF(staff[[#This Row],[Tenure]] &gt;2,3%,2%)*staff[[#This Row],[Salary]]</f>
        <v>1999.4</v>
      </c>
      <c r="K125" s="7">
        <f>_xlfn.XLOOKUP(staff[[#This Row],[Rating]], 'Rating maping table'!$C$6:$C$10,'Rating maping table'!$D$6:$D$10)</f>
        <v>3</v>
      </c>
    </row>
    <row r="126" spans="1:11" x14ac:dyDescent="0.25">
      <c r="A126" t="s">
        <v>133</v>
      </c>
      <c r="B126" t="s">
        <v>8</v>
      </c>
      <c r="C126" t="s">
        <v>12</v>
      </c>
      <c r="D126">
        <v>25</v>
      </c>
      <c r="E126" s="6">
        <v>44633</v>
      </c>
      <c r="F126" s="5">
        <v>80700</v>
      </c>
      <c r="G126" t="s">
        <v>13</v>
      </c>
      <c r="H126" t="s">
        <v>207</v>
      </c>
      <c r="I126" s="7">
        <f ca="1">(TODAY()-staff[[#This Row],[Date Joined]])/365</f>
        <v>1.7643835616438357</v>
      </c>
      <c r="J126" s="5">
        <f ca="1">IF(staff[[#This Row],[Tenure]] &gt;2,3%,2%)*staff[[#This Row],[Salary]]</f>
        <v>1614</v>
      </c>
      <c r="K126" s="7">
        <f>_xlfn.XLOOKUP(staff[[#This Row],[Rating]], 'Rating maping table'!$C$6:$C$10,'Rating maping table'!$D$6:$D$10)</f>
        <v>4</v>
      </c>
    </row>
    <row r="127" spans="1:11" x14ac:dyDescent="0.25">
      <c r="A127" t="s">
        <v>155</v>
      </c>
      <c r="B127" t="s">
        <v>15</v>
      </c>
      <c r="C127" t="s">
        <v>21</v>
      </c>
      <c r="D127">
        <v>24</v>
      </c>
      <c r="E127" s="6">
        <v>44375</v>
      </c>
      <c r="F127" s="5">
        <v>52610</v>
      </c>
      <c r="G127" t="s">
        <v>24</v>
      </c>
      <c r="H127" t="s">
        <v>207</v>
      </c>
      <c r="I127" s="7">
        <f ca="1">(TODAY()-staff[[#This Row],[Date Joined]])/365</f>
        <v>2.4712328767123286</v>
      </c>
      <c r="J127" s="5">
        <f ca="1">IF(staff[[#This Row],[Tenure]] &gt;2,3%,2%)*staff[[#This Row],[Salary]]</f>
        <v>1578.3</v>
      </c>
      <c r="K127" s="7">
        <f>_xlfn.XLOOKUP(staff[[#This Row],[Rating]], 'Rating maping table'!$C$6:$C$10,'Rating maping table'!$D$6:$D$10)</f>
        <v>2</v>
      </c>
    </row>
    <row r="128" spans="1:11" x14ac:dyDescent="0.25">
      <c r="A128" t="s">
        <v>180</v>
      </c>
      <c r="B128" t="s">
        <v>15</v>
      </c>
      <c r="C128" t="s">
        <v>12</v>
      </c>
      <c r="D128">
        <v>29</v>
      </c>
      <c r="E128" s="6">
        <v>44119</v>
      </c>
      <c r="F128" s="5">
        <v>112110</v>
      </c>
      <c r="G128" t="s">
        <v>24</v>
      </c>
      <c r="H128" t="s">
        <v>207</v>
      </c>
      <c r="I128" s="7">
        <f ca="1">(TODAY()-staff[[#This Row],[Date Joined]])/365</f>
        <v>3.1726027397260275</v>
      </c>
      <c r="J128" s="5">
        <f ca="1">IF(staff[[#This Row],[Tenure]] &gt;2,3%,2%)*staff[[#This Row],[Salary]]</f>
        <v>3363.2999999999997</v>
      </c>
      <c r="K128" s="7">
        <f>_xlfn.XLOOKUP(staff[[#This Row],[Rating]], 'Rating maping table'!$C$6:$C$10,'Rating maping table'!$D$6:$D$10)</f>
        <v>2</v>
      </c>
    </row>
    <row r="129" spans="1:11" x14ac:dyDescent="0.25">
      <c r="A129" t="s">
        <v>152</v>
      </c>
      <c r="B129" t="s">
        <v>8</v>
      </c>
      <c r="C129" t="s">
        <v>56</v>
      </c>
      <c r="D129">
        <v>27</v>
      </c>
      <c r="E129" s="6">
        <v>44061</v>
      </c>
      <c r="F129" s="5">
        <v>119110</v>
      </c>
      <c r="G129" t="s">
        <v>16</v>
      </c>
      <c r="H129" t="s">
        <v>207</v>
      </c>
      <c r="I129" s="7">
        <f ca="1">(TODAY()-staff[[#This Row],[Date Joined]])/365</f>
        <v>3.3315068493150686</v>
      </c>
      <c r="J129" s="5">
        <f ca="1">IF(staff[[#This Row],[Tenure]] &gt;2,3%,2%)*staff[[#This Row],[Salary]]</f>
        <v>3573.2999999999997</v>
      </c>
      <c r="K129" s="7">
        <f>_xlfn.XLOOKUP(staff[[#This Row],[Rating]], 'Rating maping table'!$C$6:$C$10,'Rating maping table'!$D$6:$D$10)</f>
        <v>3</v>
      </c>
    </row>
    <row r="130" spans="1:11" x14ac:dyDescent="0.25">
      <c r="A130" t="s">
        <v>150</v>
      </c>
      <c r="B130" t="s">
        <v>15</v>
      </c>
      <c r="C130" t="s">
        <v>19</v>
      </c>
      <c r="D130">
        <v>22</v>
      </c>
      <c r="E130" s="6">
        <v>44384</v>
      </c>
      <c r="F130" s="5">
        <v>112780</v>
      </c>
      <c r="G130" t="s">
        <v>13</v>
      </c>
      <c r="H130" t="s">
        <v>207</v>
      </c>
      <c r="I130" s="7">
        <f ca="1">(TODAY()-staff[[#This Row],[Date Joined]])/365</f>
        <v>2.4465753424657533</v>
      </c>
      <c r="J130" s="5">
        <f ca="1">IF(staff[[#This Row],[Tenure]] &gt;2,3%,2%)*staff[[#This Row],[Salary]]</f>
        <v>3383.4</v>
      </c>
      <c r="K130" s="7">
        <f>_xlfn.XLOOKUP(staff[[#This Row],[Rating]], 'Rating maping table'!$C$6:$C$10,'Rating maping table'!$D$6:$D$10)</f>
        <v>4</v>
      </c>
    </row>
    <row r="131" spans="1:11" x14ac:dyDescent="0.25">
      <c r="A131" t="s">
        <v>175</v>
      </c>
      <c r="B131" t="s">
        <v>8</v>
      </c>
      <c r="C131" t="s">
        <v>9</v>
      </c>
      <c r="D131">
        <v>36</v>
      </c>
      <c r="E131" s="6">
        <v>44023</v>
      </c>
      <c r="F131" s="5">
        <v>114890</v>
      </c>
      <c r="G131" t="s">
        <v>16</v>
      </c>
      <c r="H131" t="s">
        <v>207</v>
      </c>
      <c r="I131" s="7">
        <f ca="1">(TODAY()-staff[[#This Row],[Date Joined]])/365</f>
        <v>3.4356164383561643</v>
      </c>
      <c r="J131" s="5">
        <f ca="1">IF(staff[[#This Row],[Tenure]] &gt;2,3%,2%)*staff[[#This Row],[Salary]]</f>
        <v>3446.7</v>
      </c>
      <c r="K131" s="7">
        <f>_xlfn.XLOOKUP(staff[[#This Row],[Rating]], 'Rating maping table'!$C$6:$C$10,'Rating maping table'!$D$6:$D$10)</f>
        <v>3</v>
      </c>
    </row>
    <row r="132" spans="1:11" x14ac:dyDescent="0.25">
      <c r="A132" t="s">
        <v>146</v>
      </c>
      <c r="B132" t="s">
        <v>15</v>
      </c>
      <c r="C132" t="s">
        <v>21</v>
      </c>
      <c r="D132">
        <v>27</v>
      </c>
      <c r="E132" s="6">
        <v>44506</v>
      </c>
      <c r="F132" s="5">
        <v>48980</v>
      </c>
      <c r="G132" t="s">
        <v>16</v>
      </c>
      <c r="H132" t="s">
        <v>207</v>
      </c>
      <c r="I132" s="7">
        <f ca="1">(TODAY()-staff[[#This Row],[Date Joined]])/365</f>
        <v>2.1123287671232878</v>
      </c>
      <c r="J132" s="5">
        <f ca="1">IF(staff[[#This Row],[Tenure]] &gt;2,3%,2%)*staff[[#This Row],[Salary]]</f>
        <v>1469.3999999999999</v>
      </c>
      <c r="K132" s="7">
        <f>_xlfn.XLOOKUP(staff[[#This Row],[Rating]], 'Rating maping table'!$C$6:$C$10,'Rating maping table'!$D$6:$D$10)</f>
        <v>3</v>
      </c>
    </row>
    <row r="133" spans="1:11" x14ac:dyDescent="0.25">
      <c r="A133" t="s">
        <v>170</v>
      </c>
      <c r="B133" t="s">
        <v>15</v>
      </c>
      <c r="C133" t="s">
        <v>56</v>
      </c>
      <c r="D133">
        <v>21</v>
      </c>
      <c r="E133" s="6">
        <v>44180</v>
      </c>
      <c r="F133" s="5">
        <v>75880</v>
      </c>
      <c r="G133" t="s">
        <v>16</v>
      </c>
      <c r="H133" t="s">
        <v>207</v>
      </c>
      <c r="I133" s="7">
        <f ca="1">(TODAY()-staff[[#This Row],[Date Joined]])/365</f>
        <v>3.0054794520547947</v>
      </c>
      <c r="J133" s="5">
        <f ca="1">IF(staff[[#This Row],[Tenure]] &gt;2,3%,2%)*staff[[#This Row],[Salary]]</f>
        <v>2276.4</v>
      </c>
      <c r="K133" s="7">
        <f>_xlfn.XLOOKUP(staff[[#This Row],[Rating]], 'Rating maping table'!$C$6:$C$10,'Rating maping table'!$D$6:$D$10)</f>
        <v>3</v>
      </c>
    </row>
    <row r="134" spans="1:11" x14ac:dyDescent="0.25">
      <c r="A134" t="s">
        <v>167</v>
      </c>
      <c r="B134" t="s">
        <v>8</v>
      </c>
      <c r="C134" t="s">
        <v>19</v>
      </c>
      <c r="D134">
        <v>28</v>
      </c>
      <c r="E134" s="6">
        <v>44296</v>
      </c>
      <c r="F134" s="5">
        <v>53240</v>
      </c>
      <c r="G134" t="s">
        <v>16</v>
      </c>
      <c r="H134" t="s">
        <v>207</v>
      </c>
      <c r="I134" s="7">
        <f ca="1">(TODAY()-staff[[#This Row],[Date Joined]])/365</f>
        <v>2.6876712328767125</v>
      </c>
      <c r="J134" s="5">
        <f ca="1">IF(staff[[#This Row],[Tenure]] &gt;2,3%,2%)*staff[[#This Row],[Salary]]</f>
        <v>1597.2</v>
      </c>
      <c r="K134" s="7">
        <f>_xlfn.XLOOKUP(staff[[#This Row],[Rating]], 'Rating maping table'!$C$6:$C$10,'Rating maping table'!$D$6:$D$10)</f>
        <v>3</v>
      </c>
    </row>
    <row r="135" spans="1:11" x14ac:dyDescent="0.25">
      <c r="A135" t="s">
        <v>122</v>
      </c>
      <c r="B135" t="s">
        <v>8</v>
      </c>
      <c r="C135" t="s">
        <v>21</v>
      </c>
      <c r="D135">
        <v>34</v>
      </c>
      <c r="E135" s="6">
        <v>44397</v>
      </c>
      <c r="F135" s="5">
        <v>85000</v>
      </c>
      <c r="G135" t="s">
        <v>16</v>
      </c>
      <c r="H135" t="s">
        <v>207</v>
      </c>
      <c r="I135" s="7">
        <f ca="1">(TODAY()-staff[[#This Row],[Date Joined]])/365</f>
        <v>2.4109589041095889</v>
      </c>
      <c r="J135" s="5">
        <f ca="1">IF(staff[[#This Row],[Tenure]] &gt;2,3%,2%)*staff[[#This Row],[Salary]]</f>
        <v>2550</v>
      </c>
      <c r="K135" s="7">
        <f>_xlfn.XLOOKUP(staff[[#This Row],[Rating]], 'Rating maping table'!$C$6:$C$10,'Rating maping table'!$D$6:$D$10)</f>
        <v>3</v>
      </c>
    </row>
    <row r="136" spans="1:11" x14ac:dyDescent="0.25">
      <c r="A136" t="s">
        <v>179</v>
      </c>
      <c r="B136" t="s">
        <v>8</v>
      </c>
      <c r="C136" t="s">
        <v>12</v>
      </c>
      <c r="D136">
        <v>21</v>
      </c>
      <c r="E136" s="6">
        <v>44619</v>
      </c>
      <c r="F136" s="5">
        <v>33920</v>
      </c>
      <c r="G136" t="s">
        <v>16</v>
      </c>
      <c r="H136" t="s">
        <v>207</v>
      </c>
      <c r="I136" s="7">
        <f ca="1">(TODAY()-staff[[#This Row],[Date Joined]])/365</f>
        <v>1.8027397260273972</v>
      </c>
      <c r="J136" s="5">
        <f ca="1">IF(staff[[#This Row],[Tenure]] &gt;2,3%,2%)*staff[[#This Row],[Salary]]</f>
        <v>678.4</v>
      </c>
      <c r="K136" s="7">
        <f>_xlfn.XLOOKUP(staff[[#This Row],[Rating]], 'Rating maping table'!$C$6:$C$10,'Rating maping table'!$D$6:$D$10)</f>
        <v>3</v>
      </c>
    </row>
    <row r="137" spans="1:11" x14ac:dyDescent="0.25">
      <c r="A137" t="s">
        <v>188</v>
      </c>
      <c r="B137" t="s">
        <v>8</v>
      </c>
      <c r="C137" t="s">
        <v>12</v>
      </c>
      <c r="D137">
        <v>33</v>
      </c>
      <c r="E137" s="6">
        <v>44253</v>
      </c>
      <c r="F137" s="5">
        <v>75280</v>
      </c>
      <c r="G137" t="s">
        <v>16</v>
      </c>
      <c r="H137" t="s">
        <v>207</v>
      </c>
      <c r="I137" s="7">
        <f ca="1">(TODAY()-staff[[#This Row],[Date Joined]])/365</f>
        <v>2.8054794520547945</v>
      </c>
      <c r="J137" s="5">
        <f ca="1">IF(staff[[#This Row],[Tenure]] &gt;2,3%,2%)*staff[[#This Row],[Salary]]</f>
        <v>2258.4</v>
      </c>
      <c r="K137" s="7">
        <f>_xlfn.XLOOKUP(staff[[#This Row],[Rating]], 'Rating maping table'!$C$6:$C$10,'Rating maping table'!$D$6:$D$10)</f>
        <v>3</v>
      </c>
    </row>
    <row r="138" spans="1:11" x14ac:dyDescent="0.25">
      <c r="A138" t="s">
        <v>130</v>
      </c>
      <c r="B138" t="s">
        <v>8</v>
      </c>
      <c r="C138" t="s">
        <v>21</v>
      </c>
      <c r="D138">
        <v>34</v>
      </c>
      <c r="E138" s="6">
        <v>44594</v>
      </c>
      <c r="F138" s="5">
        <v>58940</v>
      </c>
      <c r="G138" t="s">
        <v>16</v>
      </c>
      <c r="H138" t="s">
        <v>207</v>
      </c>
      <c r="I138" s="7">
        <f ca="1">(TODAY()-staff[[#This Row],[Date Joined]])/365</f>
        <v>1.8712328767123287</v>
      </c>
      <c r="J138" s="5">
        <f ca="1">IF(staff[[#This Row],[Tenure]] &gt;2,3%,2%)*staff[[#This Row],[Salary]]</f>
        <v>1178.8</v>
      </c>
      <c r="K138" s="7">
        <f>_xlfn.XLOOKUP(staff[[#This Row],[Rating]], 'Rating maping table'!$C$6:$C$10,'Rating maping table'!$D$6:$D$10)</f>
        <v>3</v>
      </c>
    </row>
    <row r="139" spans="1:11" x14ac:dyDescent="0.25">
      <c r="A139" t="s">
        <v>136</v>
      </c>
      <c r="B139" t="s">
        <v>8</v>
      </c>
      <c r="C139" t="s">
        <v>9</v>
      </c>
      <c r="D139">
        <v>28</v>
      </c>
      <c r="E139" s="6">
        <v>44425</v>
      </c>
      <c r="F139" s="5">
        <v>104770</v>
      </c>
      <c r="G139" t="s">
        <v>16</v>
      </c>
      <c r="H139" t="s">
        <v>207</v>
      </c>
      <c r="I139" s="7">
        <f ca="1">(TODAY()-staff[[#This Row],[Date Joined]])/365</f>
        <v>2.3342465753424659</v>
      </c>
      <c r="J139" s="5">
        <f ca="1">IF(staff[[#This Row],[Tenure]] &gt;2,3%,2%)*staff[[#This Row],[Salary]]</f>
        <v>3143.1</v>
      </c>
      <c r="K139" s="7">
        <f>_xlfn.XLOOKUP(staff[[#This Row],[Rating]], 'Rating maping table'!$C$6:$C$10,'Rating maping table'!$D$6:$D$10)</f>
        <v>3</v>
      </c>
    </row>
    <row r="140" spans="1:11" x14ac:dyDescent="0.25">
      <c r="A140" t="s">
        <v>125</v>
      </c>
      <c r="B140" t="s">
        <v>15</v>
      </c>
      <c r="C140" t="s">
        <v>9</v>
      </c>
      <c r="D140">
        <v>21</v>
      </c>
      <c r="E140" s="6">
        <v>44701</v>
      </c>
      <c r="F140" s="5">
        <v>57090</v>
      </c>
      <c r="G140" t="s">
        <v>16</v>
      </c>
      <c r="H140" t="s">
        <v>207</v>
      </c>
      <c r="I140" s="7">
        <f ca="1">(TODAY()-staff[[#This Row],[Date Joined]])/365</f>
        <v>1.5780821917808219</v>
      </c>
      <c r="J140" s="5">
        <f ca="1">IF(staff[[#This Row],[Tenure]] &gt;2,3%,2%)*staff[[#This Row],[Salary]]</f>
        <v>1141.8</v>
      </c>
      <c r="K140" s="7">
        <f>_xlfn.XLOOKUP(staff[[#This Row],[Rating]], 'Rating maping table'!$C$6:$C$10,'Rating maping table'!$D$6:$D$10)</f>
        <v>3</v>
      </c>
    </row>
    <row r="141" spans="1:11" x14ac:dyDescent="0.25">
      <c r="A141" t="s">
        <v>160</v>
      </c>
      <c r="B141" t="s">
        <v>15</v>
      </c>
      <c r="C141" t="s">
        <v>21</v>
      </c>
      <c r="D141">
        <v>27</v>
      </c>
      <c r="E141" s="6">
        <v>44174</v>
      </c>
      <c r="F141" s="5">
        <v>91650</v>
      </c>
      <c r="G141" t="s">
        <v>13</v>
      </c>
      <c r="H141" t="s">
        <v>207</v>
      </c>
      <c r="I141" s="7">
        <f ca="1">(TODAY()-staff[[#This Row],[Date Joined]])/365</f>
        <v>3.021917808219178</v>
      </c>
      <c r="J141" s="5">
        <f ca="1">IF(staff[[#This Row],[Tenure]] &gt;2,3%,2%)*staff[[#This Row],[Salary]]</f>
        <v>2749.5</v>
      </c>
      <c r="K141" s="7">
        <f>_xlfn.XLOOKUP(staff[[#This Row],[Rating]], 'Rating maping table'!$C$6:$C$10,'Rating maping table'!$D$6:$D$10)</f>
        <v>4</v>
      </c>
    </row>
    <row r="142" spans="1:11" x14ac:dyDescent="0.25">
      <c r="A142" t="s">
        <v>183</v>
      </c>
      <c r="B142" t="s">
        <v>15</v>
      </c>
      <c r="C142" t="s">
        <v>21</v>
      </c>
      <c r="D142">
        <v>42</v>
      </c>
      <c r="E142" s="6">
        <v>44670</v>
      </c>
      <c r="F142" s="5">
        <v>70270</v>
      </c>
      <c r="G142" t="s">
        <v>24</v>
      </c>
      <c r="H142" t="s">
        <v>207</v>
      </c>
      <c r="I142" s="7">
        <f ca="1">(TODAY()-staff[[#This Row],[Date Joined]])/365</f>
        <v>1.6630136986301369</v>
      </c>
      <c r="J142" s="5">
        <f ca="1">IF(staff[[#This Row],[Tenure]] &gt;2,3%,2%)*staff[[#This Row],[Salary]]</f>
        <v>1405.4</v>
      </c>
      <c r="K142" s="7">
        <f>_xlfn.XLOOKUP(staff[[#This Row],[Rating]], 'Rating maping table'!$C$6:$C$10,'Rating maping table'!$D$6:$D$10)</f>
        <v>2</v>
      </c>
    </row>
    <row r="143" spans="1:11" x14ac:dyDescent="0.25">
      <c r="A143" t="s">
        <v>129</v>
      </c>
      <c r="B143" t="s">
        <v>8</v>
      </c>
      <c r="C143" t="s">
        <v>21</v>
      </c>
      <c r="D143">
        <v>28</v>
      </c>
      <c r="E143" s="6">
        <v>44124</v>
      </c>
      <c r="F143" s="5">
        <v>75970</v>
      </c>
      <c r="G143" t="s">
        <v>16</v>
      </c>
      <c r="H143" t="s">
        <v>207</v>
      </c>
      <c r="I143" s="7">
        <f ca="1">(TODAY()-staff[[#This Row],[Date Joined]])/365</f>
        <v>3.1589041095890411</v>
      </c>
      <c r="J143" s="5">
        <f ca="1">IF(staff[[#This Row],[Tenure]] &gt;2,3%,2%)*staff[[#This Row],[Salary]]</f>
        <v>2279.1</v>
      </c>
      <c r="K143" s="7">
        <f>_xlfn.XLOOKUP(staff[[#This Row],[Rating]], 'Rating maping table'!$C$6:$C$10,'Rating maping table'!$D$6:$D$10)</f>
        <v>3</v>
      </c>
    </row>
    <row r="144" spans="1:11" x14ac:dyDescent="0.25">
      <c r="A144" t="s">
        <v>112</v>
      </c>
      <c r="B144" t="s">
        <v>206</v>
      </c>
      <c r="C144" t="s">
        <v>12</v>
      </c>
      <c r="D144">
        <v>27</v>
      </c>
      <c r="E144" s="6">
        <v>44212</v>
      </c>
      <c r="F144" s="5">
        <v>90700</v>
      </c>
      <c r="G144" t="s">
        <v>13</v>
      </c>
      <c r="H144" t="s">
        <v>207</v>
      </c>
      <c r="I144" s="7">
        <f ca="1">(TODAY()-staff[[#This Row],[Date Joined]])/365</f>
        <v>2.9178082191780823</v>
      </c>
      <c r="J144" s="5">
        <f ca="1">IF(staff[[#This Row],[Tenure]] &gt;2,3%,2%)*staff[[#This Row],[Salary]]</f>
        <v>2721</v>
      </c>
      <c r="K144" s="7">
        <f>_xlfn.XLOOKUP(staff[[#This Row],[Rating]], 'Rating maping table'!$C$6:$C$10,'Rating maping table'!$D$6:$D$10)</f>
        <v>4</v>
      </c>
    </row>
    <row r="145" spans="1:11" x14ac:dyDescent="0.25">
      <c r="A145" t="s">
        <v>131</v>
      </c>
      <c r="B145" t="s">
        <v>15</v>
      </c>
      <c r="C145" t="s">
        <v>9</v>
      </c>
      <c r="D145">
        <v>30</v>
      </c>
      <c r="E145" s="6">
        <v>44607</v>
      </c>
      <c r="F145" s="5">
        <v>60570</v>
      </c>
      <c r="G145" t="s">
        <v>16</v>
      </c>
      <c r="H145" t="s">
        <v>207</v>
      </c>
      <c r="I145" s="7">
        <f ca="1">(TODAY()-staff[[#This Row],[Date Joined]])/365</f>
        <v>1.8356164383561644</v>
      </c>
      <c r="J145" s="5">
        <f ca="1">IF(staff[[#This Row],[Tenure]] &gt;2,3%,2%)*staff[[#This Row],[Salary]]</f>
        <v>1211.4000000000001</v>
      </c>
      <c r="K145" s="7">
        <f>_xlfn.XLOOKUP(staff[[#This Row],[Rating]], 'Rating maping table'!$C$6:$C$10,'Rating maping table'!$D$6:$D$10)</f>
        <v>3</v>
      </c>
    </row>
    <row r="146" spans="1:11" x14ac:dyDescent="0.25">
      <c r="A146" t="s">
        <v>134</v>
      </c>
      <c r="B146" t="s">
        <v>15</v>
      </c>
      <c r="C146" t="s">
        <v>9</v>
      </c>
      <c r="D146">
        <v>33</v>
      </c>
      <c r="E146" s="6">
        <v>44103</v>
      </c>
      <c r="F146" s="5">
        <v>115920</v>
      </c>
      <c r="G146" t="s">
        <v>16</v>
      </c>
      <c r="H146" t="s">
        <v>207</v>
      </c>
      <c r="I146" s="7">
        <f ca="1">(TODAY()-staff[[#This Row],[Date Joined]])/365</f>
        <v>3.2164383561643834</v>
      </c>
      <c r="J146" s="5">
        <f ca="1">IF(staff[[#This Row],[Tenure]] &gt;2,3%,2%)*staff[[#This Row],[Salary]]</f>
        <v>3477.6</v>
      </c>
      <c r="K146" s="7">
        <f>_xlfn.XLOOKUP(staff[[#This Row],[Rating]], 'Rating maping table'!$C$6:$C$10,'Rating maping table'!$D$6:$D$10)</f>
        <v>3</v>
      </c>
    </row>
    <row r="147" spans="1:11" x14ac:dyDescent="0.25">
      <c r="A147" t="s">
        <v>186</v>
      </c>
      <c r="B147" t="s">
        <v>8</v>
      </c>
      <c r="C147" t="s">
        <v>21</v>
      </c>
      <c r="D147">
        <v>33</v>
      </c>
      <c r="E147" s="6">
        <v>44006</v>
      </c>
      <c r="F147" s="5">
        <v>65360</v>
      </c>
      <c r="G147" t="s">
        <v>16</v>
      </c>
      <c r="H147" t="s">
        <v>207</v>
      </c>
      <c r="I147" s="7">
        <f ca="1">(TODAY()-staff[[#This Row],[Date Joined]])/365</f>
        <v>3.4821917808219176</v>
      </c>
      <c r="J147" s="5">
        <f ca="1">IF(staff[[#This Row],[Tenure]] &gt;2,3%,2%)*staff[[#This Row],[Salary]]</f>
        <v>1960.8</v>
      </c>
      <c r="K147" s="7">
        <f>_xlfn.XLOOKUP(staff[[#This Row],[Rating]], 'Rating maping table'!$C$6:$C$10,'Rating maping table'!$D$6:$D$10)</f>
        <v>3</v>
      </c>
    </row>
    <row r="148" spans="1:11" x14ac:dyDescent="0.25">
      <c r="A148" t="s">
        <v>116</v>
      </c>
      <c r="B148" t="s">
        <v>206</v>
      </c>
      <c r="C148" t="s">
        <v>21</v>
      </c>
      <c r="D148">
        <v>30</v>
      </c>
      <c r="E148" s="6">
        <v>44535</v>
      </c>
      <c r="F148" s="5">
        <v>64000</v>
      </c>
      <c r="G148" t="s">
        <v>16</v>
      </c>
      <c r="H148" t="s">
        <v>207</v>
      </c>
      <c r="I148" s="7">
        <f ca="1">(TODAY()-staff[[#This Row],[Date Joined]])/365</f>
        <v>2.032876712328767</v>
      </c>
      <c r="J148" s="5">
        <f ca="1">IF(staff[[#This Row],[Tenure]] &gt;2,3%,2%)*staff[[#This Row],[Salary]]</f>
        <v>1920</v>
      </c>
      <c r="K148" s="7">
        <f>_xlfn.XLOOKUP(staff[[#This Row],[Rating]], 'Rating maping table'!$C$6:$C$10,'Rating maping table'!$D$6:$D$10)</f>
        <v>3</v>
      </c>
    </row>
    <row r="149" spans="1:11" x14ac:dyDescent="0.25">
      <c r="A149" t="s">
        <v>195</v>
      </c>
      <c r="B149" t="s">
        <v>8</v>
      </c>
      <c r="C149" t="s">
        <v>21</v>
      </c>
      <c r="D149">
        <v>34</v>
      </c>
      <c r="E149" s="6">
        <v>44383</v>
      </c>
      <c r="F149" s="5">
        <v>92450</v>
      </c>
      <c r="G149" t="s">
        <v>16</v>
      </c>
      <c r="H149" t="s">
        <v>207</v>
      </c>
      <c r="I149" s="7">
        <f ca="1">(TODAY()-staff[[#This Row],[Date Joined]])/365</f>
        <v>2.4493150684931506</v>
      </c>
      <c r="J149" s="5">
        <f ca="1">IF(staff[[#This Row],[Tenure]] &gt;2,3%,2%)*staff[[#This Row],[Salary]]</f>
        <v>2773.5</v>
      </c>
      <c r="K149" s="7">
        <f>_xlfn.XLOOKUP(staff[[#This Row],[Rating]], 'Rating maping table'!$C$6:$C$10,'Rating maping table'!$D$6:$D$10)</f>
        <v>3</v>
      </c>
    </row>
    <row r="150" spans="1:11" x14ac:dyDescent="0.25">
      <c r="A150" t="s">
        <v>113</v>
      </c>
      <c r="B150" t="s">
        <v>15</v>
      </c>
      <c r="C150" t="s">
        <v>12</v>
      </c>
      <c r="D150">
        <v>31</v>
      </c>
      <c r="E150" s="6">
        <v>44450</v>
      </c>
      <c r="F150" s="5">
        <v>48950</v>
      </c>
      <c r="G150" t="s">
        <v>16</v>
      </c>
      <c r="H150" t="s">
        <v>207</v>
      </c>
      <c r="I150" s="7">
        <f ca="1">(TODAY()-staff[[#This Row],[Date Joined]])/365</f>
        <v>2.2657534246575342</v>
      </c>
      <c r="J150" s="5">
        <f ca="1">IF(staff[[#This Row],[Tenure]] &gt;2,3%,2%)*staff[[#This Row],[Salary]]</f>
        <v>1468.5</v>
      </c>
      <c r="K150" s="7">
        <f>_xlfn.XLOOKUP(staff[[#This Row],[Rating]], 'Rating maping table'!$C$6:$C$10,'Rating maping table'!$D$6:$D$10)</f>
        <v>3</v>
      </c>
    </row>
    <row r="151" spans="1:11" x14ac:dyDescent="0.25">
      <c r="A151" t="s">
        <v>185</v>
      </c>
      <c r="B151" t="s">
        <v>8</v>
      </c>
      <c r="C151" t="s">
        <v>12</v>
      </c>
      <c r="D151">
        <v>27</v>
      </c>
      <c r="E151" s="6">
        <v>44625</v>
      </c>
      <c r="F151" s="5">
        <v>83750</v>
      </c>
      <c r="G151" t="s">
        <v>16</v>
      </c>
      <c r="H151" t="s">
        <v>207</v>
      </c>
      <c r="I151" s="7">
        <f ca="1">(TODAY()-staff[[#This Row],[Date Joined]])/365</f>
        <v>1.7863013698630137</v>
      </c>
      <c r="J151" s="5">
        <f ca="1">IF(staff[[#This Row],[Tenure]] &gt;2,3%,2%)*staff[[#This Row],[Salary]]</f>
        <v>1675</v>
      </c>
      <c r="K151" s="7">
        <f>_xlfn.XLOOKUP(staff[[#This Row],[Rating]], 'Rating maping table'!$C$6:$C$10,'Rating maping table'!$D$6:$D$10)</f>
        <v>3</v>
      </c>
    </row>
    <row r="152" spans="1:11" x14ac:dyDescent="0.25">
      <c r="A152" t="s">
        <v>166</v>
      </c>
      <c r="B152" t="s">
        <v>8</v>
      </c>
      <c r="C152" t="s">
        <v>12</v>
      </c>
      <c r="D152">
        <v>40</v>
      </c>
      <c r="E152" s="6">
        <v>44276</v>
      </c>
      <c r="F152" s="5">
        <v>87620</v>
      </c>
      <c r="G152" t="s">
        <v>16</v>
      </c>
      <c r="H152" t="s">
        <v>207</v>
      </c>
      <c r="I152" s="7">
        <f ca="1">(TODAY()-staff[[#This Row],[Date Joined]])/365</f>
        <v>2.7424657534246575</v>
      </c>
      <c r="J152" s="5">
        <f ca="1">IF(staff[[#This Row],[Tenure]] &gt;2,3%,2%)*staff[[#This Row],[Salary]]</f>
        <v>2628.6</v>
      </c>
      <c r="K152" s="7">
        <f>_xlfn.XLOOKUP(staff[[#This Row],[Rating]], 'Rating maping table'!$C$6:$C$10,'Rating maping table'!$D$6:$D$10)</f>
        <v>3</v>
      </c>
    </row>
    <row r="153" spans="1:11" x14ac:dyDescent="0.25">
      <c r="A153" t="s">
        <v>184</v>
      </c>
      <c r="B153" t="s">
        <v>8</v>
      </c>
      <c r="C153" t="s">
        <v>19</v>
      </c>
      <c r="D153">
        <v>20</v>
      </c>
      <c r="E153" s="6">
        <v>44476</v>
      </c>
      <c r="F153" s="5">
        <v>68900</v>
      </c>
      <c r="G153" t="s">
        <v>24</v>
      </c>
      <c r="H153" t="s">
        <v>207</v>
      </c>
      <c r="I153" s="7">
        <f ca="1">(TODAY()-staff[[#This Row],[Date Joined]])/365</f>
        <v>2.1945205479452055</v>
      </c>
      <c r="J153" s="5">
        <f ca="1">IF(staff[[#This Row],[Tenure]] &gt;2,3%,2%)*staff[[#This Row],[Salary]]</f>
        <v>2067</v>
      </c>
      <c r="K153" s="7">
        <f>_xlfn.XLOOKUP(staff[[#This Row],[Rating]], 'Rating maping table'!$C$6:$C$10,'Rating maping table'!$D$6:$D$10)</f>
        <v>2</v>
      </c>
    </row>
    <row r="154" spans="1:11" x14ac:dyDescent="0.25">
      <c r="A154" t="s">
        <v>157</v>
      </c>
      <c r="B154" t="s">
        <v>15</v>
      </c>
      <c r="C154" t="s">
        <v>19</v>
      </c>
      <c r="D154">
        <v>32</v>
      </c>
      <c r="E154" s="6">
        <v>44403</v>
      </c>
      <c r="F154" s="5">
        <v>53540</v>
      </c>
      <c r="G154" t="s">
        <v>16</v>
      </c>
      <c r="H154" t="s">
        <v>207</v>
      </c>
      <c r="I154" s="7">
        <f ca="1">(TODAY()-staff[[#This Row],[Date Joined]])/365</f>
        <v>2.3945205479452056</v>
      </c>
      <c r="J154" s="5">
        <f ca="1">IF(staff[[#This Row],[Tenure]] &gt;2,3%,2%)*staff[[#This Row],[Salary]]</f>
        <v>1606.2</v>
      </c>
      <c r="K154" s="7">
        <f>_xlfn.XLOOKUP(staff[[#This Row],[Rating]], 'Rating maping table'!$C$6:$C$10,'Rating maping table'!$D$6:$D$10)</f>
        <v>3</v>
      </c>
    </row>
    <row r="155" spans="1:11" x14ac:dyDescent="0.25">
      <c r="A155" t="s">
        <v>172</v>
      </c>
      <c r="B155" t="s">
        <v>15</v>
      </c>
      <c r="C155" t="s">
        <v>19</v>
      </c>
      <c r="D155">
        <v>28</v>
      </c>
      <c r="E155" s="6">
        <v>44758</v>
      </c>
      <c r="F155" s="5">
        <v>43510</v>
      </c>
      <c r="G155" t="s">
        <v>42</v>
      </c>
      <c r="H155" t="s">
        <v>207</v>
      </c>
      <c r="I155" s="7">
        <f ca="1">(TODAY()-staff[[#This Row],[Date Joined]])/365</f>
        <v>1.4219178082191781</v>
      </c>
      <c r="J155" s="5">
        <f ca="1">IF(staff[[#This Row],[Tenure]] &gt;2,3%,2%)*staff[[#This Row],[Salary]]</f>
        <v>870.2</v>
      </c>
      <c r="K155" s="7">
        <f>_xlfn.XLOOKUP(staff[[#This Row],[Rating]], 'Rating maping table'!$C$6:$C$10,'Rating maping table'!$D$6:$D$10)</f>
        <v>1</v>
      </c>
    </row>
    <row r="156" spans="1:11" x14ac:dyDescent="0.25">
      <c r="A156" t="s">
        <v>127</v>
      </c>
      <c r="B156" t="s">
        <v>8</v>
      </c>
      <c r="C156" t="s">
        <v>19</v>
      </c>
      <c r="D156">
        <v>38</v>
      </c>
      <c r="E156" s="6">
        <v>44316</v>
      </c>
      <c r="F156" s="5">
        <v>109160</v>
      </c>
      <c r="G156" t="s">
        <v>10</v>
      </c>
      <c r="H156" t="s">
        <v>207</v>
      </c>
      <c r="I156" s="7">
        <f ca="1">(TODAY()-staff[[#This Row],[Date Joined]])/365</f>
        <v>2.6328767123287671</v>
      </c>
      <c r="J156" s="5">
        <f ca="1">IF(staff[[#This Row],[Tenure]] &gt;2,3%,2%)*staff[[#This Row],[Salary]]</f>
        <v>3274.7999999999997</v>
      </c>
      <c r="K156" s="7">
        <f>_xlfn.XLOOKUP(staff[[#This Row],[Rating]], 'Rating maping table'!$C$6:$C$10,'Rating maping table'!$D$6:$D$10)</f>
        <v>5</v>
      </c>
    </row>
    <row r="157" spans="1:11" x14ac:dyDescent="0.25">
      <c r="A157" t="s">
        <v>198</v>
      </c>
      <c r="B157" t="s">
        <v>15</v>
      </c>
      <c r="C157" t="s">
        <v>9</v>
      </c>
      <c r="D157">
        <v>40</v>
      </c>
      <c r="E157" s="6">
        <v>44204</v>
      </c>
      <c r="F157" s="5">
        <v>99750</v>
      </c>
      <c r="G157" t="s">
        <v>16</v>
      </c>
      <c r="H157" t="s">
        <v>207</v>
      </c>
      <c r="I157" s="7">
        <f ca="1">(TODAY()-staff[[#This Row],[Date Joined]])/365</f>
        <v>2.9397260273972603</v>
      </c>
      <c r="J157" s="5">
        <f ca="1">IF(staff[[#This Row],[Tenure]] &gt;2,3%,2%)*staff[[#This Row],[Salary]]</f>
        <v>2992.5</v>
      </c>
      <c r="K157" s="7">
        <f>_xlfn.XLOOKUP(staff[[#This Row],[Rating]], 'Rating maping table'!$C$6:$C$10,'Rating maping table'!$D$6:$D$10)</f>
        <v>3</v>
      </c>
    </row>
    <row r="158" spans="1:11" x14ac:dyDescent="0.25">
      <c r="A158" t="s">
        <v>124</v>
      </c>
      <c r="B158" t="s">
        <v>8</v>
      </c>
      <c r="C158" t="s">
        <v>12</v>
      </c>
      <c r="D158">
        <v>31</v>
      </c>
      <c r="E158" s="6">
        <v>44084</v>
      </c>
      <c r="F158" s="5">
        <v>41980</v>
      </c>
      <c r="G158" t="s">
        <v>16</v>
      </c>
      <c r="H158" t="s">
        <v>207</v>
      </c>
      <c r="I158" s="7">
        <f ca="1">(TODAY()-staff[[#This Row],[Date Joined]])/365</f>
        <v>3.2684931506849315</v>
      </c>
      <c r="J158" s="5">
        <f ca="1">IF(staff[[#This Row],[Tenure]] &gt;2,3%,2%)*staff[[#This Row],[Salary]]</f>
        <v>1259.3999999999999</v>
      </c>
      <c r="K158" s="7">
        <f>_xlfn.XLOOKUP(staff[[#This Row],[Rating]], 'Rating maping table'!$C$6:$C$10,'Rating maping table'!$D$6:$D$10)</f>
        <v>3</v>
      </c>
    </row>
    <row r="159" spans="1:11" x14ac:dyDescent="0.25">
      <c r="A159" t="s">
        <v>187</v>
      </c>
      <c r="B159" t="s">
        <v>15</v>
      </c>
      <c r="C159" t="s">
        <v>21</v>
      </c>
      <c r="D159">
        <v>36</v>
      </c>
      <c r="E159" s="6">
        <v>44272</v>
      </c>
      <c r="F159" s="5">
        <v>71380</v>
      </c>
      <c r="G159" t="s">
        <v>16</v>
      </c>
      <c r="H159" t="s">
        <v>207</v>
      </c>
      <c r="I159" s="7">
        <f ca="1">(TODAY()-staff[[#This Row],[Date Joined]])/365</f>
        <v>2.7534246575342465</v>
      </c>
      <c r="J159" s="5">
        <f ca="1">IF(staff[[#This Row],[Tenure]] &gt;2,3%,2%)*staff[[#This Row],[Salary]]</f>
        <v>2141.4</v>
      </c>
      <c r="K159" s="7">
        <f>_xlfn.XLOOKUP(staff[[#This Row],[Rating]], 'Rating maping table'!$C$6:$C$10,'Rating maping table'!$D$6:$D$10)</f>
        <v>3</v>
      </c>
    </row>
    <row r="160" spans="1:11" x14ac:dyDescent="0.25">
      <c r="A160" t="s">
        <v>191</v>
      </c>
      <c r="B160" t="s">
        <v>15</v>
      </c>
      <c r="C160" t="s">
        <v>9</v>
      </c>
      <c r="D160">
        <v>27</v>
      </c>
      <c r="E160" s="6">
        <v>44547</v>
      </c>
      <c r="F160" s="5">
        <v>113280</v>
      </c>
      <c r="G160" t="s">
        <v>42</v>
      </c>
      <c r="H160" t="s">
        <v>207</v>
      </c>
      <c r="I160" s="7">
        <f ca="1">(TODAY()-staff[[#This Row],[Date Joined]])/365</f>
        <v>2</v>
      </c>
      <c r="J160" s="5">
        <f ca="1">IF(staff[[#This Row],[Tenure]] &gt;2,3%,2%)*staff[[#This Row],[Salary]]</f>
        <v>2265.6</v>
      </c>
      <c r="K160" s="7">
        <f>_xlfn.XLOOKUP(staff[[#This Row],[Rating]], 'Rating maping table'!$C$6:$C$10,'Rating maping table'!$D$6:$D$10)</f>
        <v>1</v>
      </c>
    </row>
    <row r="161" spans="1:11" x14ac:dyDescent="0.25">
      <c r="A161" t="s">
        <v>181</v>
      </c>
      <c r="B161" t="s">
        <v>8</v>
      </c>
      <c r="C161" t="s">
        <v>21</v>
      </c>
      <c r="D161">
        <v>33</v>
      </c>
      <c r="E161" s="6">
        <v>44747</v>
      </c>
      <c r="F161" s="5">
        <v>86570</v>
      </c>
      <c r="G161" t="s">
        <v>16</v>
      </c>
      <c r="H161" t="s">
        <v>207</v>
      </c>
      <c r="I161" s="7">
        <f ca="1">(TODAY()-staff[[#This Row],[Date Joined]])/365</f>
        <v>1.452054794520548</v>
      </c>
      <c r="J161" s="5">
        <f ca="1">IF(staff[[#This Row],[Tenure]] &gt;2,3%,2%)*staff[[#This Row],[Salary]]</f>
        <v>1731.4</v>
      </c>
      <c r="K161" s="7">
        <f>_xlfn.XLOOKUP(staff[[#This Row],[Rating]], 'Rating maping table'!$C$6:$C$10,'Rating maping table'!$D$6:$D$10)</f>
        <v>3</v>
      </c>
    </row>
    <row r="162" spans="1:11" x14ac:dyDescent="0.25">
      <c r="A162" t="s">
        <v>139</v>
      </c>
      <c r="B162" t="s">
        <v>15</v>
      </c>
      <c r="C162" t="s">
        <v>9</v>
      </c>
      <c r="D162">
        <v>26</v>
      </c>
      <c r="E162" s="6">
        <v>44350</v>
      </c>
      <c r="F162" s="5">
        <v>53540</v>
      </c>
      <c r="G162" t="s">
        <v>16</v>
      </c>
      <c r="H162" t="s">
        <v>207</v>
      </c>
      <c r="I162" s="7">
        <f ca="1">(TODAY()-staff[[#This Row],[Date Joined]])/365</f>
        <v>2.5397260273972604</v>
      </c>
      <c r="J162" s="5">
        <f ca="1">IF(staff[[#This Row],[Tenure]] &gt;2,3%,2%)*staff[[#This Row],[Salary]]</f>
        <v>1606.2</v>
      </c>
      <c r="K162" s="7">
        <f>_xlfn.XLOOKUP(staff[[#This Row],[Rating]], 'Rating maping table'!$C$6:$C$10,'Rating maping table'!$D$6:$D$10)</f>
        <v>3</v>
      </c>
    </row>
    <row r="163" spans="1:11" x14ac:dyDescent="0.25">
      <c r="A163" t="s">
        <v>190</v>
      </c>
      <c r="B163" t="s">
        <v>15</v>
      </c>
      <c r="C163" t="s">
        <v>12</v>
      </c>
      <c r="D163">
        <v>37</v>
      </c>
      <c r="E163" s="6">
        <v>44640</v>
      </c>
      <c r="F163" s="5">
        <v>69070</v>
      </c>
      <c r="G163" t="s">
        <v>16</v>
      </c>
      <c r="H163" t="s">
        <v>207</v>
      </c>
      <c r="I163" s="7">
        <f ca="1">(TODAY()-staff[[#This Row],[Date Joined]])/365</f>
        <v>1.7452054794520548</v>
      </c>
      <c r="J163" s="5">
        <f ca="1">IF(staff[[#This Row],[Tenure]] &gt;2,3%,2%)*staff[[#This Row],[Salary]]</f>
        <v>1381.4</v>
      </c>
      <c r="K163" s="7">
        <f>_xlfn.XLOOKUP(staff[[#This Row],[Rating]], 'Rating maping table'!$C$6:$C$10,'Rating maping table'!$D$6:$D$10)</f>
        <v>3</v>
      </c>
    </row>
    <row r="164" spans="1:11" x14ac:dyDescent="0.25">
      <c r="A164" t="s">
        <v>121</v>
      </c>
      <c r="B164" t="s">
        <v>8</v>
      </c>
      <c r="C164" t="s">
        <v>21</v>
      </c>
      <c r="D164">
        <v>30</v>
      </c>
      <c r="E164" s="6">
        <v>44328</v>
      </c>
      <c r="F164" s="5">
        <v>67910</v>
      </c>
      <c r="G164" t="s">
        <v>24</v>
      </c>
      <c r="H164" t="s">
        <v>207</v>
      </c>
      <c r="I164" s="7">
        <f ca="1">(TODAY()-staff[[#This Row],[Date Joined]])/365</f>
        <v>2.6</v>
      </c>
      <c r="J164" s="5">
        <f ca="1">IF(staff[[#This Row],[Tenure]] &gt;2,3%,2%)*staff[[#This Row],[Salary]]</f>
        <v>2037.3</v>
      </c>
      <c r="K164" s="7">
        <f>_xlfn.XLOOKUP(staff[[#This Row],[Rating]], 'Rating maping table'!$C$6:$C$10,'Rating maping table'!$D$6:$D$10)</f>
        <v>2</v>
      </c>
    </row>
    <row r="165" spans="1:11" x14ac:dyDescent="0.25">
      <c r="A165" t="s">
        <v>119</v>
      </c>
      <c r="B165" t="s">
        <v>15</v>
      </c>
      <c r="C165" t="s">
        <v>12</v>
      </c>
      <c r="D165">
        <v>30</v>
      </c>
      <c r="E165" s="6">
        <v>44214</v>
      </c>
      <c r="F165" s="5">
        <v>69120</v>
      </c>
      <c r="G165" t="s">
        <v>16</v>
      </c>
      <c r="H165" t="s">
        <v>207</v>
      </c>
      <c r="I165" s="7">
        <f ca="1">(TODAY()-staff[[#This Row],[Date Joined]])/365</f>
        <v>2.9123287671232876</v>
      </c>
      <c r="J165" s="5">
        <f ca="1">IF(staff[[#This Row],[Tenure]] &gt;2,3%,2%)*staff[[#This Row],[Salary]]</f>
        <v>2073.6</v>
      </c>
      <c r="K165" s="7">
        <f>_xlfn.XLOOKUP(staff[[#This Row],[Rating]], 'Rating maping table'!$C$6:$C$10,'Rating maping table'!$D$6:$D$10)</f>
        <v>3</v>
      </c>
    </row>
    <row r="166" spans="1:11" x14ac:dyDescent="0.25">
      <c r="A166" t="s">
        <v>132</v>
      </c>
      <c r="B166" t="s">
        <v>8</v>
      </c>
      <c r="C166" t="s">
        <v>21</v>
      </c>
      <c r="D166">
        <v>34</v>
      </c>
      <c r="E166" s="6">
        <v>44550</v>
      </c>
      <c r="F166" s="5">
        <v>60130</v>
      </c>
      <c r="G166" t="s">
        <v>16</v>
      </c>
      <c r="H166" t="s">
        <v>207</v>
      </c>
      <c r="I166" s="7">
        <f ca="1">(TODAY()-staff[[#This Row],[Date Joined]])/365</f>
        <v>1.9917808219178081</v>
      </c>
      <c r="J166" s="5">
        <f ca="1">IF(staff[[#This Row],[Tenure]] &gt;2,3%,2%)*staff[[#This Row],[Salary]]</f>
        <v>1202.6000000000001</v>
      </c>
      <c r="K166" s="7">
        <f>_xlfn.XLOOKUP(staff[[#This Row],[Rating]], 'Rating maping table'!$C$6:$C$10,'Rating maping table'!$D$6:$D$10)</f>
        <v>3</v>
      </c>
    </row>
    <row r="167" spans="1:11" x14ac:dyDescent="0.25">
      <c r="A167" t="s">
        <v>161</v>
      </c>
      <c r="B167" t="s">
        <v>15</v>
      </c>
      <c r="C167" t="s">
        <v>9</v>
      </c>
      <c r="D167">
        <v>23</v>
      </c>
      <c r="E167" s="6">
        <v>44378</v>
      </c>
      <c r="F167" s="5">
        <v>106460</v>
      </c>
      <c r="G167" t="s">
        <v>16</v>
      </c>
      <c r="H167" t="s">
        <v>207</v>
      </c>
      <c r="I167" s="7">
        <f ca="1">(TODAY()-staff[[#This Row],[Date Joined]])/365</f>
        <v>2.463013698630137</v>
      </c>
      <c r="J167" s="5">
        <f ca="1">IF(staff[[#This Row],[Tenure]] &gt;2,3%,2%)*staff[[#This Row],[Salary]]</f>
        <v>3193.7999999999997</v>
      </c>
      <c r="K167" s="7">
        <f>_xlfn.XLOOKUP(staff[[#This Row],[Rating]], 'Rating maping table'!$C$6:$C$10,'Rating maping table'!$D$6:$D$10)</f>
        <v>3</v>
      </c>
    </row>
    <row r="168" spans="1:11" x14ac:dyDescent="0.25">
      <c r="A168" t="s">
        <v>148</v>
      </c>
      <c r="B168" t="s">
        <v>8</v>
      </c>
      <c r="C168" t="s">
        <v>56</v>
      </c>
      <c r="D168">
        <v>37</v>
      </c>
      <c r="E168" s="6">
        <v>44389</v>
      </c>
      <c r="F168" s="5">
        <v>118100</v>
      </c>
      <c r="G168" t="s">
        <v>16</v>
      </c>
      <c r="H168" t="s">
        <v>207</v>
      </c>
      <c r="I168" s="7">
        <f ca="1">(TODAY()-staff[[#This Row],[Date Joined]])/365</f>
        <v>2.4328767123287673</v>
      </c>
      <c r="J168" s="5">
        <f ca="1">IF(staff[[#This Row],[Tenure]] &gt;2,3%,2%)*staff[[#This Row],[Salary]]</f>
        <v>3543</v>
      </c>
      <c r="K168" s="7">
        <f>_xlfn.XLOOKUP(staff[[#This Row],[Rating]], 'Rating maping table'!$C$6:$C$10,'Rating maping table'!$D$6:$D$10)</f>
        <v>3</v>
      </c>
    </row>
    <row r="169" spans="1:11" x14ac:dyDescent="0.25">
      <c r="A169" t="s">
        <v>164</v>
      </c>
      <c r="B169" t="s">
        <v>8</v>
      </c>
      <c r="C169" t="s">
        <v>9</v>
      </c>
      <c r="D169">
        <v>36</v>
      </c>
      <c r="E169" s="6">
        <v>44468</v>
      </c>
      <c r="F169" s="5">
        <v>78390</v>
      </c>
      <c r="G169" t="s">
        <v>16</v>
      </c>
      <c r="H169" t="s">
        <v>207</v>
      </c>
      <c r="I169" s="7">
        <f ca="1">(TODAY()-staff[[#This Row],[Date Joined]])/365</f>
        <v>2.2164383561643834</v>
      </c>
      <c r="J169" s="5">
        <f ca="1">IF(staff[[#This Row],[Tenure]] &gt;2,3%,2%)*staff[[#This Row],[Salary]]</f>
        <v>2351.6999999999998</v>
      </c>
      <c r="K169" s="7">
        <f>_xlfn.XLOOKUP(staff[[#This Row],[Rating]], 'Rating maping table'!$C$6:$C$10,'Rating maping table'!$D$6:$D$10)</f>
        <v>3</v>
      </c>
    </row>
    <row r="170" spans="1:11" x14ac:dyDescent="0.25">
      <c r="A170" t="s">
        <v>147</v>
      </c>
      <c r="B170" t="s">
        <v>8</v>
      </c>
      <c r="C170" t="s">
        <v>9</v>
      </c>
      <c r="D170">
        <v>30</v>
      </c>
      <c r="E170" s="6">
        <v>44789</v>
      </c>
      <c r="F170" s="5">
        <v>114180</v>
      </c>
      <c r="G170" t="s">
        <v>16</v>
      </c>
      <c r="H170" t="s">
        <v>207</v>
      </c>
      <c r="I170" s="7">
        <f ca="1">(TODAY()-staff[[#This Row],[Date Joined]])/365</f>
        <v>1.3369863013698631</v>
      </c>
      <c r="J170" s="5">
        <f ca="1">IF(staff[[#This Row],[Tenure]] &gt;2,3%,2%)*staff[[#This Row],[Salary]]</f>
        <v>2283.6</v>
      </c>
      <c r="K170" s="7">
        <f>_xlfn.XLOOKUP(staff[[#This Row],[Rating]], 'Rating maping table'!$C$6:$C$10,'Rating maping table'!$D$6:$D$10)</f>
        <v>3</v>
      </c>
    </row>
    <row r="171" spans="1:11" x14ac:dyDescent="0.25">
      <c r="A171" t="s">
        <v>189</v>
      </c>
      <c r="B171" t="s">
        <v>8</v>
      </c>
      <c r="C171" t="s">
        <v>9</v>
      </c>
      <c r="D171">
        <v>28</v>
      </c>
      <c r="E171" s="6">
        <v>44590</v>
      </c>
      <c r="F171" s="5">
        <v>104120</v>
      </c>
      <c r="G171" t="s">
        <v>16</v>
      </c>
      <c r="H171" t="s">
        <v>207</v>
      </c>
      <c r="I171" s="7">
        <f ca="1">(TODAY()-staff[[#This Row],[Date Joined]])/365</f>
        <v>1.8821917808219177</v>
      </c>
      <c r="J171" s="5">
        <f ca="1">IF(staff[[#This Row],[Tenure]] &gt;2,3%,2%)*staff[[#This Row],[Salary]]</f>
        <v>2082.4</v>
      </c>
      <c r="K171" s="7">
        <f>_xlfn.XLOOKUP(staff[[#This Row],[Rating]], 'Rating maping table'!$C$6:$C$10,'Rating maping table'!$D$6:$D$10)</f>
        <v>3</v>
      </c>
    </row>
    <row r="172" spans="1:11" x14ac:dyDescent="0.25">
      <c r="A172" t="s">
        <v>138</v>
      </c>
      <c r="B172" t="s">
        <v>15</v>
      </c>
      <c r="C172" t="s">
        <v>9</v>
      </c>
      <c r="D172">
        <v>30</v>
      </c>
      <c r="E172" s="6">
        <v>44640</v>
      </c>
      <c r="F172" s="5">
        <v>67950</v>
      </c>
      <c r="G172" t="s">
        <v>16</v>
      </c>
      <c r="H172" t="s">
        <v>207</v>
      </c>
      <c r="I172" s="7">
        <f ca="1">(TODAY()-staff[[#This Row],[Date Joined]])/365</f>
        <v>1.7452054794520548</v>
      </c>
      <c r="J172" s="5">
        <f ca="1">IF(staff[[#This Row],[Tenure]] &gt;2,3%,2%)*staff[[#This Row],[Salary]]</f>
        <v>1359</v>
      </c>
      <c r="K172" s="7">
        <f>_xlfn.XLOOKUP(staff[[#This Row],[Rating]], 'Rating maping table'!$C$6:$C$10,'Rating maping table'!$D$6:$D$10)</f>
        <v>3</v>
      </c>
    </row>
    <row r="173" spans="1:11" x14ac:dyDescent="0.25">
      <c r="A173" t="s">
        <v>137</v>
      </c>
      <c r="B173" t="s">
        <v>8</v>
      </c>
      <c r="C173" t="s">
        <v>12</v>
      </c>
      <c r="D173">
        <v>29</v>
      </c>
      <c r="E173" s="6">
        <v>43962</v>
      </c>
      <c r="F173" s="5">
        <v>34980</v>
      </c>
      <c r="G173" t="s">
        <v>16</v>
      </c>
      <c r="H173" t="s">
        <v>207</v>
      </c>
      <c r="I173" s="7">
        <f ca="1">(TODAY()-staff[[#This Row],[Date Joined]])/365</f>
        <v>3.6027397260273974</v>
      </c>
      <c r="J173" s="5">
        <f ca="1">IF(staff[[#This Row],[Tenure]] &gt;2,3%,2%)*staff[[#This Row],[Salary]]</f>
        <v>1049.3999999999999</v>
      </c>
      <c r="K173" s="7">
        <f>_xlfn.XLOOKUP(staff[[#This Row],[Rating]], 'Rating maping table'!$C$6:$C$10,'Rating maping table'!$D$6:$D$10)</f>
        <v>3</v>
      </c>
    </row>
    <row r="174" spans="1:11" x14ac:dyDescent="0.25">
      <c r="A174" t="s">
        <v>153</v>
      </c>
      <c r="B174" t="s">
        <v>8</v>
      </c>
      <c r="C174" t="s">
        <v>12</v>
      </c>
      <c r="D174">
        <v>24</v>
      </c>
      <c r="E174" s="6">
        <v>44087</v>
      </c>
      <c r="F174" s="5">
        <v>62780</v>
      </c>
      <c r="G174" t="s">
        <v>16</v>
      </c>
      <c r="H174" t="s">
        <v>207</v>
      </c>
      <c r="I174" s="7">
        <f ca="1">(TODAY()-staff[[#This Row],[Date Joined]])/365</f>
        <v>3.2602739726027399</v>
      </c>
      <c r="J174" s="5">
        <f ca="1">IF(staff[[#This Row],[Tenure]] &gt;2,3%,2%)*staff[[#This Row],[Salary]]</f>
        <v>1883.3999999999999</v>
      </c>
      <c r="K174" s="7">
        <f>_xlfn.XLOOKUP(staff[[#This Row],[Rating]], 'Rating maping table'!$C$6:$C$10,'Rating maping table'!$D$6:$D$10)</f>
        <v>3</v>
      </c>
    </row>
    <row r="175" spans="1:11" x14ac:dyDescent="0.25">
      <c r="A175" t="s">
        <v>117</v>
      </c>
      <c r="B175" t="s">
        <v>15</v>
      </c>
      <c r="C175" t="s">
        <v>12</v>
      </c>
      <c r="D175">
        <v>20</v>
      </c>
      <c r="E175" s="6">
        <v>44397</v>
      </c>
      <c r="F175" s="5">
        <v>107700</v>
      </c>
      <c r="G175" t="s">
        <v>16</v>
      </c>
      <c r="H175" t="s">
        <v>207</v>
      </c>
      <c r="I175" s="7">
        <f ca="1">(TODAY()-staff[[#This Row],[Date Joined]])/365</f>
        <v>2.4109589041095889</v>
      </c>
      <c r="J175" s="5">
        <f ca="1">IF(staff[[#This Row],[Tenure]] &gt;2,3%,2%)*staff[[#This Row],[Salary]]</f>
        <v>3231</v>
      </c>
      <c r="K175" s="7">
        <f>_xlfn.XLOOKUP(staff[[#This Row],[Rating]], 'Rating maping table'!$C$6:$C$10,'Rating maping table'!$D$6:$D$10)</f>
        <v>3</v>
      </c>
    </row>
    <row r="176" spans="1:11" x14ac:dyDescent="0.25">
      <c r="A176" t="s">
        <v>168</v>
      </c>
      <c r="B176" t="s">
        <v>15</v>
      </c>
      <c r="C176" t="s">
        <v>19</v>
      </c>
      <c r="D176">
        <v>25</v>
      </c>
      <c r="E176" s="6">
        <v>44322</v>
      </c>
      <c r="F176" s="5">
        <v>65700</v>
      </c>
      <c r="G176" t="s">
        <v>16</v>
      </c>
      <c r="H176" t="s">
        <v>207</v>
      </c>
      <c r="I176" s="7">
        <f ca="1">(TODAY()-staff[[#This Row],[Date Joined]])/365</f>
        <v>2.6164383561643834</v>
      </c>
      <c r="J176" s="5">
        <f ca="1">IF(staff[[#This Row],[Tenure]] &gt;2,3%,2%)*staff[[#This Row],[Salary]]</f>
        <v>1971</v>
      </c>
      <c r="K176" s="7">
        <f>_xlfn.XLOOKUP(staff[[#This Row],[Rating]], 'Rating maping table'!$C$6:$C$10,'Rating maping table'!$D$6:$D$10)</f>
        <v>3</v>
      </c>
    </row>
    <row r="177" spans="1:11" x14ac:dyDescent="0.25">
      <c r="A177" t="s">
        <v>135</v>
      </c>
      <c r="B177" t="s">
        <v>8</v>
      </c>
      <c r="C177" t="s">
        <v>12</v>
      </c>
      <c r="D177">
        <v>33</v>
      </c>
      <c r="E177" s="6">
        <v>44313</v>
      </c>
      <c r="F177" s="5">
        <v>75480</v>
      </c>
      <c r="G177" t="s">
        <v>42</v>
      </c>
      <c r="H177" t="s">
        <v>207</v>
      </c>
      <c r="I177" s="7">
        <f ca="1">(TODAY()-staff[[#This Row],[Date Joined]])/365</f>
        <v>2.6410958904109587</v>
      </c>
      <c r="J177" s="5">
        <f ca="1">IF(staff[[#This Row],[Tenure]] &gt;2,3%,2%)*staff[[#This Row],[Salary]]</f>
        <v>2264.4</v>
      </c>
      <c r="K177" s="7">
        <f>_xlfn.XLOOKUP(staff[[#This Row],[Rating]], 'Rating maping table'!$C$6:$C$10,'Rating maping table'!$D$6:$D$10)</f>
        <v>1</v>
      </c>
    </row>
    <row r="178" spans="1:11" x14ac:dyDescent="0.25">
      <c r="A178" t="s">
        <v>174</v>
      </c>
      <c r="B178" t="s">
        <v>15</v>
      </c>
      <c r="C178" t="s">
        <v>12</v>
      </c>
      <c r="D178">
        <v>33</v>
      </c>
      <c r="E178" s="6">
        <v>44448</v>
      </c>
      <c r="F178" s="5">
        <v>53870</v>
      </c>
      <c r="G178" t="s">
        <v>16</v>
      </c>
      <c r="H178" t="s">
        <v>207</v>
      </c>
      <c r="I178" s="7">
        <f ca="1">(TODAY()-staff[[#This Row],[Date Joined]])/365</f>
        <v>2.2712328767123289</v>
      </c>
      <c r="J178" s="5">
        <f ca="1">IF(staff[[#This Row],[Tenure]] &gt;2,3%,2%)*staff[[#This Row],[Salary]]</f>
        <v>1616.1</v>
      </c>
      <c r="K178" s="7">
        <f>_xlfn.XLOOKUP(staff[[#This Row],[Rating]], 'Rating maping table'!$C$6:$C$10,'Rating maping table'!$D$6:$D$10)</f>
        <v>3</v>
      </c>
    </row>
    <row r="179" spans="1:11" x14ac:dyDescent="0.25">
      <c r="A179" t="s">
        <v>141</v>
      </c>
      <c r="B179" t="s">
        <v>8</v>
      </c>
      <c r="C179" t="s">
        <v>19</v>
      </c>
      <c r="D179">
        <v>36</v>
      </c>
      <c r="E179" s="6">
        <v>44433</v>
      </c>
      <c r="F179" s="5">
        <v>78540</v>
      </c>
      <c r="G179" t="s">
        <v>16</v>
      </c>
      <c r="H179" t="s">
        <v>207</v>
      </c>
      <c r="I179" s="7">
        <f ca="1">(TODAY()-staff[[#This Row],[Date Joined]])/365</f>
        <v>2.3123287671232875</v>
      </c>
      <c r="J179" s="5">
        <f ca="1">IF(staff[[#This Row],[Tenure]] &gt;2,3%,2%)*staff[[#This Row],[Salary]]</f>
        <v>2356.1999999999998</v>
      </c>
      <c r="K179" s="7">
        <f>_xlfn.XLOOKUP(staff[[#This Row],[Rating]], 'Rating maping table'!$C$6:$C$10,'Rating maping table'!$D$6:$D$10)</f>
        <v>3</v>
      </c>
    </row>
    <row r="180" spans="1:11" x14ac:dyDescent="0.25">
      <c r="A180" t="s">
        <v>193</v>
      </c>
      <c r="B180" t="s">
        <v>15</v>
      </c>
      <c r="C180" t="s">
        <v>9</v>
      </c>
      <c r="D180">
        <v>19</v>
      </c>
      <c r="E180" s="6">
        <v>44218</v>
      </c>
      <c r="F180" s="5">
        <v>58960</v>
      </c>
      <c r="G180" t="s">
        <v>16</v>
      </c>
      <c r="H180" t="s">
        <v>207</v>
      </c>
      <c r="I180" s="7">
        <f ca="1">(TODAY()-staff[[#This Row],[Date Joined]])/365</f>
        <v>2.9013698630136986</v>
      </c>
      <c r="J180" s="5">
        <f ca="1">IF(staff[[#This Row],[Tenure]] &gt;2,3%,2%)*staff[[#This Row],[Salary]]</f>
        <v>1768.8</v>
      </c>
      <c r="K180" s="7">
        <f>_xlfn.XLOOKUP(staff[[#This Row],[Rating]], 'Rating maping table'!$C$6:$C$10,'Rating maping table'!$D$6:$D$10)</f>
        <v>3</v>
      </c>
    </row>
    <row r="181" spans="1:11" x14ac:dyDescent="0.25">
      <c r="A181" t="s">
        <v>162</v>
      </c>
      <c r="B181" t="s">
        <v>15</v>
      </c>
      <c r="C181" t="s">
        <v>9</v>
      </c>
      <c r="D181">
        <v>46</v>
      </c>
      <c r="E181" s="6">
        <v>44697</v>
      </c>
      <c r="F181" s="5">
        <v>70610</v>
      </c>
      <c r="G181" t="s">
        <v>16</v>
      </c>
      <c r="H181" t="s">
        <v>207</v>
      </c>
      <c r="I181" s="7">
        <f ca="1">(TODAY()-staff[[#This Row],[Date Joined]])/365</f>
        <v>1.5890410958904109</v>
      </c>
      <c r="J181" s="5">
        <f ca="1">IF(staff[[#This Row],[Tenure]] &gt;2,3%,2%)*staff[[#This Row],[Salary]]</f>
        <v>1412.2</v>
      </c>
      <c r="K181" s="7">
        <f>_xlfn.XLOOKUP(staff[[#This Row],[Rating]], 'Rating maping table'!$C$6:$C$10,'Rating maping table'!$D$6:$D$10)</f>
        <v>3</v>
      </c>
    </row>
    <row r="182" spans="1:11" x14ac:dyDescent="0.25">
      <c r="A182" t="s">
        <v>171</v>
      </c>
      <c r="B182" t="s">
        <v>15</v>
      </c>
      <c r="C182" t="s">
        <v>21</v>
      </c>
      <c r="D182">
        <v>33</v>
      </c>
      <c r="E182" s="6">
        <v>44181</v>
      </c>
      <c r="F182" s="5">
        <v>59430</v>
      </c>
      <c r="G182" t="s">
        <v>16</v>
      </c>
      <c r="H182" t="s">
        <v>207</v>
      </c>
      <c r="I182" s="7">
        <f ca="1">(TODAY()-staff[[#This Row],[Date Joined]])/365</f>
        <v>3.0027397260273974</v>
      </c>
      <c r="J182" s="5">
        <f ca="1">IF(staff[[#This Row],[Tenure]] &gt;2,3%,2%)*staff[[#This Row],[Salary]]</f>
        <v>1782.8999999999999</v>
      </c>
      <c r="K182" s="7">
        <f>_xlfn.XLOOKUP(staff[[#This Row],[Rating]], 'Rating maping table'!$C$6:$C$10,'Rating maping table'!$D$6:$D$10)</f>
        <v>3</v>
      </c>
    </row>
    <row r="183" spans="1:11" x14ac:dyDescent="0.25">
      <c r="A183" t="s">
        <v>144</v>
      </c>
      <c r="B183" t="s">
        <v>15</v>
      </c>
      <c r="C183" t="s">
        <v>9</v>
      </c>
      <c r="D183">
        <v>33</v>
      </c>
      <c r="E183" s="6">
        <v>44640</v>
      </c>
      <c r="F183" s="5">
        <v>48530</v>
      </c>
      <c r="G183" t="s">
        <v>13</v>
      </c>
      <c r="H183" t="s">
        <v>207</v>
      </c>
      <c r="I183" s="7">
        <f ca="1">(TODAY()-staff[[#This Row],[Date Joined]])/365</f>
        <v>1.7452054794520548</v>
      </c>
      <c r="J183" s="5">
        <f ca="1">IF(staff[[#This Row],[Tenure]] &gt;2,3%,2%)*staff[[#This Row],[Salary]]</f>
        <v>970.6</v>
      </c>
      <c r="K183" s="7">
        <f>_xlfn.XLOOKUP(staff[[#This Row],[Rating]], 'Rating maping table'!$C$6:$C$10,'Rating maping table'!$D$6:$D$10)</f>
        <v>4</v>
      </c>
    </row>
    <row r="184" spans="1:11" x14ac:dyDescent="0.25">
      <c r="A184" t="s">
        <v>163</v>
      </c>
      <c r="B184" t="s">
        <v>8</v>
      </c>
      <c r="C184" t="s">
        <v>12</v>
      </c>
      <c r="D184">
        <v>33</v>
      </c>
      <c r="E184" s="6">
        <v>44129</v>
      </c>
      <c r="F184" s="5">
        <v>96140</v>
      </c>
      <c r="G184" t="s">
        <v>16</v>
      </c>
      <c r="H184" t="s">
        <v>207</v>
      </c>
      <c r="I184" s="7">
        <f ca="1">(TODAY()-staff[[#This Row],[Date Joined]])/365</f>
        <v>3.1452054794520548</v>
      </c>
      <c r="J184" s="5">
        <f ca="1">IF(staff[[#This Row],[Tenure]] &gt;2,3%,2%)*staff[[#This Row],[Salary]]</f>
        <v>2884.2</v>
      </c>
      <c r="K184" s="7">
        <f>_xlfn.XLOOKUP(staff[[#This Row],[Rating]], 'Rating maping table'!$C$6:$C$10,'Rating maping table'!$D$6:$D$10)</f>
        <v>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F8EFB-A293-4D62-97F6-881E0D7760B2}">
  <sheetPr>
    <tabColor theme="9"/>
  </sheetPr>
  <dimension ref="B2:D36"/>
  <sheetViews>
    <sheetView workbookViewId="0">
      <selection activeCell="B9" sqref="B9"/>
    </sheetView>
  </sheetViews>
  <sheetFormatPr defaultRowHeight="15" x14ac:dyDescent="0.25"/>
  <cols>
    <col min="2" max="2" width="34.85546875" customWidth="1"/>
    <col min="3" max="3" width="14.28515625" customWidth="1"/>
    <col min="4" max="4" width="11.140625" customWidth="1"/>
  </cols>
  <sheetData>
    <row r="2" spans="2:4" x14ac:dyDescent="0.25">
      <c r="B2" s="12" t="s">
        <v>256</v>
      </c>
    </row>
    <row r="4" spans="2:4" x14ac:dyDescent="0.25">
      <c r="B4" s="61" t="s">
        <v>218</v>
      </c>
      <c r="D4" s="60" t="s">
        <v>19</v>
      </c>
    </row>
    <row r="6" spans="2:4" x14ac:dyDescent="0.25">
      <c r="B6" s="63" t="s">
        <v>219</v>
      </c>
      <c r="C6" s="63"/>
      <c r="D6" s="64">
        <f>COUNTIFS(staff[Department],D4)</f>
        <v>28</v>
      </c>
    </row>
    <row r="7" spans="2:4" x14ac:dyDescent="0.25">
      <c r="D7" s="13"/>
    </row>
    <row r="8" spans="2:4" x14ac:dyDescent="0.25">
      <c r="B8" s="62" t="s">
        <v>0</v>
      </c>
      <c r="C8" s="62" t="s">
        <v>6</v>
      </c>
      <c r="D8" s="62" t="s">
        <v>5</v>
      </c>
    </row>
    <row r="9" spans="2:4" x14ac:dyDescent="0.25">
      <c r="B9" t="str" cm="1">
        <f t="array" aca="1" ref="B9:D36" ca="1">_xlfn._xlws.SORT(_xlfn.CHOOSECOLS(_xlfn._xlws.FILTER(staff[], staff[Department]=D4), 1,7,6), 3,-1)</f>
        <v>Lindy Guillet</v>
      </c>
      <c r="C9" t="str">
        <f ca="1"/>
        <v>Above average</v>
      </c>
      <c r="D9">
        <f ca="1"/>
        <v>112780</v>
      </c>
    </row>
    <row r="10" spans="2:4" x14ac:dyDescent="0.25">
      <c r="B10" t="str">
        <f ca="1"/>
        <v>Krishnakanta Vellanki</v>
      </c>
      <c r="C10" t="str">
        <f ca="1"/>
        <v>Above average</v>
      </c>
      <c r="D10">
        <f ca="1"/>
        <v>112780</v>
      </c>
    </row>
    <row r="11" spans="2:4" x14ac:dyDescent="0.25">
      <c r="B11" t="str">
        <f ca="1"/>
        <v>Rafaelita Blaksland</v>
      </c>
      <c r="C11" t="str">
        <f ca="1"/>
        <v>Exceptional</v>
      </c>
      <c r="D11">
        <f ca="1"/>
        <v>109160</v>
      </c>
    </row>
    <row r="12" spans="2:4" x14ac:dyDescent="0.25">
      <c r="B12" t="str">
        <f ca="1"/>
        <v>Sawini Chandan</v>
      </c>
      <c r="C12" t="str">
        <f ca="1"/>
        <v>Exceptional</v>
      </c>
      <c r="D12">
        <f ca="1"/>
        <v>109160</v>
      </c>
    </row>
    <row r="13" spans="2:4" x14ac:dyDescent="0.25">
      <c r="B13" t="str">
        <f ca="1"/>
        <v>Hinda Label</v>
      </c>
      <c r="C13" t="str">
        <f ca="1"/>
        <v>Average</v>
      </c>
      <c r="D13">
        <f ca="1"/>
        <v>92700</v>
      </c>
    </row>
    <row r="14" spans="2:4" x14ac:dyDescent="0.25">
      <c r="B14" t="str">
        <f ca="1"/>
        <v>Purnendu Vijayarangan</v>
      </c>
      <c r="C14" t="str">
        <f ca="1"/>
        <v>Average</v>
      </c>
      <c r="D14">
        <f ca="1"/>
        <v>92700</v>
      </c>
    </row>
    <row r="15" spans="2:4" x14ac:dyDescent="0.25">
      <c r="B15" t="str">
        <f ca="1"/>
        <v>Gray Seamon</v>
      </c>
      <c r="C15" t="str">
        <f ca="1"/>
        <v>Average</v>
      </c>
      <c r="D15">
        <f ca="1"/>
        <v>78540</v>
      </c>
    </row>
    <row r="16" spans="2:4" x14ac:dyDescent="0.25">
      <c r="B16" t="str">
        <f ca="1"/>
        <v>Shulabh Qutub Sundaramoorthy</v>
      </c>
      <c r="C16" t="str">
        <f ca="1"/>
        <v>Average</v>
      </c>
      <c r="D16">
        <f ca="1"/>
        <v>78540</v>
      </c>
    </row>
    <row r="17" spans="2:4" x14ac:dyDescent="0.25">
      <c r="B17" t="str">
        <f ca="1"/>
        <v>Gigi Bohling</v>
      </c>
      <c r="C17" t="str">
        <f ca="1"/>
        <v>Average</v>
      </c>
      <c r="D17">
        <f ca="1"/>
        <v>74550</v>
      </c>
    </row>
    <row r="18" spans="2:4" x14ac:dyDescent="0.25">
      <c r="B18" t="str">
        <f ca="1"/>
        <v>Yauvani Tarpa</v>
      </c>
      <c r="C18" t="str">
        <f ca="1"/>
        <v>Average</v>
      </c>
      <c r="D18">
        <f ca="1"/>
        <v>74550</v>
      </c>
    </row>
    <row r="19" spans="2:4" x14ac:dyDescent="0.25">
      <c r="B19" t="str">
        <f ca="1"/>
        <v>Hyacinthie Braybrooke</v>
      </c>
      <c r="C19" t="str">
        <f ca="1"/>
        <v>Poor</v>
      </c>
      <c r="D19">
        <f ca="1"/>
        <v>68900</v>
      </c>
    </row>
    <row r="20" spans="2:4" x14ac:dyDescent="0.25">
      <c r="B20" t="str">
        <f ca="1"/>
        <v>Devasree Fullara Saurin</v>
      </c>
      <c r="C20" t="str">
        <f ca="1"/>
        <v>Poor</v>
      </c>
      <c r="D20">
        <f ca="1"/>
        <v>68900</v>
      </c>
    </row>
    <row r="21" spans="2:4" x14ac:dyDescent="0.25">
      <c r="B21" t="str">
        <f ca="1"/>
        <v>Kath Bletsoe</v>
      </c>
      <c r="C21" t="str">
        <f ca="1"/>
        <v>Average</v>
      </c>
      <c r="D21">
        <f ca="1"/>
        <v>65700</v>
      </c>
    </row>
    <row r="22" spans="2:4" x14ac:dyDescent="0.25">
      <c r="B22" t="str">
        <f ca="1"/>
        <v>Abhaya Priyavardhan</v>
      </c>
      <c r="C22" t="str">
        <f ca="1"/>
        <v>Average</v>
      </c>
      <c r="D22">
        <f ca="1"/>
        <v>65700</v>
      </c>
    </row>
    <row r="23" spans="2:4" x14ac:dyDescent="0.25">
      <c r="B23" t="str">
        <f ca="1"/>
        <v>Oran Buxcy</v>
      </c>
      <c r="C23" t="str">
        <f ca="1"/>
        <v>Above average</v>
      </c>
      <c r="D23">
        <f ca="1"/>
        <v>56870</v>
      </c>
    </row>
    <row r="24" spans="2:4" x14ac:dyDescent="0.25">
      <c r="B24" t="str">
        <f ca="1"/>
        <v>Mirium Seemantini Shivakumar</v>
      </c>
      <c r="C24" t="str">
        <f ca="1"/>
        <v>Above average</v>
      </c>
      <c r="D24">
        <f ca="1"/>
        <v>56870</v>
      </c>
    </row>
    <row r="25" spans="2:4" x14ac:dyDescent="0.25">
      <c r="B25" t="str">
        <f ca="1"/>
        <v>Alta Kaszper</v>
      </c>
      <c r="C25" t="str">
        <f ca="1"/>
        <v>Average</v>
      </c>
      <c r="D25">
        <f ca="1"/>
        <v>54970</v>
      </c>
    </row>
    <row r="26" spans="2:4" x14ac:dyDescent="0.25">
      <c r="B26" t="str">
        <f ca="1"/>
        <v>Sanchali Shirish</v>
      </c>
      <c r="C26" t="str">
        <f ca="1"/>
        <v>Average</v>
      </c>
      <c r="D26">
        <f ca="1"/>
        <v>54970</v>
      </c>
    </row>
    <row r="27" spans="2:4" x14ac:dyDescent="0.25">
      <c r="B27" t="str">
        <f ca="1"/>
        <v>Hoyt D'Alesco</v>
      </c>
      <c r="C27" t="str">
        <f ca="1"/>
        <v>Average</v>
      </c>
      <c r="D27">
        <f ca="1"/>
        <v>53540</v>
      </c>
    </row>
    <row r="28" spans="2:4" x14ac:dyDescent="0.25">
      <c r="B28" t="str">
        <f ca="1"/>
        <v>Geena Raghavanpillai</v>
      </c>
      <c r="C28" t="str">
        <f ca="1"/>
        <v>Average</v>
      </c>
      <c r="D28">
        <f ca="1"/>
        <v>53540</v>
      </c>
    </row>
    <row r="29" spans="2:4" x14ac:dyDescent="0.25">
      <c r="B29" t="str">
        <f ca="1"/>
        <v>Tatum Hush</v>
      </c>
      <c r="C29" t="str">
        <f ca="1"/>
        <v>Average</v>
      </c>
      <c r="D29">
        <f ca="1"/>
        <v>53240</v>
      </c>
    </row>
    <row r="30" spans="2:4" x14ac:dyDescent="0.25">
      <c r="B30" t="str">
        <f ca="1"/>
        <v>Anumati Shyamari Meherhomji</v>
      </c>
      <c r="C30" t="str">
        <f ca="1"/>
        <v>Average</v>
      </c>
      <c r="D30">
        <f ca="1"/>
        <v>53240</v>
      </c>
    </row>
    <row r="31" spans="2:4" x14ac:dyDescent="0.25">
      <c r="B31" t="str">
        <f ca="1"/>
        <v>Violante Courtonne</v>
      </c>
      <c r="C31" t="str">
        <f ca="1"/>
        <v>Poor</v>
      </c>
      <c r="D31">
        <f ca="1"/>
        <v>49630</v>
      </c>
    </row>
    <row r="32" spans="2:4" x14ac:dyDescent="0.25">
      <c r="B32" t="str">
        <f ca="1"/>
        <v>Daruka Ghazali</v>
      </c>
      <c r="C32" t="str">
        <f ca="1"/>
        <v>Poor</v>
      </c>
      <c r="D32">
        <f ca="1"/>
        <v>49630</v>
      </c>
    </row>
    <row r="33" spans="2:4" x14ac:dyDescent="0.25">
      <c r="B33" t="str">
        <f ca="1"/>
        <v>Drusy MacCombe</v>
      </c>
      <c r="C33" t="str">
        <f ca="1"/>
        <v>Very poor</v>
      </c>
      <c r="D33">
        <f ca="1"/>
        <v>43510</v>
      </c>
    </row>
    <row r="34" spans="2:4" x14ac:dyDescent="0.25">
      <c r="B34" t="str">
        <f ca="1"/>
        <v>Rupak Mehra</v>
      </c>
      <c r="C34" t="str">
        <f ca="1"/>
        <v>Very poor</v>
      </c>
      <c r="D34">
        <f ca="1"/>
        <v>43510</v>
      </c>
    </row>
    <row r="35" spans="2:4" x14ac:dyDescent="0.25">
      <c r="B35" t="str">
        <f ca="1"/>
        <v>Bili Sizey</v>
      </c>
      <c r="C35" t="str">
        <f ca="1"/>
        <v>Average</v>
      </c>
      <c r="D35">
        <f ca="1"/>
        <v>36040</v>
      </c>
    </row>
    <row r="36" spans="2:4" x14ac:dyDescent="0.25">
      <c r="B36" t="str">
        <f ca="1"/>
        <v>Waheeda Vasuman</v>
      </c>
      <c r="C36" t="str">
        <f ca="1"/>
        <v>Average</v>
      </c>
      <c r="D36">
        <f ca="1"/>
        <v>36040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32E5A-C3D5-4991-AAF1-D02D8B3780C4}">
  <sheetPr>
    <tabColor rgb="FFFF0000"/>
  </sheetPr>
  <dimension ref="C3:F13"/>
  <sheetViews>
    <sheetView workbookViewId="0">
      <selection activeCell="F2" sqref="F2"/>
    </sheetView>
  </sheetViews>
  <sheetFormatPr defaultRowHeight="15" x14ac:dyDescent="0.25"/>
  <cols>
    <col min="3" max="3" width="17.5703125" bestFit="1" customWidth="1"/>
    <col min="4" max="4" width="16.28515625" bestFit="1" customWidth="1"/>
    <col min="5" max="5" width="10.140625" bestFit="1" customWidth="1"/>
    <col min="6" max="6" width="11.28515625" bestFit="1" customWidth="1"/>
    <col min="7" max="7" width="12" bestFit="1" customWidth="1"/>
    <col min="8" max="8" width="16.28515625" bestFit="1" customWidth="1"/>
    <col min="9" max="9" width="19.42578125" bestFit="1" customWidth="1"/>
    <col min="10" max="10" width="19.5703125" bestFit="1" customWidth="1"/>
  </cols>
  <sheetData>
    <row r="3" spans="3:6" x14ac:dyDescent="0.25">
      <c r="C3" s="12" t="s">
        <v>257</v>
      </c>
      <c r="D3" s="68" t="s">
        <v>227</v>
      </c>
      <c r="E3" s="68"/>
    </row>
    <row r="8" spans="3:6" x14ac:dyDescent="0.25">
      <c r="D8" s="14" t="s">
        <v>220</v>
      </c>
    </row>
    <row r="9" spans="3:6" x14ac:dyDescent="0.25">
      <c r="C9" s="14" t="s">
        <v>224</v>
      </c>
      <c r="D9" t="s">
        <v>8</v>
      </c>
      <c r="E9" t="s">
        <v>15</v>
      </c>
      <c r="F9" t="s">
        <v>221</v>
      </c>
    </row>
    <row r="10" spans="3:6" x14ac:dyDescent="0.25">
      <c r="C10" s="65" t="s">
        <v>222</v>
      </c>
      <c r="D10" s="69">
        <v>43</v>
      </c>
      <c r="E10" s="69">
        <v>44</v>
      </c>
      <c r="F10" s="69">
        <v>87</v>
      </c>
    </row>
    <row r="11" spans="3:6" x14ac:dyDescent="0.25">
      <c r="C11" s="65" t="s">
        <v>223</v>
      </c>
      <c r="D11" s="66">
        <v>31.395348837209301</v>
      </c>
      <c r="E11" s="66">
        <v>29.34090909090909</v>
      </c>
      <c r="F11" s="66">
        <v>30.356321839080461</v>
      </c>
    </row>
    <row r="12" spans="3:6" x14ac:dyDescent="0.25">
      <c r="C12" s="65" t="s">
        <v>225</v>
      </c>
      <c r="D12" s="67">
        <v>78284.186046511633</v>
      </c>
      <c r="E12" s="67">
        <v>74486.363636363632</v>
      </c>
      <c r="F12" s="67">
        <v>76363.448275862072</v>
      </c>
    </row>
    <row r="13" spans="3:6" x14ac:dyDescent="0.25">
      <c r="C13" s="65" t="s">
        <v>226</v>
      </c>
      <c r="D13" s="66">
        <v>2.1738770309015609</v>
      </c>
      <c r="E13" s="66">
        <v>2.1709215442092153</v>
      </c>
      <c r="F13" s="66">
        <v>2.1723823019996855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33AA2-8B73-4E1B-B1FA-709F3B24ECA9}">
  <sheetPr>
    <tabColor theme="8" tint="-0.249977111117893"/>
  </sheetPr>
  <dimension ref="A1"/>
  <sheetViews>
    <sheetView topLeftCell="A7" workbookViewId="0">
      <selection activeCell="I32" sqref="I32"/>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AC3A6-ADB8-42B0-A9DD-F5F2411B7BA4}">
  <sheetPr>
    <tabColor theme="3" tint="-0.499984740745262"/>
  </sheetPr>
  <dimension ref="B10:I16"/>
  <sheetViews>
    <sheetView workbookViewId="0">
      <selection activeCell="Q33" sqref="Q33"/>
    </sheetView>
  </sheetViews>
  <sheetFormatPr defaultRowHeight="15" x14ac:dyDescent="0.25"/>
  <cols>
    <col min="1" max="2" width="14.28515625" bestFit="1" customWidth="1"/>
    <col min="3" max="3" width="14.42578125" bestFit="1" customWidth="1"/>
    <col min="4" max="4" width="16.42578125" bestFit="1" customWidth="1"/>
  </cols>
  <sheetData>
    <row r="10" spans="2:9" x14ac:dyDescent="0.25">
      <c r="B10" s="14" t="s">
        <v>229</v>
      </c>
      <c r="C10" t="s">
        <v>222</v>
      </c>
      <c r="D10" s="5" t="s">
        <v>225</v>
      </c>
      <c r="I10" s="8"/>
    </row>
    <row r="11" spans="2:9" x14ac:dyDescent="0.25">
      <c r="B11" s="15" t="s">
        <v>10</v>
      </c>
      <c r="C11">
        <v>4</v>
      </c>
      <c r="D11" s="17">
        <v>92080</v>
      </c>
    </row>
    <row r="12" spans="2:9" x14ac:dyDescent="0.25">
      <c r="B12" s="15" t="s">
        <v>13</v>
      </c>
      <c r="C12">
        <v>20</v>
      </c>
      <c r="D12" s="17">
        <v>75933</v>
      </c>
    </row>
    <row r="13" spans="2:9" x14ac:dyDescent="0.25">
      <c r="B13" s="15" t="s">
        <v>16</v>
      </c>
      <c r="C13">
        <v>137</v>
      </c>
      <c r="D13" s="17">
        <v>76798.759124087592</v>
      </c>
    </row>
    <row r="14" spans="2:9" x14ac:dyDescent="0.25">
      <c r="B14" s="15" t="s">
        <v>24</v>
      </c>
      <c r="C14">
        <v>16</v>
      </c>
      <c r="D14" s="17">
        <v>78115</v>
      </c>
    </row>
    <row r="15" spans="2:9" x14ac:dyDescent="0.25">
      <c r="B15" s="15" t="s">
        <v>42</v>
      </c>
      <c r="C15">
        <v>6</v>
      </c>
      <c r="D15" s="17">
        <v>77423.333333333328</v>
      </c>
    </row>
    <row r="16" spans="2:9" x14ac:dyDescent="0.25">
      <c r="B16" s="15" t="s">
        <v>221</v>
      </c>
      <c r="C16">
        <v>183</v>
      </c>
      <c r="D16" s="17">
        <v>77173.715846994543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77A4C-AE63-4A6A-A62F-DA99532685ED}">
  <sheetPr>
    <tabColor theme="5" tint="-0.249977111117893"/>
  </sheetPr>
  <dimension ref="C6:D10"/>
  <sheetViews>
    <sheetView workbookViewId="0">
      <selection activeCell="D6" sqref="D6"/>
    </sheetView>
  </sheetViews>
  <sheetFormatPr defaultRowHeight="15" x14ac:dyDescent="0.25"/>
  <cols>
    <col min="3" max="3" width="14.85546875" customWidth="1"/>
  </cols>
  <sheetData>
    <row r="6" spans="3:4" x14ac:dyDescent="0.25">
      <c r="C6" s="11" t="s">
        <v>10</v>
      </c>
      <c r="D6" s="18">
        <v>5</v>
      </c>
    </row>
    <row r="7" spans="3:4" x14ac:dyDescent="0.25">
      <c r="C7" s="11" t="s">
        <v>13</v>
      </c>
      <c r="D7" s="18">
        <v>4</v>
      </c>
    </row>
    <row r="8" spans="3:4" x14ac:dyDescent="0.25">
      <c r="C8" s="11" t="s">
        <v>16</v>
      </c>
      <c r="D8" s="18">
        <v>3</v>
      </c>
    </row>
    <row r="9" spans="3:4" x14ac:dyDescent="0.25">
      <c r="C9" s="11" t="s">
        <v>24</v>
      </c>
      <c r="D9" s="18">
        <v>2</v>
      </c>
    </row>
    <row r="10" spans="3:4" x14ac:dyDescent="0.25">
      <c r="C10" s="11" t="s">
        <v>42</v>
      </c>
      <c r="D10" s="18">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321B8-6144-43BE-AA66-1D40A1565D4B}">
  <sheetPr>
    <tabColor theme="2" tint="-0.499984740745262"/>
  </sheetPr>
  <dimension ref="A1:T41"/>
  <sheetViews>
    <sheetView workbookViewId="0">
      <selection activeCell="S6" sqref="S6"/>
    </sheetView>
  </sheetViews>
  <sheetFormatPr defaultRowHeight="15" x14ac:dyDescent="0.25"/>
  <cols>
    <col min="1" max="1" width="13.140625" bestFit="1" customWidth="1"/>
    <col min="2" max="2" width="14.42578125" bestFit="1" customWidth="1"/>
    <col min="18" max="18" width="10.85546875" customWidth="1"/>
    <col min="19" max="19" width="12.42578125" customWidth="1"/>
    <col min="20" max="20" width="14.28515625" customWidth="1"/>
  </cols>
  <sheetData>
    <row r="1" spans="1:20" x14ac:dyDescent="0.25">
      <c r="A1" s="14" t="s">
        <v>229</v>
      </c>
      <c r="B1" t="s">
        <v>222</v>
      </c>
    </row>
    <row r="2" spans="1:20" x14ac:dyDescent="0.25">
      <c r="A2" s="15" t="s">
        <v>231</v>
      </c>
    </row>
    <row r="3" spans="1:20" x14ac:dyDescent="0.25">
      <c r="A3" s="19" t="s">
        <v>232</v>
      </c>
      <c r="B3">
        <v>3</v>
      </c>
    </row>
    <row r="4" spans="1:20" x14ac:dyDescent="0.25">
      <c r="A4" s="19" t="s">
        <v>233</v>
      </c>
      <c r="B4">
        <v>4</v>
      </c>
    </row>
    <row r="5" spans="1:20" x14ac:dyDescent="0.25">
      <c r="A5" s="19" t="s">
        <v>234</v>
      </c>
      <c r="B5">
        <v>9</v>
      </c>
      <c r="R5" t="s">
        <v>247</v>
      </c>
      <c r="S5" t="s">
        <v>248</v>
      </c>
      <c r="T5" t="s">
        <v>249</v>
      </c>
    </row>
    <row r="6" spans="1:20" x14ac:dyDescent="0.25">
      <c r="A6" s="19" t="s">
        <v>235</v>
      </c>
      <c r="B6">
        <v>12</v>
      </c>
      <c r="Q6" cm="1">
        <f t="array" ref="Q6:Q41">_xlfn.SEQUENCE(36)</f>
        <v>1</v>
      </c>
      <c r="R6" s="20" cm="1">
        <f t="array" ref="R6:R41">EDATE(DATE(2020,4,1),_xlfn.ANCHORARRAY(Q6)+0)</f>
        <v>43952</v>
      </c>
      <c r="S6">
        <f>COUNTIFS(staff[Date Joined], "&gt;="&amp;R6, staff[Date Joined], "&lt;="&amp;EOMONTH(R6,0))</f>
        <v>3</v>
      </c>
      <c r="T6">
        <f>SUM($S$6:S6)</f>
        <v>3</v>
      </c>
    </row>
    <row r="7" spans="1:20" x14ac:dyDescent="0.25">
      <c r="A7" s="19" t="s">
        <v>236</v>
      </c>
      <c r="B7">
        <v>18</v>
      </c>
      <c r="Q7">
        <v>2</v>
      </c>
      <c r="R7" s="20">
        <v>43983</v>
      </c>
      <c r="S7">
        <f>COUNTIFS(staff[Date Joined], "&gt;="&amp;R7, staff[Date Joined], "&lt;="&amp;EOMONTH(R7,0))</f>
        <v>1</v>
      </c>
      <c r="T7">
        <f>SUM($S$6:S7)</f>
        <v>4</v>
      </c>
    </row>
    <row r="8" spans="1:20" x14ac:dyDescent="0.25">
      <c r="A8" s="19" t="s">
        <v>237</v>
      </c>
      <c r="B8">
        <v>24</v>
      </c>
      <c r="Q8">
        <v>3</v>
      </c>
      <c r="R8" s="20">
        <v>44013</v>
      </c>
      <c r="S8">
        <f>COUNTIFS(staff[Date Joined], "&gt;="&amp;R8, staff[Date Joined], "&lt;="&amp;EOMONTH(R8,0))</f>
        <v>5</v>
      </c>
      <c r="T8">
        <f>SUM($S$6:S8)</f>
        <v>9</v>
      </c>
    </row>
    <row r="9" spans="1:20" x14ac:dyDescent="0.25">
      <c r="A9" s="19" t="s">
        <v>238</v>
      </c>
      <c r="B9">
        <v>30</v>
      </c>
      <c r="Q9">
        <v>4</v>
      </c>
      <c r="R9" s="20">
        <v>44044</v>
      </c>
      <c r="S9">
        <f>COUNTIFS(staff[Date Joined], "&gt;="&amp;R9, staff[Date Joined], "&lt;="&amp;EOMONTH(R9,0))</f>
        <v>3</v>
      </c>
      <c r="T9">
        <f>SUM($S$6:S9)</f>
        <v>12</v>
      </c>
    </row>
    <row r="10" spans="1:20" x14ac:dyDescent="0.25">
      <c r="A10" s="19" t="s">
        <v>239</v>
      </c>
      <c r="B10">
        <v>37</v>
      </c>
      <c r="Q10">
        <v>5</v>
      </c>
      <c r="R10" s="20">
        <v>44075</v>
      </c>
      <c r="S10">
        <f>COUNTIFS(staff[Date Joined], "&gt;="&amp;R10, staff[Date Joined], "&lt;="&amp;EOMONTH(R10,0))</f>
        <v>6</v>
      </c>
      <c r="T10">
        <f>SUM($S$6:S10)</f>
        <v>18</v>
      </c>
    </row>
    <row r="11" spans="1:20" x14ac:dyDescent="0.25">
      <c r="A11" s="15" t="s">
        <v>240</v>
      </c>
      <c r="Q11">
        <v>6</v>
      </c>
      <c r="R11" s="20">
        <v>44105</v>
      </c>
      <c r="S11">
        <f>COUNTIFS(staff[Date Joined], "&gt;="&amp;R11, staff[Date Joined], "&lt;="&amp;EOMONTH(R11,0))</f>
        <v>6</v>
      </c>
      <c r="T11">
        <f>SUM($S$6:S11)</f>
        <v>24</v>
      </c>
    </row>
    <row r="12" spans="1:20" x14ac:dyDescent="0.25">
      <c r="A12" s="19" t="s">
        <v>241</v>
      </c>
      <c r="B12">
        <v>6</v>
      </c>
      <c r="Q12">
        <v>7</v>
      </c>
      <c r="R12" s="20">
        <v>44136</v>
      </c>
      <c r="S12">
        <f>COUNTIFS(staff[Date Joined], "&gt;="&amp;R12, staff[Date Joined], "&lt;="&amp;EOMONTH(R12,0))</f>
        <v>6</v>
      </c>
      <c r="T12">
        <f>SUM($S$6:S12)</f>
        <v>30</v>
      </c>
    </row>
    <row r="13" spans="1:20" x14ac:dyDescent="0.25">
      <c r="A13" s="19" t="s">
        <v>242</v>
      </c>
      <c r="B13">
        <v>10</v>
      </c>
      <c r="Q13">
        <v>8</v>
      </c>
      <c r="R13" s="20">
        <v>44166</v>
      </c>
      <c r="S13">
        <f>COUNTIFS(staff[Date Joined], "&gt;="&amp;R13, staff[Date Joined], "&lt;="&amp;EOMONTH(R13,0))</f>
        <v>7</v>
      </c>
      <c r="T13">
        <f>SUM($S$6:S13)</f>
        <v>37</v>
      </c>
    </row>
    <row r="14" spans="1:20" x14ac:dyDescent="0.25">
      <c r="A14" s="19" t="s">
        <v>243</v>
      </c>
      <c r="B14">
        <v>19</v>
      </c>
      <c r="Q14">
        <v>9</v>
      </c>
      <c r="R14" s="20">
        <v>44197</v>
      </c>
      <c r="S14">
        <f>COUNTIFS(staff[Date Joined], "&gt;="&amp;R14, staff[Date Joined], "&lt;="&amp;EOMONTH(R14,0))</f>
        <v>6</v>
      </c>
      <c r="T14">
        <f>SUM($S$6:S14)</f>
        <v>43</v>
      </c>
    </row>
    <row r="15" spans="1:20" x14ac:dyDescent="0.25">
      <c r="A15" s="19" t="s">
        <v>244</v>
      </c>
      <c r="B15">
        <v>24</v>
      </c>
      <c r="Q15">
        <v>10</v>
      </c>
      <c r="R15" s="20">
        <v>44228</v>
      </c>
      <c r="S15">
        <f>COUNTIFS(staff[Date Joined], "&gt;="&amp;R15, staff[Date Joined], "&lt;="&amp;EOMONTH(R15,0))</f>
        <v>4</v>
      </c>
      <c r="T15">
        <f>SUM($S$6:S15)</f>
        <v>47</v>
      </c>
    </row>
    <row r="16" spans="1:20" x14ac:dyDescent="0.25">
      <c r="A16" s="19" t="s">
        <v>232</v>
      </c>
      <c r="B16">
        <v>34</v>
      </c>
      <c r="Q16">
        <v>11</v>
      </c>
      <c r="R16" s="20">
        <v>44256</v>
      </c>
      <c r="S16">
        <f>COUNTIFS(staff[Date Joined], "&gt;="&amp;R16, staff[Date Joined], "&lt;="&amp;EOMONTH(R16,0))</f>
        <v>9</v>
      </c>
      <c r="T16">
        <f>SUM($S$6:S16)</f>
        <v>56</v>
      </c>
    </row>
    <row r="17" spans="1:20" x14ac:dyDescent="0.25">
      <c r="A17" s="19" t="s">
        <v>233</v>
      </c>
      <c r="B17">
        <v>40</v>
      </c>
      <c r="Q17">
        <v>12</v>
      </c>
      <c r="R17" s="20">
        <v>44287</v>
      </c>
      <c r="S17">
        <f>COUNTIFS(staff[Date Joined], "&gt;="&amp;R17, staff[Date Joined], "&lt;="&amp;EOMONTH(R17,0))</f>
        <v>5</v>
      </c>
      <c r="T17">
        <f>SUM($S$6:S17)</f>
        <v>61</v>
      </c>
    </row>
    <row r="18" spans="1:20" x14ac:dyDescent="0.25">
      <c r="A18" s="19" t="s">
        <v>234</v>
      </c>
      <c r="B18">
        <v>53</v>
      </c>
      <c r="Q18">
        <v>13</v>
      </c>
      <c r="R18" s="20">
        <v>44317</v>
      </c>
      <c r="S18">
        <f>COUNTIFS(staff[Date Joined], "&gt;="&amp;R18, staff[Date Joined], "&lt;="&amp;EOMONTH(R18,0))</f>
        <v>10</v>
      </c>
      <c r="T18">
        <f>SUM($S$6:S18)</f>
        <v>71</v>
      </c>
    </row>
    <row r="19" spans="1:20" x14ac:dyDescent="0.25">
      <c r="A19" s="19" t="s">
        <v>235</v>
      </c>
      <c r="B19">
        <v>57</v>
      </c>
      <c r="Q19">
        <v>14</v>
      </c>
      <c r="R19" s="20">
        <v>44348</v>
      </c>
      <c r="S19">
        <f>COUNTIFS(staff[Date Joined], "&gt;="&amp;R19, staff[Date Joined], "&lt;="&amp;EOMONTH(R19,0))</f>
        <v>6</v>
      </c>
      <c r="T19">
        <f>SUM($S$6:S19)</f>
        <v>77</v>
      </c>
    </row>
    <row r="20" spans="1:20" x14ac:dyDescent="0.25">
      <c r="A20" s="19" t="s">
        <v>236</v>
      </c>
      <c r="B20">
        <v>68</v>
      </c>
      <c r="Q20">
        <v>15</v>
      </c>
      <c r="R20" s="20">
        <v>44378</v>
      </c>
      <c r="S20">
        <f>COUNTIFS(staff[Date Joined], "&gt;="&amp;R20, staff[Date Joined], "&lt;="&amp;EOMONTH(R20,0))</f>
        <v>13</v>
      </c>
      <c r="T20">
        <f>SUM($S$6:S20)</f>
        <v>90</v>
      </c>
    </row>
    <row r="21" spans="1:20" x14ac:dyDescent="0.25">
      <c r="A21" s="19" t="s">
        <v>237</v>
      </c>
      <c r="B21">
        <v>71</v>
      </c>
      <c r="Q21">
        <v>16</v>
      </c>
      <c r="R21" s="20">
        <v>44409</v>
      </c>
      <c r="S21">
        <f>COUNTIFS(staff[Date Joined], "&gt;="&amp;R21, staff[Date Joined], "&lt;="&amp;EOMONTH(R21,0))</f>
        <v>4</v>
      </c>
      <c r="T21">
        <f>SUM($S$6:S21)</f>
        <v>94</v>
      </c>
    </row>
    <row r="22" spans="1:20" x14ac:dyDescent="0.25">
      <c r="A22" s="19" t="s">
        <v>238</v>
      </c>
      <c r="B22">
        <v>75</v>
      </c>
      <c r="Q22">
        <v>17</v>
      </c>
      <c r="R22" s="20">
        <v>44440</v>
      </c>
      <c r="S22">
        <f>COUNTIFS(staff[Date Joined], "&gt;="&amp;R22, staff[Date Joined], "&lt;="&amp;EOMONTH(R22,0))</f>
        <v>11</v>
      </c>
      <c r="T22">
        <f>SUM($S$6:S22)</f>
        <v>105</v>
      </c>
    </row>
    <row r="23" spans="1:20" x14ac:dyDescent="0.25">
      <c r="A23" s="19" t="s">
        <v>239</v>
      </c>
      <c r="B23">
        <v>82</v>
      </c>
      <c r="Q23">
        <v>18</v>
      </c>
      <c r="R23" s="20">
        <v>44470</v>
      </c>
      <c r="S23">
        <f>COUNTIFS(staff[Date Joined], "&gt;="&amp;R23, staff[Date Joined], "&lt;="&amp;EOMONTH(R23,0))</f>
        <v>3</v>
      </c>
      <c r="T23">
        <f>SUM($S$6:S23)</f>
        <v>108</v>
      </c>
    </row>
    <row r="24" spans="1:20" x14ac:dyDescent="0.25">
      <c r="A24" s="15" t="s">
        <v>245</v>
      </c>
      <c r="Q24">
        <v>19</v>
      </c>
      <c r="R24" s="20">
        <v>44501</v>
      </c>
      <c r="S24">
        <f>COUNTIFS(staff[Date Joined], "&gt;="&amp;R24, staff[Date Joined], "&lt;="&amp;EOMONTH(R24,0))</f>
        <v>4</v>
      </c>
      <c r="T24">
        <f>SUM($S$6:S24)</f>
        <v>112</v>
      </c>
    </row>
    <row r="25" spans="1:20" x14ac:dyDescent="0.25">
      <c r="A25" s="19" t="s">
        <v>241</v>
      </c>
      <c r="B25">
        <v>3</v>
      </c>
      <c r="Q25">
        <v>20</v>
      </c>
      <c r="R25" s="20">
        <v>44531</v>
      </c>
      <c r="S25">
        <f>COUNTIFS(staff[Date Joined], "&gt;="&amp;R25, staff[Date Joined], "&lt;="&amp;EOMONTH(R25,0))</f>
        <v>7</v>
      </c>
      <c r="T25">
        <f>SUM($S$6:S25)</f>
        <v>119</v>
      </c>
    </row>
    <row r="26" spans="1:20" x14ac:dyDescent="0.25">
      <c r="A26" s="19" t="s">
        <v>242</v>
      </c>
      <c r="B26">
        <v>13</v>
      </c>
      <c r="Q26">
        <v>21</v>
      </c>
      <c r="R26" s="20">
        <v>44562</v>
      </c>
      <c r="S26">
        <f>COUNTIFS(staff[Date Joined], "&gt;="&amp;R26, staff[Date Joined], "&lt;="&amp;EOMONTH(R26,0))</f>
        <v>3</v>
      </c>
      <c r="T26">
        <f>SUM($S$6:S26)</f>
        <v>122</v>
      </c>
    </row>
    <row r="27" spans="1:20" x14ac:dyDescent="0.25">
      <c r="A27" s="19" t="s">
        <v>243</v>
      </c>
      <c r="B27">
        <v>22</v>
      </c>
      <c r="Q27">
        <v>22</v>
      </c>
      <c r="R27" s="20">
        <v>44593</v>
      </c>
      <c r="S27">
        <f>COUNTIFS(staff[Date Joined], "&gt;="&amp;R27, staff[Date Joined], "&lt;="&amp;EOMONTH(R27,0))</f>
        <v>10</v>
      </c>
      <c r="T27">
        <f>SUM($S$6:S27)</f>
        <v>132</v>
      </c>
    </row>
    <row r="28" spans="1:20" x14ac:dyDescent="0.25">
      <c r="A28" s="19" t="s">
        <v>244</v>
      </c>
      <c r="B28">
        <v>31</v>
      </c>
      <c r="Q28">
        <v>23</v>
      </c>
      <c r="R28" s="20">
        <v>44621</v>
      </c>
      <c r="S28">
        <f>COUNTIFS(staff[Date Joined], "&gt;="&amp;R28, staff[Date Joined], "&lt;="&amp;EOMONTH(R28,0))</f>
        <v>9</v>
      </c>
      <c r="T28">
        <f>SUM($S$6:S28)</f>
        <v>141</v>
      </c>
    </row>
    <row r="29" spans="1:20" x14ac:dyDescent="0.25">
      <c r="A29" s="19" t="s">
        <v>232</v>
      </c>
      <c r="B29">
        <v>40</v>
      </c>
      <c r="Q29">
        <v>24</v>
      </c>
      <c r="R29" s="20">
        <v>44652</v>
      </c>
      <c r="S29">
        <f>COUNTIFS(staff[Date Joined], "&gt;="&amp;R29, staff[Date Joined], "&lt;="&amp;EOMONTH(R29,0))</f>
        <v>9</v>
      </c>
      <c r="T29">
        <f>SUM($S$6:S29)</f>
        <v>150</v>
      </c>
    </row>
    <row r="30" spans="1:20" x14ac:dyDescent="0.25">
      <c r="A30" s="19" t="s">
        <v>233</v>
      </c>
      <c r="B30">
        <v>47</v>
      </c>
      <c r="Q30">
        <v>25</v>
      </c>
      <c r="R30" s="20">
        <v>44682</v>
      </c>
      <c r="S30">
        <f>COUNTIFS(staff[Date Joined], "&gt;="&amp;R30, staff[Date Joined], "&lt;="&amp;EOMONTH(R30,0))</f>
        <v>9</v>
      </c>
      <c r="T30">
        <f>SUM($S$6:S30)</f>
        <v>159</v>
      </c>
    </row>
    <row r="31" spans="1:20" x14ac:dyDescent="0.25">
      <c r="A31" s="19" t="s">
        <v>234</v>
      </c>
      <c r="B31">
        <v>52</v>
      </c>
      <c r="Q31">
        <v>26</v>
      </c>
      <c r="R31" s="20">
        <v>44713</v>
      </c>
      <c r="S31">
        <f>COUNTIFS(staff[Date Joined], "&gt;="&amp;R31, staff[Date Joined], "&lt;="&amp;EOMONTH(R31,0))</f>
        <v>7</v>
      </c>
      <c r="T31">
        <f>SUM($S$6:S31)</f>
        <v>166</v>
      </c>
    </row>
    <row r="32" spans="1:20" x14ac:dyDescent="0.25">
      <c r="A32" s="19" t="s">
        <v>235</v>
      </c>
      <c r="B32">
        <v>57</v>
      </c>
      <c r="Q32">
        <v>27</v>
      </c>
      <c r="R32" s="20">
        <v>44743</v>
      </c>
      <c r="S32">
        <f>COUNTIFS(staff[Date Joined], "&gt;="&amp;R32, staff[Date Joined], "&lt;="&amp;EOMONTH(R32,0))</f>
        <v>5</v>
      </c>
      <c r="T32">
        <f>SUM($S$6:S32)</f>
        <v>171</v>
      </c>
    </row>
    <row r="33" spans="1:20" x14ac:dyDescent="0.25">
      <c r="A33" s="19" t="s">
        <v>236</v>
      </c>
      <c r="B33">
        <v>59</v>
      </c>
      <c r="Q33">
        <v>28</v>
      </c>
      <c r="R33" s="20">
        <v>44774</v>
      </c>
      <c r="S33">
        <f>COUNTIFS(staff[Date Joined], "&gt;="&amp;R33, staff[Date Joined], "&lt;="&amp;EOMONTH(R33,0))</f>
        <v>5</v>
      </c>
      <c r="T33">
        <f>SUM($S$6:S33)</f>
        <v>176</v>
      </c>
    </row>
    <row r="34" spans="1:20" x14ac:dyDescent="0.25">
      <c r="A34" s="19" t="s">
        <v>237</v>
      </c>
      <c r="B34">
        <v>62</v>
      </c>
      <c r="Q34">
        <v>29</v>
      </c>
      <c r="R34" s="20">
        <v>44805</v>
      </c>
      <c r="S34">
        <f>COUNTIFS(staff[Date Joined], "&gt;="&amp;R34, staff[Date Joined], "&lt;="&amp;EOMONTH(R34,0))</f>
        <v>2</v>
      </c>
      <c r="T34">
        <f>SUM($S$6:S34)</f>
        <v>178</v>
      </c>
    </row>
    <row r="35" spans="1:20" x14ac:dyDescent="0.25">
      <c r="A35" s="15" t="s">
        <v>246</v>
      </c>
      <c r="B35" t="e">
        <v>#N/A</v>
      </c>
      <c r="Q35">
        <v>30</v>
      </c>
      <c r="R35" s="20">
        <v>44835</v>
      </c>
      <c r="S35">
        <f>COUNTIFS(staff[Date Joined], "&gt;="&amp;R35, staff[Date Joined], "&lt;="&amp;EOMONTH(R35,0))</f>
        <v>3</v>
      </c>
      <c r="T35">
        <f>SUM($S$6:S35)</f>
        <v>181</v>
      </c>
    </row>
    <row r="36" spans="1:20" x14ac:dyDescent="0.25">
      <c r="A36" s="15" t="s">
        <v>221</v>
      </c>
      <c r="Q36">
        <v>31</v>
      </c>
      <c r="R36" s="20">
        <v>44866</v>
      </c>
      <c r="S36">
        <f>COUNTIFS(staff[Date Joined], "&gt;="&amp;R36, staff[Date Joined], "&lt;="&amp;EOMONTH(R36,0))</f>
        <v>0</v>
      </c>
      <c r="T36">
        <f>SUM($S$6:S36)</f>
        <v>181</v>
      </c>
    </row>
    <row r="37" spans="1:20" x14ac:dyDescent="0.25">
      <c r="Q37">
        <v>32</v>
      </c>
      <c r="R37" s="20">
        <v>44896</v>
      </c>
      <c r="S37">
        <f>COUNTIFS(staff[Date Joined], "&gt;="&amp;R37, staff[Date Joined], "&lt;="&amp;EOMONTH(R37,0))</f>
        <v>0</v>
      </c>
      <c r="T37">
        <f>SUM($S$6:S37)</f>
        <v>181</v>
      </c>
    </row>
    <row r="38" spans="1:20" x14ac:dyDescent="0.25">
      <c r="Q38">
        <v>33</v>
      </c>
      <c r="R38" s="20">
        <v>44927</v>
      </c>
      <c r="S38">
        <f>COUNTIFS(staff[Date Joined], "&gt;="&amp;R38, staff[Date Joined], "&lt;="&amp;EOMONTH(R38,0))</f>
        <v>0</v>
      </c>
      <c r="T38">
        <f>SUM($S$6:S38)</f>
        <v>181</v>
      </c>
    </row>
    <row r="39" spans="1:20" x14ac:dyDescent="0.25">
      <c r="Q39">
        <v>34</v>
      </c>
      <c r="R39" s="20">
        <v>44958</v>
      </c>
      <c r="S39">
        <f>COUNTIFS(staff[Date Joined], "&gt;="&amp;R39, staff[Date Joined], "&lt;="&amp;EOMONTH(R39,0))</f>
        <v>1</v>
      </c>
      <c r="T39">
        <f>SUM($S$6:S39)</f>
        <v>182</v>
      </c>
    </row>
    <row r="40" spans="1:20" x14ac:dyDescent="0.25">
      <c r="Q40">
        <v>35</v>
      </c>
      <c r="R40" s="20">
        <v>44986</v>
      </c>
      <c r="S40">
        <f>COUNTIFS(staff[Date Joined], "&gt;="&amp;R40, staff[Date Joined], "&lt;="&amp;EOMONTH(R40,0))</f>
        <v>0</v>
      </c>
      <c r="T40">
        <f>SUM($S$6:S40)</f>
        <v>182</v>
      </c>
    </row>
    <row r="41" spans="1:20" x14ac:dyDescent="0.25">
      <c r="Q41">
        <v>36</v>
      </c>
      <c r="R41" s="20">
        <v>45017</v>
      </c>
      <c r="S41">
        <f>COUNTIFS(staff[Date Joined], "&gt;="&amp;R41, staff[Date Joined], "&lt;="&amp;EOMONTH(R41,0))</f>
        <v>1</v>
      </c>
      <c r="T41">
        <f>SUM($S$6:S41)</f>
        <v>183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E5345-91B5-4A70-A7C8-A6ECBE6AD08C}">
  <sheetPr>
    <tabColor theme="9" tint="-0.249977111117893"/>
  </sheetPr>
  <dimension ref="C2:P19"/>
  <sheetViews>
    <sheetView showGridLines="0" workbookViewId="0">
      <selection activeCell="R16" sqref="R16"/>
    </sheetView>
  </sheetViews>
  <sheetFormatPr defaultRowHeight="15" x14ac:dyDescent="0.25"/>
  <cols>
    <col min="2" max="2" width="8.28515625" customWidth="1"/>
    <col min="3" max="3" width="19.5703125" customWidth="1"/>
    <col min="4" max="4" width="2.140625" customWidth="1"/>
    <col min="5" max="5" width="22" customWidth="1"/>
    <col min="6" max="6" width="1.85546875" customWidth="1"/>
    <col min="7" max="7" width="21.140625" customWidth="1"/>
    <col min="12" max="12" width="18.85546875" customWidth="1"/>
    <col min="13" max="13" width="1.42578125" customWidth="1"/>
    <col min="14" max="14" width="19.5703125" customWidth="1"/>
    <col min="15" max="15" width="2.5703125" customWidth="1"/>
    <col min="16" max="16" width="21.85546875" customWidth="1"/>
  </cols>
  <sheetData>
    <row r="2" spans="3:16" ht="32.25" customHeight="1" x14ac:dyDescent="0.25">
      <c r="C2" s="38"/>
      <c r="D2" s="38"/>
      <c r="E2" s="42" t="s">
        <v>251</v>
      </c>
      <c r="F2" s="38"/>
      <c r="G2" s="38"/>
      <c r="L2" s="38"/>
      <c r="M2" s="38"/>
      <c r="N2" s="42" t="s">
        <v>252</v>
      </c>
      <c r="O2" s="38"/>
      <c r="P2" s="38"/>
    </row>
    <row r="4" spans="3:16" ht="18.75" x14ac:dyDescent="0.3">
      <c r="C4" s="70" t="s">
        <v>248</v>
      </c>
      <c r="E4" s="70" t="s">
        <v>258</v>
      </c>
      <c r="G4" s="71" t="s">
        <v>259</v>
      </c>
      <c r="L4" s="70" t="s">
        <v>248</v>
      </c>
      <c r="N4" s="70" t="s">
        <v>258</v>
      </c>
      <c r="P4" s="71" t="s">
        <v>259</v>
      </c>
    </row>
    <row r="5" spans="3:16" ht="74.25" customHeight="1" x14ac:dyDescent="0.25">
      <c r="C5" s="30">
        <f>COUNTIFS(staff[Country],"NZ")</f>
        <v>91</v>
      </c>
      <c r="E5" s="35">
        <f>COUNTIFS(staff[Country],"NZ", staff[Gender],"Female")/C5</f>
        <v>0.47252747252747251</v>
      </c>
      <c r="G5" s="36">
        <f>AVERAGEIFS(staff[Salary], staff[Country],"NZ")</f>
        <v>76978.791208791212</v>
      </c>
      <c r="L5" s="32">
        <f>COUNTIFS(staff[Country],"IND")</f>
        <v>92</v>
      </c>
      <c r="N5" s="33">
        <f>COUNTIFS(staff[Country],"IND", staff[Gender],"Female")/L5</f>
        <v>0.46739130434782611</v>
      </c>
      <c r="P5" s="34">
        <f>AVERAGEIFS(staff[Salary], staff[Country],"IND")</f>
        <v>77366.521739130432</v>
      </c>
    </row>
    <row r="6" spans="3:16" ht="26.25" customHeight="1" x14ac:dyDescent="0.35">
      <c r="C6" s="37"/>
      <c r="D6" s="38"/>
      <c r="E6" s="39"/>
      <c r="F6" s="38"/>
      <c r="G6" s="40"/>
      <c r="H6" s="41" t="s">
        <v>250</v>
      </c>
      <c r="I6" s="41"/>
      <c r="J6" s="41"/>
      <c r="K6" s="38"/>
      <c r="L6" s="37"/>
      <c r="M6" s="38"/>
      <c r="N6" s="39"/>
      <c r="O6" s="38"/>
      <c r="P6" s="40"/>
    </row>
    <row r="7" spans="3:16" x14ac:dyDescent="0.25">
      <c r="G7" s="31"/>
    </row>
    <row r="8" spans="3:16" x14ac:dyDescent="0.25">
      <c r="C8" s="21"/>
      <c r="D8" s="22"/>
      <c r="E8" s="22"/>
      <c r="F8" s="22"/>
      <c r="G8" s="23"/>
      <c r="L8" s="21"/>
      <c r="M8" s="22"/>
      <c r="N8" s="22"/>
      <c r="O8" s="22"/>
      <c r="P8" s="23"/>
    </row>
    <row r="9" spans="3:16" x14ac:dyDescent="0.25">
      <c r="C9" s="24"/>
      <c r="G9" s="25"/>
      <c r="L9" s="24"/>
      <c r="P9" s="25"/>
    </row>
    <row r="10" spans="3:16" x14ac:dyDescent="0.25">
      <c r="C10" s="24"/>
      <c r="G10" s="25"/>
      <c r="L10" s="24"/>
      <c r="P10" s="25"/>
    </row>
    <row r="11" spans="3:16" x14ac:dyDescent="0.25">
      <c r="C11" s="24"/>
      <c r="G11" s="25"/>
      <c r="L11" s="24"/>
      <c r="P11" s="25"/>
    </row>
    <row r="12" spans="3:16" x14ac:dyDescent="0.25">
      <c r="C12" s="24"/>
      <c r="G12" s="25"/>
      <c r="H12" s="29"/>
      <c r="L12" s="24"/>
      <c r="P12" s="25"/>
    </row>
    <row r="13" spans="3:16" x14ac:dyDescent="0.25">
      <c r="C13" s="24"/>
      <c r="G13" s="25"/>
      <c r="L13" s="24"/>
      <c r="P13" s="25"/>
    </row>
    <row r="14" spans="3:16" x14ac:dyDescent="0.25">
      <c r="C14" s="24"/>
      <c r="G14" s="25"/>
      <c r="L14" s="24"/>
      <c r="P14" s="25"/>
    </row>
    <row r="15" spans="3:16" x14ac:dyDescent="0.25">
      <c r="C15" s="24"/>
      <c r="G15" s="25"/>
      <c r="L15" s="24"/>
      <c r="P15" s="25"/>
    </row>
    <row r="16" spans="3:16" x14ac:dyDescent="0.25">
      <c r="C16" s="24"/>
      <c r="G16" s="25"/>
      <c r="L16" s="24"/>
      <c r="P16" s="25"/>
    </row>
    <row r="17" spans="3:16" x14ac:dyDescent="0.25">
      <c r="C17" s="24"/>
      <c r="G17" s="25"/>
      <c r="L17" s="24"/>
      <c r="P17" s="25"/>
    </row>
    <row r="18" spans="3:16" x14ac:dyDescent="0.25">
      <c r="C18" s="26"/>
      <c r="D18" s="27"/>
      <c r="E18" s="27"/>
      <c r="F18" s="27"/>
      <c r="G18" s="28"/>
      <c r="L18" s="26"/>
      <c r="M18" s="27"/>
      <c r="N18" s="27"/>
      <c r="O18" s="27"/>
      <c r="P18" s="28"/>
    </row>
    <row r="19" spans="3:16" x14ac:dyDescent="0.25">
      <c r="I19" s="29"/>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41B6B-EC22-414F-8957-2C3299E3BFB5}">
  <dimension ref="B2:M10"/>
  <sheetViews>
    <sheetView workbookViewId="0">
      <selection activeCell="J16" sqref="J16"/>
    </sheetView>
  </sheetViews>
  <sheetFormatPr defaultRowHeight="15" x14ac:dyDescent="0.25"/>
  <cols>
    <col min="2" max="2" width="13.140625" bestFit="1" customWidth="1"/>
    <col min="3" max="3" width="14.42578125" bestFit="1" customWidth="1"/>
    <col min="6" max="6" width="13.140625" bestFit="1" customWidth="1"/>
    <col min="7" max="7" width="14.42578125" bestFit="1" customWidth="1"/>
    <col min="13" max="13" width="19.7109375" customWidth="1"/>
  </cols>
  <sheetData>
    <row r="2" spans="2:13" x14ac:dyDescent="0.25">
      <c r="B2" s="14" t="s">
        <v>204</v>
      </c>
      <c r="C2" t="s" vm="1">
        <v>207</v>
      </c>
      <c r="L2" s="14" t="s">
        <v>204</v>
      </c>
      <c r="M2" t="s" vm="2">
        <v>205</v>
      </c>
    </row>
    <row r="4" spans="2:13" x14ac:dyDescent="0.25">
      <c r="B4" s="14" t="s">
        <v>229</v>
      </c>
      <c r="C4" t="s">
        <v>222</v>
      </c>
      <c r="L4" s="14" t="s">
        <v>229</v>
      </c>
      <c r="M4" t="s">
        <v>222</v>
      </c>
    </row>
    <row r="5" spans="2:13" x14ac:dyDescent="0.25">
      <c r="B5" s="15" t="s">
        <v>9</v>
      </c>
      <c r="C5">
        <v>28</v>
      </c>
      <c r="L5" s="15" t="s">
        <v>12</v>
      </c>
      <c r="M5">
        <v>27</v>
      </c>
    </row>
    <row r="6" spans="2:13" x14ac:dyDescent="0.25">
      <c r="B6" s="15" t="s">
        <v>12</v>
      </c>
      <c r="C6">
        <v>27</v>
      </c>
      <c r="L6" s="15" t="s">
        <v>9</v>
      </c>
      <c r="M6">
        <v>27</v>
      </c>
    </row>
    <row r="7" spans="2:13" x14ac:dyDescent="0.25">
      <c r="B7" s="15" t="s">
        <v>21</v>
      </c>
      <c r="C7">
        <v>19</v>
      </c>
      <c r="L7" s="15" t="s">
        <v>21</v>
      </c>
      <c r="M7">
        <v>19</v>
      </c>
    </row>
    <row r="8" spans="2:13" x14ac:dyDescent="0.25">
      <c r="B8" s="15" t="s">
        <v>19</v>
      </c>
      <c r="C8">
        <v>14</v>
      </c>
      <c r="L8" s="15" t="s">
        <v>19</v>
      </c>
      <c r="M8">
        <v>14</v>
      </c>
    </row>
    <row r="9" spans="2:13" x14ac:dyDescent="0.25">
      <c r="B9" s="15" t="s">
        <v>56</v>
      </c>
      <c r="C9">
        <v>4</v>
      </c>
      <c r="L9" s="15" t="s">
        <v>56</v>
      </c>
      <c r="M9">
        <v>4</v>
      </c>
    </row>
    <row r="10" spans="2:13" x14ac:dyDescent="0.25">
      <c r="B10" s="15" t="s">
        <v>221</v>
      </c>
      <c r="C10">
        <v>92</v>
      </c>
      <c r="L10" s="15" t="s">
        <v>221</v>
      </c>
      <c r="M10">
        <v>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C5BF10-A8FA-4B74-A70B-5CF16BF6F8E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NZ Staff</vt:lpstr>
      <vt:lpstr>INDIA Staff</vt:lpstr>
      <vt:lpstr>All Staff</vt:lpstr>
      <vt:lpstr>Info finder</vt:lpstr>
      <vt:lpstr>Male vs Female</vt:lpstr>
      <vt:lpstr>Salary Spread</vt:lpstr>
      <vt:lpstr>Salary vs Rating</vt:lpstr>
      <vt:lpstr>Rating maping table</vt:lpstr>
      <vt:lpstr>Yearly Hiring Trend</vt:lpstr>
      <vt:lpstr>Scorecard</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adnan ali</cp:lastModifiedBy>
  <dcterms:created xsi:type="dcterms:W3CDTF">2021-03-14T20:21:32Z</dcterms:created>
  <dcterms:modified xsi:type="dcterms:W3CDTF">2023-12-17T00:00:51Z</dcterms:modified>
</cp:coreProperties>
</file>