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V172" i="28"/>
  <c r="AV173"/>
  <c r="AV174"/>
  <c r="AV175"/>
  <c r="AV176"/>
  <c r="AZ172"/>
  <c r="AZ173"/>
  <c r="AZ174"/>
  <c r="AZ175"/>
  <c r="AZ176"/>
  <c r="BA172"/>
  <c r="BA173"/>
  <c r="BA174"/>
  <c r="BA175"/>
  <c r="BA176"/>
  <c r="BB172"/>
  <c r="BB173"/>
  <c r="BB174"/>
  <c r="BB175"/>
  <c r="BB176"/>
  <c r="AV171"/>
  <c r="AZ171"/>
  <c r="BA171"/>
  <c r="BB171"/>
  <c r="AA79"/>
  <c r="AA80"/>
  <c r="AA81"/>
  <c r="AA82"/>
  <c r="A46"/>
  <c r="C46"/>
  <c r="D46"/>
  <c r="K46" s="1"/>
  <c r="E46"/>
  <c r="P26" i="19"/>
  <c r="R26"/>
  <c r="S26"/>
  <c r="T26"/>
  <c r="B97" i="27"/>
  <c r="D97"/>
  <c r="M97" s="1"/>
  <c r="E97"/>
  <c r="P97"/>
  <c r="Q97"/>
  <c r="R97"/>
  <c r="S97"/>
  <c r="Y97"/>
  <c r="AV168" i="28"/>
  <c r="AV169"/>
  <c r="AV170"/>
  <c r="AZ168"/>
  <c r="AZ169"/>
  <c r="AZ170"/>
  <c r="BA168"/>
  <c r="BA169"/>
  <c r="BA170"/>
  <c r="BB168"/>
  <c r="BB169"/>
  <c r="BB170"/>
  <c r="AV167"/>
  <c r="AZ167"/>
  <c r="BA167"/>
  <c r="BB167"/>
  <c r="A45"/>
  <c r="C45"/>
  <c r="D45"/>
  <c r="K45" s="1"/>
  <c r="E45"/>
  <c r="AV164"/>
  <c r="AV165"/>
  <c r="AV166"/>
  <c r="AV163"/>
  <c r="A44"/>
  <c r="C44"/>
  <c r="D44"/>
  <c r="K44" s="1"/>
  <c r="P25" i="19"/>
  <c r="R25"/>
  <c r="S25"/>
  <c r="AV64" i="28"/>
  <c r="EB9" i="9"/>
  <c r="EC9"/>
  <c r="DC12"/>
  <c r="DD12"/>
  <c r="P24" i="19"/>
  <c r="R24"/>
  <c r="S24"/>
  <c r="A43" i="28"/>
  <c r="C43"/>
  <c r="D43"/>
  <c r="K43" s="1"/>
  <c r="DC11" i="9"/>
  <c r="DD11"/>
  <c r="A101" i="19"/>
  <c r="B101"/>
  <c r="C101"/>
  <c r="DC10" i="9"/>
  <c r="DD10"/>
  <c r="DC9"/>
  <c r="DD9"/>
  <c r="AE66" i="27"/>
  <c r="AF66"/>
  <c r="AI66"/>
  <c r="AJ66"/>
  <c r="AL66"/>
  <c r="AE65"/>
  <c r="AF65"/>
  <c r="AI65"/>
  <c r="AJ65"/>
  <c r="AL65"/>
  <c r="AE57"/>
  <c r="AE58"/>
  <c r="AF57"/>
  <c r="AF58"/>
  <c r="AI57"/>
  <c r="AI58"/>
  <c r="AJ57"/>
  <c r="AJ58"/>
  <c r="AL57"/>
  <c r="AL58"/>
  <c r="AE64"/>
  <c r="AF64"/>
  <c r="AI64"/>
  <c r="AJ64"/>
  <c r="AL64"/>
  <c r="AE63"/>
  <c r="AF63"/>
  <c r="AI63"/>
  <c r="AJ63"/>
  <c r="AL63"/>
  <c r="AE62"/>
  <c r="AF62"/>
  <c r="AI62"/>
  <c r="AJ62"/>
  <c r="AL62"/>
  <c r="AE61"/>
  <c r="AF61"/>
  <c r="AI61"/>
  <c r="AJ61"/>
  <c r="AL61"/>
  <c r="AE60"/>
  <c r="AF60"/>
  <c r="AI60"/>
  <c r="AJ60"/>
  <c r="AL60"/>
  <c r="AE59"/>
  <c r="AF59"/>
  <c r="AI59"/>
  <c r="AJ59"/>
  <c r="AL59"/>
  <c r="B96"/>
  <c r="D96"/>
  <c r="M96" s="1"/>
  <c r="Q96"/>
  <c r="R96"/>
  <c r="S96"/>
  <c r="C15" i="29"/>
  <c r="BD65" i="9"/>
  <c r="BE65"/>
  <c r="O89"/>
  <c r="Q89" s="1"/>
  <c r="DE10" s="1"/>
  <c r="P89"/>
  <c r="AJ89"/>
  <c r="AT89"/>
  <c r="B31"/>
  <c r="BD64"/>
  <c r="BE64"/>
  <c r="O88"/>
  <c r="Q88" s="1"/>
  <c r="DE9" s="1"/>
  <c r="P88"/>
  <c r="AJ88"/>
  <c r="AT88"/>
  <c r="B30"/>
  <c r="B95" i="27"/>
  <c r="D95"/>
  <c r="M95" s="1"/>
  <c r="Q95"/>
  <c r="R95"/>
  <c r="S95"/>
  <c r="B89"/>
  <c r="B90"/>
  <c r="B91"/>
  <c r="D89"/>
  <c r="M89" s="1"/>
  <c r="D90"/>
  <c r="M90" s="1"/>
  <c r="D91"/>
  <c r="M91" s="1"/>
  <c r="P89"/>
  <c r="P90"/>
  <c r="P91"/>
  <c r="Q89"/>
  <c r="Q90"/>
  <c r="Q91"/>
  <c r="R89"/>
  <c r="R90"/>
  <c r="R91"/>
  <c r="S89"/>
  <c r="S90"/>
  <c r="S91"/>
  <c r="B94"/>
  <c r="D94"/>
  <c r="M94" s="1"/>
  <c r="P94"/>
  <c r="Q94"/>
  <c r="R94"/>
  <c r="S94"/>
  <c r="B93"/>
  <c r="D93"/>
  <c r="M93" s="1"/>
  <c r="P93"/>
  <c r="Q93"/>
  <c r="R93"/>
  <c r="S93"/>
  <c r="B92"/>
  <c r="D92"/>
  <c r="M92" s="1"/>
  <c r="P92"/>
  <c r="Q92"/>
  <c r="R92"/>
  <c r="S92"/>
  <c r="AV161" i="28"/>
  <c r="AV162"/>
  <c r="AV160"/>
  <c r="AV158"/>
  <c r="AV159"/>
  <c r="AV157"/>
  <c r="AV155"/>
  <c r="AV156"/>
  <c r="AV154"/>
  <c r="AV153"/>
  <c r="AV152"/>
  <c r="A42"/>
  <c r="C42"/>
  <c r="D42"/>
  <c r="K42" s="1"/>
  <c r="A41"/>
  <c r="C41"/>
  <c r="D41"/>
  <c r="A40"/>
  <c r="C40"/>
  <c r="D40"/>
  <c r="K40" s="1"/>
  <c r="AV151"/>
  <c r="AV150"/>
  <c r="AV149"/>
  <c r="AV148"/>
  <c r="AV147"/>
  <c r="AV146"/>
  <c r="AV145"/>
  <c r="AV144"/>
  <c r="AV143"/>
  <c r="AV142"/>
  <c r="AV141"/>
  <c r="AV140"/>
  <c r="A39"/>
  <c r="C39"/>
  <c r="D39"/>
  <c r="K39" s="1"/>
  <c r="A38"/>
  <c r="C38"/>
  <c r="D38"/>
  <c r="K38" s="1"/>
  <c r="A37"/>
  <c r="C37"/>
  <c r="D37"/>
  <c r="K37" s="1"/>
  <c r="P23" i="19"/>
  <c r="R23"/>
  <c r="S23"/>
  <c r="P22"/>
  <c r="R22"/>
  <c r="S22"/>
  <c r="P21"/>
  <c r="R21"/>
  <c r="S21"/>
  <c r="AV138" i="28"/>
  <c r="AV139"/>
  <c r="AV137"/>
  <c r="AV136"/>
  <c r="AV135"/>
  <c r="AV134"/>
  <c r="A36"/>
  <c r="C36"/>
  <c r="D36"/>
  <c r="K36" s="1"/>
  <c r="B88" i="27"/>
  <c r="D88"/>
  <c r="M88" s="1"/>
  <c r="P88"/>
  <c r="Q88"/>
  <c r="R88"/>
  <c r="S88"/>
  <c r="AV133" i="28"/>
  <c r="AV132"/>
  <c r="AV131"/>
  <c r="AV130"/>
  <c r="AV129"/>
  <c r="AV128"/>
  <c r="A35"/>
  <c r="C35"/>
  <c r="D35"/>
  <c r="K35" s="1"/>
  <c r="P20" i="19"/>
  <c r="R20"/>
  <c r="S20"/>
  <c r="P19"/>
  <c r="R19"/>
  <c r="S19"/>
  <c r="B87" i="27"/>
  <c r="D87"/>
  <c r="Y87" s="1"/>
  <c r="P87"/>
  <c r="Q87"/>
  <c r="R87"/>
  <c r="S87"/>
  <c r="AE56"/>
  <c r="AF56"/>
  <c r="AI56"/>
  <c r="AJ56"/>
  <c r="AE55"/>
  <c r="AF55"/>
  <c r="AI55"/>
  <c r="AJ55"/>
  <c r="AE54"/>
  <c r="AF54"/>
  <c r="AI54"/>
  <c r="AJ54"/>
  <c r="B86"/>
  <c r="D86"/>
  <c r="M86" s="1"/>
  <c r="P86"/>
  <c r="Q86"/>
  <c r="R86"/>
  <c r="S86"/>
  <c r="AV124" i="28"/>
  <c r="AV125"/>
  <c r="AV126"/>
  <c r="AV127"/>
  <c r="A34"/>
  <c r="C34"/>
  <c r="D34"/>
  <c r="K34" s="1"/>
  <c r="P18" i="19"/>
  <c r="R18"/>
  <c r="S18"/>
  <c r="B85" i="27"/>
  <c r="D85"/>
  <c r="M85" s="1"/>
  <c r="P85"/>
  <c r="Q85"/>
  <c r="R85"/>
  <c r="S85"/>
  <c r="AE53"/>
  <c r="AF53"/>
  <c r="AI53"/>
  <c r="AJ53"/>
  <c r="AE52"/>
  <c r="AF52"/>
  <c r="AI52"/>
  <c r="AJ52"/>
  <c r="AV120" i="28"/>
  <c r="AV121"/>
  <c r="AV122"/>
  <c r="AV123"/>
  <c r="P17" i="19"/>
  <c r="R17"/>
  <c r="S17"/>
  <c r="A33" i="28"/>
  <c r="C33"/>
  <c r="D33"/>
  <c r="K33" s="1"/>
  <c r="A100" i="19"/>
  <c r="B100"/>
  <c r="C100"/>
  <c r="AE51" i="27"/>
  <c r="AF51"/>
  <c r="AI51"/>
  <c r="AJ51"/>
  <c r="B84"/>
  <c r="D84"/>
  <c r="M84" s="1"/>
  <c r="Q84"/>
  <c r="R84"/>
  <c r="S84"/>
  <c r="AE50"/>
  <c r="AF50"/>
  <c r="AI50"/>
  <c r="AJ50"/>
  <c r="AE49"/>
  <c r="AF49"/>
  <c r="AI49"/>
  <c r="AJ49"/>
  <c r="A99" i="19"/>
  <c r="B99"/>
  <c r="C99"/>
  <c r="B83" i="27"/>
  <c r="D83"/>
  <c r="M83" s="1"/>
  <c r="Q83"/>
  <c r="R83"/>
  <c r="S83"/>
  <c r="A98" i="19"/>
  <c r="B98"/>
  <c r="G98" s="1"/>
  <c r="C98"/>
  <c r="AE48" i="27"/>
  <c r="AF48"/>
  <c r="AI48"/>
  <c r="AJ48"/>
  <c r="B82"/>
  <c r="D82"/>
  <c r="M82" s="1"/>
  <c r="Q82"/>
  <c r="R82"/>
  <c r="S82"/>
  <c r="AV119" i="28"/>
  <c r="AV118"/>
  <c r="AV117"/>
  <c r="AV116"/>
  <c r="AV115"/>
  <c r="AV114"/>
  <c r="A32"/>
  <c r="C32"/>
  <c r="D32"/>
  <c r="K32" s="1"/>
  <c r="P16" i="19"/>
  <c r="R16"/>
  <c r="S16"/>
  <c r="AE47" i="27"/>
  <c r="AF47"/>
  <c r="AI47"/>
  <c r="AJ47"/>
  <c r="B81"/>
  <c r="D81"/>
  <c r="M81" s="1"/>
  <c r="Q81"/>
  <c r="R81"/>
  <c r="S81"/>
  <c r="C14" i="29"/>
  <c r="A31" i="28"/>
  <c r="C31"/>
  <c r="D31"/>
  <c r="K31" s="1"/>
  <c r="P15" i="19"/>
  <c r="R15"/>
  <c r="S15"/>
  <c r="DC8" i="9"/>
  <c r="DD8"/>
  <c r="DC7"/>
  <c r="DD7"/>
  <c r="BD41"/>
  <c r="BE41"/>
  <c r="AP37" i="29"/>
  <c r="AR37"/>
  <c r="AV85" i="28"/>
  <c r="AV79"/>
  <c r="A97" i="19"/>
  <c r="B97"/>
  <c r="C97"/>
  <c r="A96"/>
  <c r="B96"/>
  <c r="G96" s="1"/>
  <c r="C96"/>
  <c r="C78" i="3"/>
  <c r="D78"/>
  <c r="E78"/>
  <c r="F78"/>
  <c r="G78"/>
  <c r="H78"/>
  <c r="I78"/>
  <c r="J78"/>
  <c r="AV46" i="28"/>
  <c r="AE46" i="27"/>
  <c r="AF46"/>
  <c r="AI46"/>
  <c r="AJ46"/>
  <c r="B80"/>
  <c r="D80"/>
  <c r="M80" s="1"/>
  <c r="R80"/>
  <c r="S80"/>
  <c r="B79"/>
  <c r="D79"/>
  <c r="M79" s="1"/>
  <c r="P79"/>
  <c r="Q79"/>
  <c r="R79"/>
  <c r="S79"/>
  <c r="AV111" i="28"/>
  <c r="AV112"/>
  <c r="AV113"/>
  <c r="AV110"/>
  <c r="P14" i="19"/>
  <c r="R14"/>
  <c r="S14"/>
  <c r="A30" i="28"/>
  <c r="C30"/>
  <c r="D30"/>
  <c r="K30" s="1"/>
  <c r="B78" i="27"/>
  <c r="D78"/>
  <c r="M78" s="1"/>
  <c r="P78"/>
  <c r="Q78"/>
  <c r="R78"/>
  <c r="S78"/>
  <c r="AV53" i="28"/>
  <c r="AV109"/>
  <c r="DC6" i="9"/>
  <c r="DD6"/>
  <c r="DC5"/>
  <c r="DD5"/>
  <c r="W78" i="28" l="1"/>
  <c r="G101" i="19"/>
  <c r="D101"/>
  <c r="N101" s="1"/>
  <c r="K78" i="3"/>
  <c r="Y96" i="27"/>
  <c r="BA89" i="9"/>
  <c r="AD89"/>
  <c r="AY89"/>
  <c r="AN89"/>
  <c r="AE89"/>
  <c r="AB89" s="1"/>
  <c r="M88"/>
  <c r="M89"/>
  <c r="AN88"/>
  <c r="AD88"/>
  <c r="AY88"/>
  <c r="BA88"/>
  <c r="AE88"/>
  <c r="AB88" s="1"/>
  <c r="Y95" i="27"/>
  <c r="K41" i="28"/>
  <c r="Y91" i="27"/>
  <c r="Y90"/>
  <c r="Y89"/>
  <c r="Y94"/>
  <c r="Y93"/>
  <c r="Y92"/>
  <c r="Y88"/>
  <c r="M87"/>
  <c r="Y86"/>
  <c r="Y85"/>
  <c r="Y84"/>
  <c r="Y83"/>
  <c r="D100" i="19"/>
  <c r="N100" s="1"/>
  <c r="G100"/>
  <c r="D99"/>
  <c r="N99" s="1"/>
  <c r="G99"/>
  <c r="D98"/>
  <c r="N98" s="1"/>
  <c r="Y82" i="27"/>
  <c r="Y81"/>
  <c r="Y80"/>
  <c r="D97" i="19"/>
  <c r="N97" s="1"/>
  <c r="G97"/>
  <c r="D96"/>
  <c r="Y79" i="27"/>
  <c r="Y78"/>
  <c r="DD2" i="9"/>
  <c r="DD3"/>
  <c r="DD4"/>
  <c r="DC4"/>
  <c r="AE45" i="27"/>
  <c r="AF45"/>
  <c r="AI45"/>
  <c r="AJ45"/>
  <c r="AE44"/>
  <c r="AF44"/>
  <c r="AI44"/>
  <c r="AJ44"/>
  <c r="B77"/>
  <c r="D77"/>
  <c r="Q77"/>
  <c r="R77"/>
  <c r="S77"/>
  <c r="AE43"/>
  <c r="AF43"/>
  <c r="AI43"/>
  <c r="AJ43"/>
  <c r="B76"/>
  <c r="D76"/>
  <c r="M76" s="1"/>
  <c r="R76"/>
  <c r="S76"/>
  <c r="AE42"/>
  <c r="AF42"/>
  <c r="AI42"/>
  <c r="AJ42"/>
  <c r="AZ2" i="28"/>
  <c r="AE41" i="27"/>
  <c r="AF41"/>
  <c r="AI41"/>
  <c r="AJ41"/>
  <c r="B75"/>
  <c r="D75"/>
  <c r="M75" s="1"/>
  <c r="Q75"/>
  <c r="R75"/>
  <c r="S75"/>
  <c r="B74"/>
  <c r="D74"/>
  <c r="M74" s="1"/>
  <c r="P74"/>
  <c r="Q74"/>
  <c r="R74"/>
  <c r="S74"/>
  <c r="AV55" i="28"/>
  <c r="AV108"/>
  <c r="AV104"/>
  <c r="AV105"/>
  <c r="AV106"/>
  <c r="AV107"/>
  <c r="AV103"/>
  <c r="A29"/>
  <c r="C29"/>
  <c r="D29"/>
  <c r="K29" s="1"/>
  <c r="P13" i="19"/>
  <c r="R13"/>
  <c r="S13"/>
  <c r="AV52" i="28"/>
  <c r="AE40" i="27"/>
  <c r="AF40"/>
  <c r="AI40"/>
  <c r="AJ40"/>
  <c r="AV102" i="28"/>
  <c r="AV101"/>
  <c r="AV100"/>
  <c r="A28"/>
  <c r="C28"/>
  <c r="D28"/>
  <c r="K28" s="1"/>
  <c r="B73" i="27"/>
  <c r="D73"/>
  <c r="M73" s="1"/>
  <c r="Q73"/>
  <c r="R73"/>
  <c r="S73"/>
  <c r="AE39"/>
  <c r="AF39"/>
  <c r="AI39"/>
  <c r="AJ39"/>
  <c r="B72"/>
  <c r="D72"/>
  <c r="M72" s="1"/>
  <c r="Q72"/>
  <c r="R72"/>
  <c r="S72"/>
  <c r="AE38"/>
  <c r="AF38"/>
  <c r="AI38"/>
  <c r="AJ38"/>
  <c r="AE37"/>
  <c r="AF37"/>
  <c r="AI37"/>
  <c r="AJ37"/>
  <c r="B71"/>
  <c r="D71"/>
  <c r="M71" s="1"/>
  <c r="Q71"/>
  <c r="R71"/>
  <c r="S71"/>
  <c r="A95" i="19"/>
  <c r="B95"/>
  <c r="G95" s="1"/>
  <c r="C95"/>
  <c r="C102" i="3"/>
  <c r="D102"/>
  <c r="E102"/>
  <c r="F102"/>
  <c r="G102"/>
  <c r="H102"/>
  <c r="I102"/>
  <c r="J102"/>
  <c r="AE36" i="27"/>
  <c r="AF36"/>
  <c r="AI36"/>
  <c r="AJ36"/>
  <c r="B70"/>
  <c r="D70"/>
  <c r="M70" s="1"/>
  <c r="Q70"/>
  <c r="R70"/>
  <c r="S70"/>
  <c r="O87" i="9"/>
  <c r="AE87" s="1"/>
  <c r="AB87" s="1"/>
  <c r="P87"/>
  <c r="AJ87"/>
  <c r="AT87"/>
  <c r="O86"/>
  <c r="Q86" s="1"/>
  <c r="P86"/>
  <c r="AJ86"/>
  <c r="AT86"/>
  <c r="O85"/>
  <c r="Q85" s="1"/>
  <c r="P85"/>
  <c r="AJ85"/>
  <c r="AT85"/>
  <c r="O84"/>
  <c r="AE84" s="1"/>
  <c r="AB84" s="1"/>
  <c r="P84"/>
  <c r="AJ84"/>
  <c r="AT84"/>
  <c r="B29"/>
  <c r="C13" i="29"/>
  <c r="A94" i="19"/>
  <c r="B94"/>
  <c r="G94" s="1"/>
  <c r="C94"/>
  <c r="AV40" i="28"/>
  <c r="AE35" i="27"/>
  <c r="AF35"/>
  <c r="AI35"/>
  <c r="AJ35"/>
  <c r="B69"/>
  <c r="D69"/>
  <c r="M69" s="1"/>
  <c r="Q69"/>
  <c r="R69"/>
  <c r="S69"/>
  <c r="O83" i="9"/>
  <c r="Q83" s="1"/>
  <c r="P83"/>
  <c r="AJ83"/>
  <c r="AT83"/>
  <c r="O82"/>
  <c r="AE82" s="1"/>
  <c r="AB82" s="1"/>
  <c r="P82"/>
  <c r="AJ82"/>
  <c r="AT82"/>
  <c r="O81"/>
  <c r="AE81" s="1"/>
  <c r="AB81" s="1"/>
  <c r="P81"/>
  <c r="AJ81"/>
  <c r="AT81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3" i="9"/>
  <c r="BE63"/>
  <c r="BD62"/>
  <c r="BE62"/>
  <c r="BD61"/>
  <c r="BE61"/>
  <c r="O80"/>
  <c r="Q80" s="1"/>
  <c r="P80"/>
  <c r="AJ80"/>
  <c r="AT80"/>
  <c r="O79"/>
  <c r="M79" s="1"/>
  <c r="P79"/>
  <c r="AJ79"/>
  <c r="AT79"/>
  <c r="O78"/>
  <c r="AE78" s="1"/>
  <c r="AB78" s="1"/>
  <c r="P78"/>
  <c r="AJ78"/>
  <c r="AT78"/>
  <c r="B27"/>
  <c r="AE33" i="27"/>
  <c r="AF33"/>
  <c r="AI33"/>
  <c r="AJ33"/>
  <c r="B67"/>
  <c r="D67"/>
  <c r="M67" s="1"/>
  <c r="Q67"/>
  <c r="R67"/>
  <c r="S67"/>
  <c r="C10" i="29"/>
  <c r="O62" i="9"/>
  <c r="AE62" s="1"/>
  <c r="AB62" s="1"/>
  <c r="P62"/>
  <c r="AJ62"/>
  <c r="AT62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8" i="9"/>
  <c r="EC8"/>
  <c r="EB7"/>
  <c r="EC7"/>
  <c r="N96" i="19" l="1"/>
  <c r="M77" i="27"/>
  <c r="Y77"/>
  <c r="Y76"/>
  <c r="Y75"/>
  <c r="Y74"/>
  <c r="Y73"/>
  <c r="Y72"/>
  <c r="Y71"/>
  <c r="D95" i="19"/>
  <c r="N95" s="1"/>
  <c r="K102" i="3"/>
  <c r="Y70" i="27"/>
  <c r="Q87" i="9"/>
  <c r="M87"/>
  <c r="AN86"/>
  <c r="AY86"/>
  <c r="BA86"/>
  <c r="AD86"/>
  <c r="M86"/>
  <c r="AE86"/>
  <c r="AB86" s="1"/>
  <c r="AN85"/>
  <c r="AY85"/>
  <c r="BA85"/>
  <c r="AD85"/>
  <c r="AE85"/>
  <c r="AB85" s="1"/>
  <c r="M85"/>
  <c r="Q84"/>
  <c r="M84"/>
  <c r="D94" i="19"/>
  <c r="Y69" i="27"/>
  <c r="Q82" i="9"/>
  <c r="AN82" s="1"/>
  <c r="M83"/>
  <c r="M82"/>
  <c r="AD83"/>
  <c r="AY83"/>
  <c r="AN83"/>
  <c r="BA83"/>
  <c r="AE83"/>
  <c r="AB83" s="1"/>
  <c r="Q81"/>
  <c r="BA81" s="1"/>
  <c r="M78"/>
  <c r="M81"/>
  <c r="Y68" i="27"/>
  <c r="M80" i="9"/>
  <c r="AD80"/>
  <c r="AN80"/>
  <c r="BA80"/>
  <c r="AY80"/>
  <c r="AE80"/>
  <c r="AB80" s="1"/>
  <c r="AE79"/>
  <c r="AB79" s="1"/>
  <c r="Q79"/>
  <c r="Q78"/>
  <c r="AN78" s="1"/>
  <c r="M62"/>
  <c r="Y67" i="27"/>
  <c r="Q62" i="9"/>
  <c r="AN62" s="1"/>
  <c r="AN48"/>
  <c r="BA48"/>
  <c r="AD48"/>
  <c r="AY48"/>
  <c r="M48"/>
  <c r="AE48"/>
  <c r="AB48" s="1"/>
  <c r="K25" i="3"/>
  <c r="M66" i="27"/>
  <c r="Y66"/>
  <c r="Y65"/>
  <c r="EB6" i="9"/>
  <c r="EC6"/>
  <c r="AE31" i="27"/>
  <c r="AF31"/>
  <c r="AI31"/>
  <c r="AJ31"/>
  <c r="B64"/>
  <c r="D64"/>
  <c r="M64" s="1"/>
  <c r="Q64"/>
  <c r="R64"/>
  <c r="S64"/>
  <c r="AP41" i="29"/>
  <c r="AR41"/>
  <c r="AP40"/>
  <c r="AR40"/>
  <c r="AP39"/>
  <c r="AR39"/>
  <c r="AP38"/>
  <c r="AR38"/>
  <c r="AE15"/>
  <c r="AH15"/>
  <c r="AP36"/>
  <c r="AR36"/>
  <c r="AP35"/>
  <c r="AR35"/>
  <c r="AP34"/>
  <c r="AR34"/>
  <c r="AE14"/>
  <c r="AH14"/>
  <c r="C8"/>
  <c r="EB5" i="9"/>
  <c r="EC5"/>
  <c r="BD60"/>
  <c r="BE60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6" i="28"/>
  <c r="AV97"/>
  <c r="AV98"/>
  <c r="AV99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5" i="28"/>
  <c r="AV94"/>
  <c r="AV93"/>
  <c r="AV92"/>
  <c r="AV91"/>
  <c r="AV90"/>
  <c r="AV89"/>
  <c r="A25"/>
  <c r="C25"/>
  <c r="D25"/>
  <c r="AV88"/>
  <c r="AE23" i="27"/>
  <c r="AF23"/>
  <c r="AI23"/>
  <c r="AJ23"/>
  <c r="B57"/>
  <c r="D57"/>
  <c r="M57" s="1"/>
  <c r="Q57"/>
  <c r="R57"/>
  <c r="S57"/>
  <c r="A91" i="19"/>
  <c r="B91"/>
  <c r="C91"/>
  <c r="AV87" i="28"/>
  <c r="AV86"/>
  <c r="AV84"/>
  <c r="A24"/>
  <c r="C24"/>
  <c r="D24"/>
  <c r="A90" i="19"/>
  <c r="B90"/>
  <c r="D90" s="1"/>
  <c r="C90"/>
  <c r="AE22" i="27"/>
  <c r="AF22"/>
  <c r="AI22"/>
  <c r="AJ22"/>
  <c r="B56"/>
  <c r="D56"/>
  <c r="M56" s="1"/>
  <c r="Q56"/>
  <c r="R56"/>
  <c r="S56"/>
  <c r="AV78" i="28"/>
  <c r="AV83"/>
  <c r="AV82"/>
  <c r="AV81"/>
  <c r="AV80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5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AN84" i="9" l="1"/>
  <c r="EF9"/>
  <c r="K25" i="28"/>
  <c r="K24"/>
  <c r="N90" i="19"/>
  <c r="N94"/>
  <c r="AN87" i="9"/>
  <c r="BA87"/>
  <c r="AD87"/>
  <c r="AY87"/>
  <c r="AY84"/>
  <c r="AD84"/>
  <c r="BA84"/>
  <c r="K27" i="28"/>
  <c r="AY82" i="9"/>
  <c r="AD82"/>
  <c r="BA82"/>
  <c r="AN81"/>
  <c r="AY81"/>
  <c r="AD81"/>
  <c r="AY79"/>
  <c r="AN79"/>
  <c r="BA79"/>
  <c r="AD79"/>
  <c r="AY78"/>
  <c r="AD78"/>
  <c r="BA78"/>
  <c r="K22" i="28"/>
  <c r="BA62" i="9"/>
  <c r="AY62"/>
  <c r="AD62"/>
  <c r="Y64" i="27"/>
  <c r="Y63"/>
  <c r="K61" i="3"/>
  <c r="Y62" i="27"/>
  <c r="Y61"/>
  <c r="Y60"/>
  <c r="M59"/>
  <c r="D93" i="19"/>
  <c r="G93"/>
  <c r="M58" i="27"/>
  <c r="Y58"/>
  <c r="D92" i="19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2" i="19" l="1"/>
  <c r="N93"/>
  <c r="N91"/>
  <c r="Y46" i="27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7"/>
  <c r="AE77" s="1"/>
  <c r="AB77" s="1"/>
  <c r="P77"/>
  <c r="AJ77"/>
  <c r="AT77"/>
  <c r="O76"/>
  <c r="AE76" s="1"/>
  <c r="AB76" s="1"/>
  <c r="P76"/>
  <c r="AJ76"/>
  <c r="AT76"/>
  <c r="O75"/>
  <c r="Q75" s="1"/>
  <c r="P75"/>
  <c r="AJ75"/>
  <c r="AT75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3"/>
  <c r="AV62"/>
  <c r="AV61"/>
  <c r="AV60"/>
  <c r="AV59"/>
  <c r="AV58"/>
  <c r="AV57"/>
  <c r="AV56"/>
  <c r="AV54"/>
  <c r="AV51"/>
  <c r="AV50"/>
  <c r="AV49"/>
  <c r="AV48"/>
  <c r="AV47"/>
  <c r="AV45"/>
  <c r="AV44"/>
  <c r="AV43"/>
  <c r="AV42"/>
  <c r="AV41"/>
  <c r="AV39"/>
  <c r="AV38"/>
  <c r="AV37"/>
  <c r="AV36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A7"/>
  <c r="C7"/>
  <c r="D7"/>
  <c r="A6"/>
  <c r="C6"/>
  <c r="D6"/>
  <c r="K6" s="1"/>
  <c r="A5"/>
  <c r="C5"/>
  <c r="D5"/>
  <c r="A4"/>
  <c r="C4"/>
  <c r="D4"/>
  <c r="K4" s="1"/>
  <c r="BD9" i="9"/>
  <c r="BD10"/>
  <c r="BD11"/>
  <c r="BE9"/>
  <c r="BE10"/>
  <c r="BE11"/>
  <c r="K7" i="28" l="1"/>
  <c r="K20"/>
  <c r="K8"/>
  <c r="K17"/>
  <c r="K12"/>
  <c r="K14"/>
  <c r="K13"/>
  <c r="K16"/>
  <c r="K15"/>
  <c r="K11"/>
  <c r="K10"/>
  <c r="K9"/>
  <c r="N10" i="19"/>
  <c r="K5" i="28"/>
  <c r="Y37" i="27"/>
  <c r="M77" i="9"/>
  <c r="Q77"/>
  <c r="Q76"/>
  <c r="M76"/>
  <c r="AN75"/>
  <c r="BA75"/>
  <c r="AY75"/>
  <c r="AD75"/>
  <c r="M75"/>
  <c r="AE75"/>
  <c r="AB75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N8"/>
  <c r="AN77" i="9"/>
  <c r="AY77"/>
  <c r="AD77"/>
  <c r="BA77"/>
  <c r="BA76"/>
  <c r="AD76"/>
  <c r="AY76"/>
  <c r="AN76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3"/>
  <c r="Q73" s="1"/>
  <c r="P73"/>
  <c r="AJ73"/>
  <c r="AT73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3" i="9"/>
  <c r="BA73"/>
  <c r="AD73"/>
  <c r="AY73"/>
  <c r="M73"/>
  <c r="AE73"/>
  <c r="AB73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4"/>
  <c r="Q74" s="1"/>
  <c r="P74"/>
  <c r="AJ74"/>
  <c r="AT74"/>
  <c r="O72"/>
  <c r="Q72" s="1"/>
  <c r="P72"/>
  <c r="AJ72"/>
  <c r="AT72"/>
  <c r="O71"/>
  <c r="AE71" s="1"/>
  <c r="AB71" s="1"/>
  <c r="P71"/>
  <c r="AJ71"/>
  <c r="AT71"/>
  <c r="B25"/>
  <c r="O70"/>
  <c r="P70"/>
  <c r="AJ70"/>
  <c r="AT70"/>
  <c r="B24"/>
  <c r="BD51"/>
  <c r="BE51"/>
  <c r="BD50"/>
  <c r="BE50"/>
  <c r="O69"/>
  <c r="AE69" s="1"/>
  <c r="AB69" s="1"/>
  <c r="P69"/>
  <c r="AJ69"/>
  <c r="AT69"/>
  <c r="O68"/>
  <c r="Q68" s="1"/>
  <c r="DE11" s="1"/>
  <c r="P68"/>
  <c r="AJ68"/>
  <c r="AT68"/>
  <c r="B23"/>
  <c r="BD49"/>
  <c r="BE49"/>
  <c r="BD48"/>
  <c r="BE48"/>
  <c r="BD47"/>
  <c r="BE47"/>
  <c r="O67"/>
  <c r="AE67" s="1"/>
  <c r="AB67" s="1"/>
  <c r="P67"/>
  <c r="AJ67"/>
  <c r="AT67"/>
  <c r="O66"/>
  <c r="Q66" s="1"/>
  <c r="P66"/>
  <c r="AJ66"/>
  <c r="AT66"/>
  <c r="O65"/>
  <c r="Q65" s="1"/>
  <c r="P65"/>
  <c r="AJ65"/>
  <c r="AT65"/>
  <c r="B22"/>
  <c r="BD46"/>
  <c r="BE46"/>
  <c r="BD45"/>
  <c r="BE45"/>
  <c r="O64"/>
  <c r="Q64" s="1"/>
  <c r="P64"/>
  <c r="AJ64"/>
  <c r="AT64"/>
  <c r="O63"/>
  <c r="Q63" s="1"/>
  <c r="P63"/>
  <c r="AJ63"/>
  <c r="AT63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4" i="9"/>
  <c r="BE44"/>
  <c r="BD43"/>
  <c r="BE43"/>
  <c r="BD42"/>
  <c r="BE42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4" i="9"/>
  <c r="AD74"/>
  <c r="AY74"/>
  <c r="AN74"/>
  <c r="M71"/>
  <c r="M74"/>
  <c r="AE74"/>
  <c r="AB74" s="1"/>
  <c r="BA72"/>
  <c r="AD72"/>
  <c r="AY72"/>
  <c r="AN72"/>
  <c r="M72"/>
  <c r="AE72"/>
  <c r="AB72" s="1"/>
  <c r="Q71"/>
  <c r="M70"/>
  <c r="Q70"/>
  <c r="DE12" s="1"/>
  <c r="M69"/>
  <c r="Q69"/>
  <c r="AD68"/>
  <c r="AN68"/>
  <c r="AY68"/>
  <c r="BA68"/>
  <c r="AE68"/>
  <c r="AB68" s="1"/>
  <c r="M68"/>
  <c r="Q67"/>
  <c r="M67"/>
  <c r="BA66"/>
  <c r="AN66"/>
  <c r="AD66"/>
  <c r="AY66"/>
  <c r="M66"/>
  <c r="AE66"/>
  <c r="AB66" s="1"/>
  <c r="AN65"/>
  <c r="BA65"/>
  <c r="AD65"/>
  <c r="AY65"/>
  <c r="M65"/>
  <c r="AE65"/>
  <c r="AB65" s="1"/>
  <c r="AD64"/>
  <c r="AY64"/>
  <c r="AN64"/>
  <c r="BA64"/>
  <c r="AE64"/>
  <c r="AB64" s="1"/>
  <c r="M64"/>
  <c r="BA63"/>
  <c r="AN63"/>
  <c r="AD63"/>
  <c r="AY63"/>
  <c r="M63"/>
  <c r="AE63"/>
  <c r="AB63" s="1"/>
  <c r="M32"/>
  <c r="AE34"/>
  <c r="AB34" s="1"/>
  <c r="Q34"/>
  <c r="AD34" s="1"/>
  <c r="Q32"/>
  <c r="M33"/>
  <c r="Q33"/>
  <c r="M61"/>
  <c r="Q53"/>
  <c r="M53"/>
  <c r="K69" i="3"/>
  <c r="Q60" i="9"/>
  <c r="AN60" s="1"/>
  <c r="M59"/>
  <c r="M60"/>
  <c r="AN61"/>
  <c r="BA61"/>
  <c r="AD61"/>
  <c r="AY61"/>
  <c r="AE61"/>
  <c r="AB61" s="1"/>
  <c r="M58"/>
  <c r="Q58"/>
  <c r="AN58" s="1"/>
  <c r="Q59"/>
  <c r="M49"/>
  <c r="M57"/>
  <c r="M56"/>
  <c r="Q57"/>
  <c r="AY57" s="1"/>
  <c r="M55"/>
  <c r="Q55"/>
  <c r="AN55" s="1"/>
  <c r="Q56"/>
  <c r="Q54"/>
  <c r="AN54" s="1"/>
  <c r="M54"/>
  <c r="M52"/>
  <c r="Q52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N52" l="1"/>
  <c r="N6" i="19"/>
  <c r="AD18" i="9"/>
  <c r="BA18"/>
  <c r="AY18"/>
  <c r="AY31"/>
  <c r="AD31"/>
  <c r="BA31"/>
  <c r="BA71"/>
  <c r="AD71"/>
  <c r="AN71"/>
  <c r="AY71"/>
  <c r="BA70"/>
  <c r="AY70"/>
  <c r="AN70"/>
  <c r="AY69"/>
  <c r="AN69"/>
  <c r="BA69"/>
  <c r="AD69"/>
  <c r="AN67"/>
  <c r="BA67"/>
  <c r="AD67"/>
  <c r="AY67"/>
  <c r="AY34"/>
  <c r="AN34"/>
  <c r="BA34"/>
  <c r="AD32"/>
  <c r="BA32"/>
  <c r="AY32"/>
  <c r="AN32"/>
  <c r="BA33"/>
  <c r="AD33"/>
  <c r="AY33"/>
  <c r="AN33"/>
  <c r="AY60"/>
  <c r="BA60"/>
  <c r="AN53"/>
  <c r="AD53"/>
  <c r="BA53"/>
  <c r="AY53"/>
  <c r="AD60"/>
  <c r="AD58"/>
  <c r="BA58"/>
  <c r="AY58"/>
  <c r="AN59"/>
  <c r="BA59"/>
  <c r="AD59"/>
  <c r="AY59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6" i="3"/>
  <c r="D126"/>
  <c r="E126"/>
  <c r="F126"/>
  <c r="G126"/>
  <c r="H126"/>
  <c r="I126"/>
  <c r="J126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80" i="3"/>
  <c r="D80"/>
  <c r="E80"/>
  <c r="F80"/>
  <c r="G80"/>
  <c r="H80"/>
  <c r="I80"/>
  <c r="J80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D50"/>
  <c r="D54"/>
  <c r="N54" s="1"/>
  <c r="G52"/>
  <c r="K126" i="3"/>
  <c r="G51" i="19"/>
  <c r="D48"/>
  <c r="G47"/>
  <c r="G45"/>
  <c r="D35"/>
  <c r="G35"/>
  <c r="G48"/>
  <c r="D46"/>
  <c r="D45"/>
  <c r="D47"/>
  <c r="D41"/>
  <c r="D44"/>
  <c r="G38"/>
  <c r="D36"/>
  <c r="G37"/>
  <c r="K80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9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N50" i="19" l="1"/>
  <c r="N60"/>
  <c r="N71"/>
  <c r="N70"/>
  <c r="N68"/>
  <c r="N69"/>
  <c r="N56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9" i="3"/>
  <c r="D129"/>
  <c r="F129"/>
  <c r="G129"/>
  <c r="H129"/>
  <c r="I129"/>
  <c r="J129"/>
  <c r="C120"/>
  <c r="D120"/>
  <c r="F120"/>
  <c r="G120"/>
  <c r="H120"/>
  <c r="I120"/>
  <c r="J120"/>
  <c r="C145"/>
  <c r="D145"/>
  <c r="F145"/>
  <c r="G145"/>
  <c r="H145"/>
  <c r="I145"/>
  <c r="J145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8"/>
  <c r="D128"/>
  <c r="F128"/>
  <c r="G128"/>
  <c r="H128"/>
  <c r="I128"/>
  <c r="J128"/>
  <c r="C127"/>
  <c r="D127"/>
  <c r="F127"/>
  <c r="G127"/>
  <c r="H127"/>
  <c r="I127"/>
  <c r="J127"/>
  <c r="C125"/>
  <c r="D125"/>
  <c r="F125"/>
  <c r="G125"/>
  <c r="H125"/>
  <c r="I125"/>
  <c r="J125"/>
  <c r="C124"/>
  <c r="D124"/>
  <c r="F124"/>
  <c r="G124"/>
  <c r="H124"/>
  <c r="I124"/>
  <c r="J124"/>
  <c r="C123"/>
  <c r="D123"/>
  <c r="F123"/>
  <c r="G123"/>
  <c r="H123"/>
  <c r="I123"/>
  <c r="J123"/>
  <c r="C115"/>
  <c r="D115"/>
  <c r="F115"/>
  <c r="G115"/>
  <c r="H115"/>
  <c r="I115"/>
  <c r="J115"/>
  <c r="C122"/>
  <c r="D122"/>
  <c r="F122"/>
  <c r="G122"/>
  <c r="H122"/>
  <c r="I122"/>
  <c r="J122"/>
  <c r="C121"/>
  <c r="D121"/>
  <c r="F121"/>
  <c r="G121"/>
  <c r="H121"/>
  <c r="I121"/>
  <c r="J121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J66" i="2"/>
  <c r="J65"/>
  <c r="J64"/>
  <c r="J63"/>
  <c r="C76" i="3"/>
  <c r="C77"/>
  <c r="C79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D76"/>
  <c r="D77"/>
  <c r="D79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F76"/>
  <c r="F77"/>
  <c r="F79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G76"/>
  <c r="G77"/>
  <c r="G79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H76"/>
  <c r="H77"/>
  <c r="H79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I76"/>
  <c r="I77"/>
  <c r="I79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J76"/>
  <c r="J77"/>
  <c r="J79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C74"/>
  <c r="C75"/>
  <c r="C103"/>
  <c r="C104"/>
  <c r="D74"/>
  <c r="D75"/>
  <c r="D103"/>
  <c r="D104"/>
  <c r="F74"/>
  <c r="F75"/>
  <c r="F103"/>
  <c r="F104"/>
  <c r="G74"/>
  <c r="G75"/>
  <c r="G103"/>
  <c r="G104"/>
  <c r="H74"/>
  <c r="H75"/>
  <c r="H103"/>
  <c r="H104"/>
  <c r="I74"/>
  <c r="I75"/>
  <c r="I103"/>
  <c r="I104"/>
  <c r="J74"/>
  <c r="J75"/>
  <c r="J103"/>
  <c r="J104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9" i="3" l="1"/>
  <c r="K120"/>
  <c r="K145"/>
  <c r="K144"/>
  <c r="K143"/>
  <c r="K142"/>
  <c r="K141"/>
  <c r="K140"/>
  <c r="K139"/>
  <c r="K138"/>
  <c r="K137"/>
  <c r="K136"/>
  <c r="K135"/>
  <c r="K134"/>
  <c r="K133"/>
  <c r="K132"/>
  <c r="K131"/>
  <c r="K130"/>
  <c r="K128"/>
  <c r="K124"/>
  <c r="K127"/>
  <c r="K125"/>
  <c r="K123"/>
  <c r="K115"/>
  <c r="K122"/>
  <c r="K121"/>
  <c r="K119"/>
  <c r="K118"/>
  <c r="K117"/>
  <c r="K116"/>
  <c r="K114"/>
  <c r="K113"/>
  <c r="K111"/>
  <c r="K112"/>
  <c r="K110"/>
  <c r="K109"/>
  <c r="K79"/>
  <c r="K81"/>
  <c r="K93"/>
  <c r="K92"/>
  <c r="K76"/>
  <c r="K98"/>
  <c r="K86"/>
  <c r="K95"/>
  <c r="K83"/>
  <c r="K100"/>
  <c r="K88"/>
  <c r="K101"/>
  <c r="K89"/>
  <c r="K84"/>
  <c r="K99"/>
  <c r="K91"/>
  <c r="K87"/>
  <c r="K77"/>
  <c r="K90"/>
  <c r="K96"/>
  <c r="K94"/>
  <c r="K82"/>
  <c r="K97"/>
  <c r="K85"/>
  <c r="K74"/>
  <c r="K104"/>
  <c r="K75"/>
  <c r="K103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8"/>
  <c r="K107"/>
  <c r="K106"/>
  <c r="K105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171" i="28" l="1"/>
  <c r="AT176"/>
  <c r="AT175"/>
  <c r="AT172"/>
  <c r="AT174"/>
  <c r="AT173"/>
  <c r="AT170"/>
  <c r="AT169"/>
  <c r="AT168"/>
  <c r="AT167"/>
  <c r="AT166"/>
  <c r="AT165"/>
  <c r="AT164"/>
  <c r="AT64"/>
  <c r="AT163"/>
  <c r="AT160"/>
  <c r="AT162"/>
  <c r="AT161"/>
  <c r="AT157"/>
  <c r="AT158"/>
  <c r="AT159"/>
  <c r="AT154"/>
  <c r="AT155"/>
  <c r="AT156"/>
  <c r="AT152"/>
  <c r="AT153"/>
  <c r="AT150"/>
  <c r="AT151"/>
  <c r="AT148"/>
  <c r="AT149"/>
  <c r="AT146"/>
  <c r="AT147"/>
  <c r="AT144"/>
  <c r="AT145"/>
  <c r="AT142"/>
  <c r="AT143"/>
  <c r="AT140"/>
  <c r="AT141"/>
  <c r="AT139"/>
  <c r="AT138"/>
  <c r="AT136"/>
  <c r="AT137"/>
  <c r="AT134"/>
  <c r="AT135"/>
  <c r="AT132"/>
  <c r="AT133"/>
  <c r="AT130"/>
  <c r="AT131"/>
  <c r="AT128"/>
  <c r="AT129"/>
  <c r="AT124"/>
  <c r="AT125"/>
  <c r="AT127"/>
  <c r="AT126"/>
  <c r="AT119"/>
  <c r="AT120"/>
  <c r="AT123"/>
  <c r="AT122"/>
  <c r="AT121"/>
  <c r="AT117"/>
  <c r="AT118"/>
  <c r="AT115"/>
  <c r="AT116"/>
  <c r="AT85"/>
  <c r="AT114"/>
  <c r="AT46"/>
  <c r="AT79"/>
  <c r="AT113"/>
  <c r="AT111"/>
  <c r="AT112"/>
  <c r="AT110"/>
  <c r="AT109"/>
  <c r="AT53"/>
  <c r="AT108"/>
  <c r="AT55"/>
  <c r="AT104"/>
  <c r="AT107"/>
  <c r="AT106"/>
  <c r="AT105"/>
  <c r="AT52"/>
  <c r="AT103"/>
  <c r="AT101"/>
  <c r="AT102"/>
  <c r="AT40"/>
  <c r="AT100"/>
  <c r="AT95"/>
  <c r="AT99"/>
  <c r="AT98"/>
  <c r="AT97"/>
  <c r="AT96"/>
  <c r="AT93"/>
  <c r="AT94"/>
  <c r="AT91"/>
  <c r="AT92"/>
  <c r="AT89"/>
  <c r="AT90"/>
  <c r="AT87"/>
  <c r="AT88"/>
  <c r="AT84"/>
  <c r="AT86"/>
  <c r="AT83"/>
  <c r="AT78"/>
  <c r="AT81"/>
  <c r="AT82"/>
  <c r="AT77"/>
  <c r="AT80"/>
  <c r="AT75"/>
  <c r="AT76"/>
  <c r="AT73"/>
  <c r="AT74"/>
  <c r="AT72"/>
  <c r="AT69"/>
  <c r="AT70"/>
  <c r="AT71"/>
  <c r="AT68"/>
  <c r="AT35"/>
  <c r="AT66"/>
  <c r="AT67"/>
  <c r="AT65"/>
  <c r="AT62"/>
  <c r="AT63"/>
  <c r="AT60"/>
  <c r="AT61"/>
  <c r="AT58"/>
  <c r="AT59"/>
  <c r="AT56"/>
  <c r="AT57"/>
  <c r="AT51"/>
  <c r="AT54"/>
  <c r="AT49"/>
  <c r="AT50"/>
  <c r="AT48"/>
  <c r="AT45"/>
  <c r="AT47"/>
  <c r="AT43"/>
  <c r="AT44"/>
  <c r="AT41"/>
  <c r="AT42"/>
  <c r="AT38"/>
  <c r="AT39"/>
  <c r="AT36"/>
  <c r="AT37"/>
  <c r="AT33"/>
  <c r="AT34"/>
  <c r="AT31"/>
  <c r="AT32"/>
  <c r="AT30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A2" i="28"/>
  <c r="C2"/>
  <c r="BU2" i="9"/>
  <c r="BZ2"/>
  <c r="BZ3" s="1"/>
  <c r="BZ4" s="1"/>
  <c r="BZ5" s="1"/>
  <c r="P2" i="19"/>
  <c r="AG2" i="27"/>
  <c r="AK2"/>
  <c r="B2"/>
  <c r="AT2" i="9"/>
  <c r="AJ2"/>
  <c r="P2"/>
  <c r="B2"/>
  <c r="C2" i="19"/>
  <c r="A2" i="14"/>
  <c r="C8" s="1"/>
  <c r="D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AW171" i="28" l="1"/>
  <c r="AW174"/>
  <c r="AW173"/>
  <c r="AW175"/>
  <c r="AW172"/>
  <c r="AW176"/>
  <c r="N78"/>
  <c r="V78" s="1"/>
  <c r="N79"/>
  <c r="N82"/>
  <c r="N80"/>
  <c r="N81"/>
  <c r="AA78"/>
  <c r="W76"/>
  <c r="W77"/>
  <c r="AW167"/>
  <c r="AW169"/>
  <c r="AW170"/>
  <c r="AW168"/>
  <c r="N77"/>
  <c r="N76"/>
  <c r="EK9" i="9"/>
  <c r="BB166" i="28"/>
  <c r="EJ9" i="9"/>
  <c r="BB164" i="28"/>
  <c r="BA166"/>
  <c r="BB165"/>
  <c r="EI9" i="9"/>
  <c r="BA165" i="28"/>
  <c r="BB64"/>
  <c r="BA164"/>
  <c r="BB163"/>
  <c r="BA64"/>
  <c r="EM9" i="9"/>
  <c r="AZ166" i="28"/>
  <c r="BA163"/>
  <c r="EL9" i="9"/>
  <c r="AA75" i="28"/>
  <c r="AZ165"/>
  <c r="AZ64"/>
  <c r="AZ164"/>
  <c r="EH9" i="9"/>
  <c r="AZ163" i="28"/>
  <c r="W72"/>
  <c r="W73"/>
  <c r="W74"/>
  <c r="AW166"/>
  <c r="AW165"/>
  <c r="AW164"/>
  <c r="AW163"/>
  <c r="N75"/>
  <c r="AW64"/>
  <c r="N73"/>
  <c r="N74"/>
  <c r="N71"/>
  <c r="AD71" s="1"/>
  <c r="N72"/>
  <c r="W71"/>
  <c r="W69"/>
  <c r="W62"/>
  <c r="W68"/>
  <c r="W70"/>
  <c r="W63"/>
  <c r="W64"/>
  <c r="W65"/>
  <c r="W66"/>
  <c r="W67"/>
  <c r="AH58" i="27"/>
  <c r="AH65"/>
  <c r="AH66"/>
  <c r="AH57"/>
  <c r="BA161" i="28"/>
  <c r="BA155"/>
  <c r="BB139"/>
  <c r="BB136"/>
  <c r="BB134"/>
  <c r="BA132"/>
  <c r="BA130"/>
  <c r="BA128"/>
  <c r="BA124"/>
  <c r="AZ120"/>
  <c r="BB121"/>
  <c r="AZ132"/>
  <c r="AZ128"/>
  <c r="BB127"/>
  <c r="BB120"/>
  <c r="BA159"/>
  <c r="AZ150"/>
  <c r="AZ146"/>
  <c r="AZ142"/>
  <c r="BB133"/>
  <c r="BA122"/>
  <c r="AZ140"/>
  <c r="BA133"/>
  <c r="BB124"/>
  <c r="BA156"/>
  <c r="AZ147"/>
  <c r="BB132"/>
  <c r="AZ122"/>
  <c r="AZ162"/>
  <c r="BB160"/>
  <c r="BB159"/>
  <c r="AZ156"/>
  <c r="BB154"/>
  <c r="BB150"/>
  <c r="BB148"/>
  <c r="BB146"/>
  <c r="BB144"/>
  <c r="BB142"/>
  <c r="BB138"/>
  <c r="BA136"/>
  <c r="BA134"/>
  <c r="AZ130"/>
  <c r="AZ127"/>
  <c r="AZ152"/>
  <c r="BB131"/>
  <c r="BB125"/>
  <c r="BB137"/>
  <c r="BA129"/>
  <c r="AZ157"/>
  <c r="AZ143"/>
  <c r="BA125"/>
  <c r="AZ161"/>
  <c r="BA160"/>
  <c r="BB158"/>
  <c r="AZ155"/>
  <c r="BA154"/>
  <c r="BA150"/>
  <c r="BA148"/>
  <c r="BA146"/>
  <c r="BA144"/>
  <c r="BA142"/>
  <c r="BB140"/>
  <c r="BA139"/>
  <c r="AZ136"/>
  <c r="AZ134"/>
  <c r="BB126"/>
  <c r="BA123"/>
  <c r="AZ160"/>
  <c r="AZ154"/>
  <c r="AZ148"/>
  <c r="AZ144"/>
  <c r="BA140"/>
  <c r="BA138"/>
  <c r="BB129"/>
  <c r="BA158"/>
  <c r="BA152"/>
  <c r="AZ139"/>
  <c r="BB135"/>
  <c r="BA131"/>
  <c r="BA121"/>
  <c r="AZ151"/>
  <c r="AZ145"/>
  <c r="BB130"/>
  <c r="BB122"/>
  <c r="BB162"/>
  <c r="AZ159"/>
  <c r="BB157"/>
  <c r="BB156"/>
  <c r="BB152"/>
  <c r="BB151"/>
  <c r="BB149"/>
  <c r="BB147"/>
  <c r="BB145"/>
  <c r="BB143"/>
  <c r="AZ138"/>
  <c r="BA137"/>
  <c r="BA135"/>
  <c r="AZ133"/>
  <c r="AZ131"/>
  <c r="AZ129"/>
  <c r="BA127"/>
  <c r="BA120"/>
  <c r="BB161"/>
  <c r="AZ158"/>
  <c r="BA157"/>
  <c r="BB155"/>
  <c r="BA153"/>
  <c r="BA151"/>
  <c r="BA149"/>
  <c r="BA147"/>
  <c r="BA145"/>
  <c r="BA143"/>
  <c r="BB141"/>
  <c r="AZ137"/>
  <c r="AZ135"/>
  <c r="BA126"/>
  <c r="AZ123"/>
  <c r="BB123"/>
  <c r="BA162"/>
  <c r="BB153"/>
  <c r="AZ149"/>
  <c r="BA141"/>
  <c r="BB128"/>
  <c r="AZ153"/>
  <c r="AZ141"/>
  <c r="AA59"/>
  <c r="AZ126"/>
  <c r="AA62"/>
  <c r="AA65"/>
  <c r="AA58"/>
  <c r="AZ125"/>
  <c r="AA57"/>
  <c r="AA64"/>
  <c r="AA63"/>
  <c r="AA56"/>
  <c r="AZ121"/>
  <c r="AZ124"/>
  <c r="AA61"/>
  <c r="AB65" i="27"/>
  <c r="AB66"/>
  <c r="AB57"/>
  <c r="AB58"/>
  <c r="AB63"/>
  <c r="AB59"/>
  <c r="AB64"/>
  <c r="AB61"/>
  <c r="AB60"/>
  <c r="AB62"/>
  <c r="AH60"/>
  <c r="AH64"/>
  <c r="AH63"/>
  <c r="AH62"/>
  <c r="AH59"/>
  <c r="AH61"/>
  <c r="N69" i="28"/>
  <c r="N68"/>
  <c r="N70"/>
  <c r="AL55" i="27"/>
  <c r="AL47"/>
  <c r="AL49"/>
  <c r="AL52"/>
  <c r="AL56"/>
  <c r="AL53"/>
  <c r="AL54"/>
  <c r="AL50"/>
  <c r="AL51"/>
  <c r="AL48"/>
  <c r="BF64" i="9"/>
  <c r="BF65"/>
  <c r="AL88"/>
  <c r="AK88" s="1"/>
  <c r="AL89"/>
  <c r="AV88"/>
  <c r="AU88" s="1"/>
  <c r="AV89"/>
  <c r="M8" i="14"/>
  <c r="N66" i="28"/>
  <c r="AW155"/>
  <c r="N67"/>
  <c r="AW162"/>
  <c r="AW159"/>
  <c r="AW153"/>
  <c r="AW157"/>
  <c r="AW160"/>
  <c r="AW152"/>
  <c r="AW158"/>
  <c r="N65"/>
  <c r="AW156"/>
  <c r="AW161"/>
  <c r="AW154"/>
  <c r="AW146"/>
  <c r="AW151"/>
  <c r="AW143"/>
  <c r="AW148"/>
  <c r="AW140"/>
  <c r="AW147"/>
  <c r="N63"/>
  <c r="N64"/>
  <c r="AW149"/>
  <c r="AW141"/>
  <c r="AW145"/>
  <c r="AW150"/>
  <c r="AW142"/>
  <c r="N62"/>
  <c r="AW144"/>
  <c r="N61"/>
  <c r="AB61" s="1"/>
  <c r="AW135"/>
  <c r="AW139"/>
  <c r="AW137"/>
  <c r="AW138"/>
  <c r="AW134"/>
  <c r="AW136"/>
  <c r="W57"/>
  <c r="W60"/>
  <c r="W61"/>
  <c r="AW132"/>
  <c r="AW131"/>
  <c r="AW129"/>
  <c r="AW133"/>
  <c r="AW130"/>
  <c r="N60"/>
  <c r="AB60" s="1"/>
  <c r="AW128"/>
  <c r="AA60"/>
  <c r="AH55" i="27"/>
  <c r="AH54"/>
  <c r="AH56"/>
  <c r="AB54"/>
  <c r="AK54" s="1"/>
  <c r="AB55"/>
  <c r="AB56"/>
  <c r="AW127" i="28"/>
  <c r="AW126"/>
  <c r="AW125"/>
  <c r="AW124"/>
  <c r="N58"/>
  <c r="N57"/>
  <c r="AB57" s="1"/>
  <c r="N59"/>
  <c r="AH53" i="27"/>
  <c r="AH52"/>
  <c r="AB51"/>
  <c r="AG51" s="1"/>
  <c r="AB52"/>
  <c r="AB53"/>
  <c r="AW123" i="28"/>
  <c r="AW122"/>
  <c r="AW121"/>
  <c r="AW120"/>
  <c r="N56"/>
  <c r="W56"/>
  <c r="AW119"/>
  <c r="AW115"/>
  <c r="AW118"/>
  <c r="AW117"/>
  <c r="AW114"/>
  <c r="AW116"/>
  <c r="AH51" i="27"/>
  <c r="AH49"/>
  <c r="AH50"/>
  <c r="AH48"/>
  <c r="AB48"/>
  <c r="AK48" s="1"/>
  <c r="AB50"/>
  <c r="AB49"/>
  <c r="W50" i="28"/>
  <c r="W51"/>
  <c r="AA53"/>
  <c r="AZ118"/>
  <c r="BA115"/>
  <c r="AA54"/>
  <c r="BA117"/>
  <c r="BB114"/>
  <c r="BB116"/>
  <c r="BB79"/>
  <c r="BB119"/>
  <c r="AZ117"/>
  <c r="BA114"/>
  <c r="BA119"/>
  <c r="AZ114"/>
  <c r="AZ119"/>
  <c r="BA116"/>
  <c r="BA79"/>
  <c r="BB118"/>
  <c r="AZ116"/>
  <c r="AA52"/>
  <c r="BA118"/>
  <c r="BB115"/>
  <c r="BB85"/>
  <c r="BB117"/>
  <c r="AZ115"/>
  <c r="AA55"/>
  <c r="AA51"/>
  <c r="AZ79"/>
  <c r="Z23" i="29"/>
  <c r="AA47" i="28"/>
  <c r="BA85"/>
  <c r="AV37" i="29"/>
  <c r="AA46" i="28"/>
  <c r="AA49"/>
  <c r="AZ85"/>
  <c r="AB46" i="27"/>
  <c r="AK46" s="1"/>
  <c r="AB47"/>
  <c r="N52" i="28"/>
  <c r="N51"/>
  <c r="N53"/>
  <c r="N55"/>
  <c r="N54"/>
  <c r="AH47" i="27"/>
  <c r="N50" i="28"/>
  <c r="W37"/>
  <c r="W43"/>
  <c r="W41"/>
  <c r="DE7" i="9"/>
  <c r="DE8"/>
  <c r="N48" i="28"/>
  <c r="AB48" s="1"/>
  <c r="N49"/>
  <c r="W49" s="1"/>
  <c r="BF41" i="9"/>
  <c r="AL86"/>
  <c r="AK86" s="1"/>
  <c r="AL87"/>
  <c r="DE5"/>
  <c r="DE6"/>
  <c r="DE4"/>
  <c r="AL46" i="27"/>
  <c r="AL41"/>
  <c r="AL44"/>
  <c r="AL45"/>
  <c r="AL40"/>
  <c r="AL39"/>
  <c r="AL36"/>
  <c r="AL43"/>
  <c r="AL38"/>
  <c r="AL37"/>
  <c r="AL42"/>
  <c r="AA48" i="28"/>
  <c r="W48"/>
  <c r="AW79"/>
  <c r="AW85"/>
  <c r="N46"/>
  <c r="AC46" s="1"/>
  <c r="N47"/>
  <c r="AZ9"/>
  <c r="AZ16"/>
  <c r="AZ12"/>
  <c r="AZ15"/>
  <c r="BB46"/>
  <c r="BA112"/>
  <c r="AZ30"/>
  <c r="AZ34"/>
  <c r="AZ20"/>
  <c r="BA107"/>
  <c r="AZ106"/>
  <c r="AZ99"/>
  <c r="AZ58"/>
  <c r="AZ27"/>
  <c r="AZ3"/>
  <c r="AZ22"/>
  <c r="AZ10"/>
  <c r="BA113"/>
  <c r="AZ28"/>
  <c r="AZ47"/>
  <c r="BA53"/>
  <c r="AZ39"/>
  <c r="BA106"/>
  <c r="AZ82"/>
  <c r="AZ112"/>
  <c r="AZ29"/>
  <c r="AZ5"/>
  <c r="AZ36"/>
  <c r="BA111"/>
  <c r="BB111"/>
  <c r="AZ21"/>
  <c r="BA104"/>
  <c r="AZ6"/>
  <c r="BB108"/>
  <c r="AZ31"/>
  <c r="AZ88"/>
  <c r="AZ13"/>
  <c r="AZ17"/>
  <c r="BA103"/>
  <c r="AZ72"/>
  <c r="AZ67"/>
  <c r="AZ65"/>
  <c r="AZ95"/>
  <c r="AZ110"/>
  <c r="AZ44"/>
  <c r="AZ52"/>
  <c r="AZ57"/>
  <c r="AZ11"/>
  <c r="AZ109"/>
  <c r="BB107"/>
  <c r="BB112"/>
  <c r="AZ7"/>
  <c r="BB104"/>
  <c r="AZ93"/>
  <c r="AZ103"/>
  <c r="BB106"/>
  <c r="AZ96"/>
  <c r="AZ4"/>
  <c r="BA105"/>
  <c r="AZ33"/>
  <c r="AZ8"/>
  <c r="AZ94"/>
  <c r="BA46"/>
  <c r="BB55"/>
  <c r="AZ62"/>
  <c r="AZ113"/>
  <c r="AZ55"/>
  <c r="AZ61"/>
  <c r="AZ23"/>
  <c r="BB105"/>
  <c r="AZ19"/>
  <c r="BA55"/>
  <c r="AZ25"/>
  <c r="BA108"/>
  <c r="AZ56"/>
  <c r="BB109"/>
  <c r="AZ53"/>
  <c r="BB110"/>
  <c r="AZ105"/>
  <c r="AZ43"/>
  <c r="AZ91"/>
  <c r="AZ73"/>
  <c r="AZ51"/>
  <c r="AZ48"/>
  <c r="AZ71"/>
  <c r="AZ98"/>
  <c r="AZ102"/>
  <c r="AZ87"/>
  <c r="BB53"/>
  <c r="BB113"/>
  <c r="BA109"/>
  <c r="AZ92"/>
  <c r="AZ24"/>
  <c r="AZ38"/>
  <c r="AZ14"/>
  <c r="AZ83"/>
  <c r="AZ40"/>
  <c r="AZ66"/>
  <c r="BB103"/>
  <c r="AZ78"/>
  <c r="BA110"/>
  <c r="AZ18"/>
  <c r="AZ49"/>
  <c r="AZ41"/>
  <c r="AZ37"/>
  <c r="AZ68"/>
  <c r="AZ63"/>
  <c r="AZ32"/>
  <c r="AZ86"/>
  <c r="AZ74"/>
  <c r="AZ46"/>
  <c r="AZ45"/>
  <c r="AZ84"/>
  <c r="AZ107"/>
  <c r="AZ75"/>
  <c r="AA42"/>
  <c r="AZ59"/>
  <c r="AZ97"/>
  <c r="AZ101"/>
  <c r="AZ111"/>
  <c r="AA41"/>
  <c r="AZ42"/>
  <c r="AZ104"/>
  <c r="AZ70"/>
  <c r="AA43"/>
  <c r="AZ60"/>
  <c r="AZ54"/>
  <c r="AZ80"/>
  <c r="AZ26"/>
  <c r="AZ69"/>
  <c r="AA44"/>
  <c r="AZ89"/>
  <c r="AZ50"/>
  <c r="AZ81"/>
  <c r="AZ76"/>
  <c r="AZ108"/>
  <c r="AZ100"/>
  <c r="AZ35"/>
  <c r="AZ77"/>
  <c r="AA45"/>
  <c r="AZ90"/>
  <c r="N45"/>
  <c r="AB45" s="1"/>
  <c r="AW46"/>
  <c r="AW111"/>
  <c r="AH46" i="27"/>
  <c r="AW110" i="28"/>
  <c r="AW113"/>
  <c r="AW112"/>
  <c r="N43"/>
  <c r="N44"/>
  <c r="AB44" i="27"/>
  <c r="AB45"/>
  <c r="AW109" i="28"/>
  <c r="AW53"/>
  <c r="AH44" i="27"/>
  <c r="AH43"/>
  <c r="AH45"/>
  <c r="AB42"/>
  <c r="AG42" s="1"/>
  <c r="AB43"/>
  <c r="AW55" i="28"/>
  <c r="AH42" i="27"/>
  <c r="AH41"/>
  <c r="AB40"/>
  <c r="AK40" s="1"/>
  <c r="AB41"/>
  <c r="AW108" i="28"/>
  <c r="AW103"/>
  <c r="AW107"/>
  <c r="AW106"/>
  <c r="AW105"/>
  <c r="AW104"/>
  <c r="N41"/>
  <c r="N42"/>
  <c r="BB102"/>
  <c r="BB100"/>
  <c r="BB52"/>
  <c r="BA102"/>
  <c r="BA100"/>
  <c r="BA52"/>
  <c r="BA101"/>
  <c r="BB101"/>
  <c r="AA40"/>
  <c r="AA39"/>
  <c r="AH39" i="27"/>
  <c r="AW101" i="28"/>
  <c r="N39"/>
  <c r="N40"/>
  <c r="AW52"/>
  <c r="AW102"/>
  <c r="AH40" i="27"/>
  <c r="AW100" i="28"/>
  <c r="AB39" i="27"/>
  <c r="AB37"/>
  <c r="AB38"/>
  <c r="AH38"/>
  <c r="AH37"/>
  <c r="N38" i="28"/>
  <c r="AB38" s="1"/>
  <c r="AH36" i="27"/>
  <c r="AB35"/>
  <c r="AG35" s="1"/>
  <c r="AB36"/>
  <c r="AA38" i="28"/>
  <c r="AV86" i="9"/>
  <c r="AW86" s="1"/>
  <c r="AV87"/>
  <c r="AV84"/>
  <c r="AU84" s="1"/>
  <c r="AV85"/>
  <c r="AL84"/>
  <c r="AK84" s="1"/>
  <c r="AL85"/>
  <c r="AL34" i="27"/>
  <c r="AL35"/>
  <c r="EI7" i="9"/>
  <c r="BA40" i="28"/>
  <c r="EM8" i="9"/>
  <c r="BB40" i="28"/>
  <c r="EL8" i="9"/>
  <c r="EM7"/>
  <c r="EL7"/>
  <c r="EJ8"/>
  <c r="EK7"/>
  <c r="EI8"/>
  <c r="EJ7"/>
  <c r="EK8"/>
  <c r="AV41" i="29"/>
  <c r="EK5" i="9"/>
  <c r="AV38" i="29"/>
  <c r="EJ5" i="9"/>
  <c r="EM5"/>
  <c r="EI5"/>
  <c r="EM6"/>
  <c r="EJ6"/>
  <c r="AL14" i="29"/>
  <c r="EI6" i="9"/>
  <c r="EL5"/>
  <c r="EL6"/>
  <c r="EK6"/>
  <c r="Z21" i="29"/>
  <c r="AV36"/>
  <c r="EH6" i="9"/>
  <c r="AV40" i="29"/>
  <c r="AV33"/>
  <c r="BA97" i="28"/>
  <c r="BA98"/>
  <c r="BB98"/>
  <c r="BA96"/>
  <c r="BB97"/>
  <c r="BB96"/>
  <c r="BA99"/>
  <c r="BB99"/>
  <c r="AL13" i="29"/>
  <c r="AV39"/>
  <c r="Z22"/>
  <c r="EH5" i="9"/>
  <c r="AA22" i="29"/>
  <c r="AV31"/>
  <c r="AL15"/>
  <c r="Z19"/>
  <c r="Z18"/>
  <c r="AV35"/>
  <c r="AV34"/>
  <c r="EH7" i="9"/>
  <c r="Z20" i="29"/>
  <c r="Z17"/>
  <c r="AA37" i="28"/>
  <c r="EH8" i="9"/>
  <c r="AV32" i="29"/>
  <c r="AW40" i="28"/>
  <c r="AH32" i="27"/>
  <c r="AW98" i="28"/>
  <c r="N37"/>
  <c r="AW97"/>
  <c r="AW96"/>
  <c r="AH31" i="27"/>
  <c r="AH30"/>
  <c r="AW99" i="28"/>
  <c r="AH34" i="27"/>
  <c r="AH26"/>
  <c r="AH33"/>
  <c r="AH35"/>
  <c r="AH29"/>
  <c r="AH28"/>
  <c r="AH27"/>
  <c r="AB33"/>
  <c r="AK33" s="1"/>
  <c r="AB34"/>
  <c r="AV82" i="9"/>
  <c r="AU82" s="1"/>
  <c r="AV83"/>
  <c r="AL82"/>
  <c r="AM82" s="1"/>
  <c r="AL83"/>
  <c r="BF35"/>
  <c r="BF61"/>
  <c r="BF62"/>
  <c r="BF63"/>
  <c r="AV80"/>
  <c r="AW80" s="1"/>
  <c r="AV81"/>
  <c r="AL80"/>
  <c r="AM80" s="1"/>
  <c r="AL81"/>
  <c r="AL32" i="27"/>
  <c r="AL33"/>
  <c r="AV78" i="9"/>
  <c r="AU78" s="1"/>
  <c r="AV79"/>
  <c r="AL78"/>
  <c r="AK78" s="1"/>
  <c r="AL79"/>
  <c r="AB31" i="27"/>
  <c r="AG31" s="1"/>
  <c r="AB32"/>
  <c r="AV48" i="9"/>
  <c r="AW48" s="1"/>
  <c r="AV62"/>
  <c r="AL48"/>
  <c r="AK48" s="1"/>
  <c r="AL62"/>
  <c r="EF7"/>
  <c r="EF8"/>
  <c r="EF6"/>
  <c r="AL31" i="27"/>
  <c r="BF60" i="9"/>
  <c r="EF5"/>
  <c r="AB30" i="27"/>
  <c r="AG30" s="1"/>
  <c r="AL29"/>
  <c r="AL30"/>
  <c r="AV77" i="9"/>
  <c r="AU77" s="1"/>
  <c r="DE3"/>
  <c r="BF57"/>
  <c r="BF59"/>
  <c r="BF58"/>
  <c r="EF4"/>
  <c r="EF3"/>
  <c r="AL77"/>
  <c r="AM77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5" i="28"/>
  <c r="AC35" s="1"/>
  <c r="N36"/>
  <c r="AD36" s="1"/>
  <c r="W35"/>
  <c r="W36"/>
  <c r="AB22" i="27"/>
  <c r="AK22" s="1"/>
  <c r="AB23"/>
  <c r="AW94" i="28"/>
  <c r="AW90"/>
  <c r="AW89"/>
  <c r="AW93"/>
  <c r="AW95"/>
  <c r="AW91"/>
  <c r="AW92"/>
  <c r="N33"/>
  <c r="AD33" s="1"/>
  <c r="N34"/>
  <c r="AD34" s="1"/>
  <c r="BA93"/>
  <c r="BB90"/>
  <c r="BA92"/>
  <c r="BB94"/>
  <c r="BA89"/>
  <c r="BB95"/>
  <c r="BA90"/>
  <c r="AA34"/>
  <c r="BB89"/>
  <c r="BB93"/>
  <c r="BA95"/>
  <c r="BB92"/>
  <c r="BA94"/>
  <c r="BB91"/>
  <c r="BA91"/>
  <c r="AA31"/>
  <c r="AA33"/>
  <c r="AA32"/>
  <c r="BA88"/>
  <c r="BB88"/>
  <c r="AH22" i="27"/>
  <c r="N32" i="28"/>
  <c r="AH23" i="27"/>
  <c r="N30" i="28"/>
  <c r="AD30" s="1"/>
  <c r="AW88"/>
  <c r="AW86"/>
  <c r="AW87"/>
  <c r="AW84"/>
  <c r="N31"/>
  <c r="AA30"/>
  <c r="BB87"/>
  <c r="BB86"/>
  <c r="BA87"/>
  <c r="BB84"/>
  <c r="BA86"/>
  <c r="BA84"/>
  <c r="AA29"/>
  <c r="AA28"/>
  <c r="AA27"/>
  <c r="Z6" i="29"/>
  <c r="AL5"/>
  <c r="AV5"/>
  <c r="Z5"/>
  <c r="AV6"/>
  <c r="AV4"/>
  <c r="AV15"/>
  <c r="EH4" i="9"/>
  <c r="BA75" i="28"/>
  <c r="BA73"/>
  <c r="BB74"/>
  <c r="EL3" i="9"/>
  <c r="AV13" i="29"/>
  <c r="BA80" i="28"/>
  <c r="EJ4" i="9"/>
  <c r="BB76" i="28"/>
  <c r="AV19" i="29"/>
  <c r="BB73" i="28"/>
  <c r="EI3" i="9"/>
  <c r="BB77" i="28"/>
  <c r="BA77"/>
  <c r="BA76"/>
  <c r="BA35"/>
  <c r="AV24" i="29"/>
  <c r="AV18"/>
  <c r="EM4" i="9"/>
  <c r="EI4"/>
  <c r="BA83" i="28"/>
  <c r="BB80"/>
  <c r="EJ3" i="9"/>
  <c r="AL9" i="29"/>
  <c r="BB82" i="28"/>
  <c r="AV10" i="29"/>
  <c r="BA72" i="28"/>
  <c r="AV27" i="29"/>
  <c r="AV16"/>
  <c r="BB81" i="28"/>
  <c r="BA81"/>
  <c r="AV28" i="29"/>
  <c r="BB75" i="28"/>
  <c r="BA69"/>
  <c r="BA74"/>
  <c r="AV12" i="29"/>
  <c r="EM3" i="9"/>
  <c r="AV14" i="29"/>
  <c r="BB83" i="28"/>
  <c r="AV7" i="29"/>
  <c r="Z11"/>
  <c r="BA71" i="28"/>
  <c r="BA82"/>
  <c r="EK4" i="9"/>
  <c r="AV21" i="29"/>
  <c r="EK3" i="9"/>
  <c r="AV22" i="29"/>
  <c r="BB35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3" i="28"/>
  <c r="AW77"/>
  <c r="AW80"/>
  <c r="AW82"/>
  <c r="AW78"/>
  <c r="AW81"/>
  <c r="N26"/>
  <c r="AC26" s="1"/>
  <c r="N28"/>
  <c r="N29"/>
  <c r="N27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5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5" i="9"/>
  <c r="AW75" s="1"/>
  <c r="AV76"/>
  <c r="AL75"/>
  <c r="AM75" s="1"/>
  <c r="AL76"/>
  <c r="AB3" i="27"/>
  <c r="AG3" s="1"/>
  <c r="AB4"/>
  <c r="N5" i="28"/>
  <c r="AD5" s="1"/>
  <c r="AH4" i="27"/>
  <c r="N8" i="28"/>
  <c r="AA5"/>
  <c r="BA63"/>
  <c r="BA61"/>
  <c r="BA51"/>
  <c r="BB49"/>
  <c r="BB47"/>
  <c r="BA31"/>
  <c r="BA66"/>
  <c r="BB62"/>
  <c r="BA57"/>
  <c r="BA42"/>
  <c r="BA39"/>
  <c r="BA34"/>
  <c r="BA62"/>
  <c r="BB48"/>
  <c r="BB31"/>
  <c r="BB68"/>
  <c r="BA49"/>
  <c r="BA47"/>
  <c r="BB44"/>
  <c r="BB54"/>
  <c r="BA54"/>
  <c r="BA32"/>
  <c r="BA68"/>
  <c r="BB66"/>
  <c r="BB59"/>
  <c r="BB57"/>
  <c r="BA44"/>
  <c r="BB42"/>
  <c r="BB39"/>
  <c r="BB37"/>
  <c r="BB34"/>
  <c r="BA37"/>
  <c r="BB32"/>
  <c r="BB60"/>
  <c r="BB50"/>
  <c r="BA60"/>
  <c r="BA50"/>
  <c r="BA48"/>
  <c r="BB45"/>
  <c r="BB43"/>
  <c r="BB67"/>
  <c r="BB65"/>
  <c r="BB58"/>
  <c r="BB56"/>
  <c r="BA45"/>
  <c r="BA43"/>
  <c r="BB41"/>
  <c r="BB38"/>
  <c r="BB36"/>
  <c r="BB33"/>
  <c r="BA67"/>
  <c r="BA65"/>
  <c r="BB63"/>
  <c r="BB61"/>
  <c r="BA58"/>
  <c r="BA56"/>
  <c r="BB51"/>
  <c r="BA41"/>
  <c r="BA38"/>
  <c r="BA36"/>
  <c r="BA33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1"/>
  <c r="AW31"/>
  <c r="AW19"/>
  <c r="AW45"/>
  <c r="AW24"/>
  <c r="AW48"/>
  <c r="AW38"/>
  <c r="AW44"/>
  <c r="AW29"/>
  <c r="AW25"/>
  <c r="AW17"/>
  <c r="AW13"/>
  <c r="AW47"/>
  <c r="AW37"/>
  <c r="AW26"/>
  <c r="AW22"/>
  <c r="AW18"/>
  <c r="AW15"/>
  <c r="AW32"/>
  <c r="AW43"/>
  <c r="AW33"/>
  <c r="AW14"/>
  <c r="AW39"/>
  <c r="AW30"/>
  <c r="AW27"/>
  <c r="AW23"/>
  <c r="AW36"/>
  <c r="AW42"/>
  <c r="AW28"/>
  <c r="AW20"/>
  <c r="AW16"/>
  <c r="AW34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B19"/>
  <c r="BA9"/>
  <c r="BA29"/>
  <c r="BB26"/>
  <c r="BA21"/>
  <c r="BB18"/>
  <c r="BA13"/>
  <c r="BB12"/>
  <c r="BB10"/>
  <c r="BA7"/>
  <c r="BA5"/>
  <c r="BA3"/>
  <c r="BB30"/>
  <c r="BA26"/>
  <c r="BB23"/>
  <c r="BA18"/>
  <c r="BA12"/>
  <c r="BA10"/>
  <c r="BA30"/>
  <c r="BB20"/>
  <c r="BB27"/>
  <c r="BA22"/>
  <c r="BB14"/>
  <c r="BA28"/>
  <c r="BB25"/>
  <c r="BA20"/>
  <c r="BB17"/>
  <c r="BB8"/>
  <c r="BB6"/>
  <c r="BB4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83" i="27" s="1"/>
  <c r="C5" i="14"/>
  <c r="D5" s="1"/>
  <c r="BF14" i="9"/>
  <c r="BF15"/>
  <c r="BF13"/>
  <c r="BF56"/>
  <c r="BF12"/>
  <c r="BF8"/>
  <c r="AV18"/>
  <c r="AU18" s="1"/>
  <c r="AV73"/>
  <c r="AL18"/>
  <c r="AM18" s="1"/>
  <c r="AL73"/>
  <c r="AV31"/>
  <c r="AW31" s="1"/>
  <c r="AL31"/>
  <c r="AK31" s="1"/>
  <c r="BF52"/>
  <c r="CD5"/>
  <c r="BF55"/>
  <c r="BF53"/>
  <c r="BF54"/>
  <c r="AL72"/>
  <c r="AK72" s="1"/>
  <c r="AL74"/>
  <c r="AV74"/>
  <c r="AV72"/>
  <c r="AL70"/>
  <c r="AM70" s="1"/>
  <c r="AL71"/>
  <c r="AV70"/>
  <c r="AU70" s="1"/>
  <c r="AV71"/>
  <c r="AL69"/>
  <c r="AM69" s="1"/>
  <c r="BF51"/>
  <c r="BF50"/>
  <c r="AV69"/>
  <c r="AU69" s="1"/>
  <c r="BF49"/>
  <c r="BF47"/>
  <c r="BF48"/>
  <c r="AL67"/>
  <c r="AK67" s="1"/>
  <c r="AL68"/>
  <c r="AV67"/>
  <c r="AU67" s="1"/>
  <c r="AV68"/>
  <c r="AL65"/>
  <c r="AK65" s="1"/>
  <c r="AL66"/>
  <c r="AV65"/>
  <c r="AW65" s="1"/>
  <c r="AV66"/>
  <c r="BF46"/>
  <c r="BF45"/>
  <c r="AL63"/>
  <c r="AM63" s="1"/>
  <c r="AL64"/>
  <c r="AV63"/>
  <c r="AU63" s="1"/>
  <c r="AV64"/>
  <c r="BF40"/>
  <c r="BF23"/>
  <c r="BF22"/>
  <c r="BF24"/>
  <c r="AL53"/>
  <c r="AM53" s="1"/>
  <c r="AL33"/>
  <c r="AL32"/>
  <c r="AL34"/>
  <c r="AV53"/>
  <c r="AU53" s="1"/>
  <c r="AV33"/>
  <c r="AV34"/>
  <c r="AV32"/>
  <c r="BF42"/>
  <c r="BF44"/>
  <c r="BF43"/>
  <c r="AL60"/>
  <c r="AM60" s="1"/>
  <c r="AL61"/>
  <c r="AV60"/>
  <c r="AU60" s="1"/>
  <c r="AV61"/>
  <c r="AV58"/>
  <c r="AU58" s="1"/>
  <c r="AV59"/>
  <c r="AL58"/>
  <c r="AK58" s="1"/>
  <c r="AL59"/>
  <c r="AL57"/>
  <c r="AK57" s="1"/>
  <c r="AV57"/>
  <c r="AW57" s="1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E43" i="28" s="1"/>
  <c r="C11" i="14"/>
  <c r="D11" s="1"/>
  <c r="C25"/>
  <c r="D25" s="1"/>
  <c r="C29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E32" i="28" s="1"/>
  <c r="C27" i="14"/>
  <c r="D27" s="1"/>
  <c r="C9"/>
  <c r="D9" s="1"/>
  <c r="C17"/>
  <c r="D17" s="1"/>
  <c r="C23"/>
  <c r="D23" s="1"/>
  <c r="C30"/>
  <c r="D30" s="1"/>
  <c r="M30" s="1"/>
  <c r="C22"/>
  <c r="D22" s="1"/>
  <c r="E44" i="28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V79" i="28" l="1"/>
  <c r="AB79"/>
  <c r="W79"/>
  <c r="U79" s="1"/>
  <c r="Z79"/>
  <c r="AC79"/>
  <c r="AD79"/>
  <c r="V82"/>
  <c r="W82"/>
  <c r="U82" s="1"/>
  <c r="AD82"/>
  <c r="Z82"/>
  <c r="AB82"/>
  <c r="AC82"/>
  <c r="AD78"/>
  <c r="AC78"/>
  <c r="V80"/>
  <c r="Z80"/>
  <c r="W80"/>
  <c r="U80" s="1"/>
  <c r="AB80"/>
  <c r="AD80"/>
  <c r="AC80"/>
  <c r="Z78"/>
  <c r="AB78"/>
  <c r="AC81"/>
  <c r="AB81"/>
  <c r="W81"/>
  <c r="U81" s="1"/>
  <c r="AD81"/>
  <c r="Z81"/>
  <c r="V81"/>
  <c r="Z76"/>
  <c r="AC76"/>
  <c r="AB76"/>
  <c r="V76"/>
  <c r="AA76"/>
  <c r="AD76"/>
  <c r="Z77"/>
  <c r="AA77"/>
  <c r="Y77" s="1"/>
  <c r="V77"/>
  <c r="AD77"/>
  <c r="AC77"/>
  <c r="AB77"/>
  <c r="Z75"/>
  <c r="V75"/>
  <c r="AD75"/>
  <c r="AC75"/>
  <c r="AB75"/>
  <c r="W75"/>
  <c r="U75" s="1"/>
  <c r="Z73"/>
  <c r="AB73"/>
  <c r="AA73"/>
  <c r="AD73"/>
  <c r="V73"/>
  <c r="AC73"/>
  <c r="Z74"/>
  <c r="AD74"/>
  <c r="AA74"/>
  <c r="V74"/>
  <c r="AC74"/>
  <c r="AB74"/>
  <c r="Z71"/>
  <c r="AB71"/>
  <c r="V71"/>
  <c r="AC71"/>
  <c r="AA71"/>
  <c r="Y71" s="1"/>
  <c r="Z72"/>
  <c r="AB72"/>
  <c r="AA72"/>
  <c r="Y72" s="1"/>
  <c r="AD72"/>
  <c r="V72"/>
  <c r="AC72"/>
  <c r="E95" i="27"/>
  <c r="E15" i="29"/>
  <c r="F31" i="9"/>
  <c r="F30"/>
  <c r="E96" i="27"/>
  <c r="AK65"/>
  <c r="AG65"/>
  <c r="AK66"/>
  <c r="AG66"/>
  <c r="AG57"/>
  <c r="AK57"/>
  <c r="AG58"/>
  <c r="AK58"/>
  <c r="AK63"/>
  <c r="AG63"/>
  <c r="AK59"/>
  <c r="AG59"/>
  <c r="AK64"/>
  <c r="AG64"/>
  <c r="AK61"/>
  <c r="AG61"/>
  <c r="AK60"/>
  <c r="AG60"/>
  <c r="AK62"/>
  <c r="AG62"/>
  <c r="Z69" i="28"/>
  <c r="AC69"/>
  <c r="AB69"/>
  <c r="V69"/>
  <c r="AA69"/>
  <c r="Y69" s="1"/>
  <c r="AD69"/>
  <c r="Z70"/>
  <c r="AB70"/>
  <c r="AA70"/>
  <c r="Y70" s="1"/>
  <c r="AC70"/>
  <c r="AD70"/>
  <c r="V70"/>
  <c r="Z68"/>
  <c r="V68"/>
  <c r="AD68"/>
  <c r="AB68"/>
  <c r="AA68"/>
  <c r="Y68" s="1"/>
  <c r="AC68"/>
  <c r="AW89" i="9"/>
  <c r="AU89"/>
  <c r="AW88"/>
  <c r="AM89"/>
  <c r="AK89"/>
  <c r="AM88"/>
  <c r="E90" i="27"/>
  <c r="E89"/>
  <c r="E91"/>
  <c r="E25" i="28"/>
  <c r="E41"/>
  <c r="E87" i="27"/>
  <c r="E42" i="28"/>
  <c r="E93" i="27"/>
  <c r="E94"/>
  <c r="E39" i="28"/>
  <c r="E37"/>
  <c r="E36"/>
  <c r="E92" i="27"/>
  <c r="E35" i="28"/>
  <c r="E40"/>
  <c r="E38"/>
  <c r="E88" i="27"/>
  <c r="Z66" i="28"/>
  <c r="V66"/>
  <c r="AB66"/>
  <c r="AD66"/>
  <c r="AC66"/>
  <c r="AA66"/>
  <c r="Y66" s="1"/>
  <c r="Z65"/>
  <c r="AB65"/>
  <c r="AC65"/>
  <c r="V65"/>
  <c r="AD65"/>
  <c r="Z67"/>
  <c r="V67"/>
  <c r="AA67"/>
  <c r="Y67" s="1"/>
  <c r="AC67"/>
  <c r="AB67"/>
  <c r="AD67"/>
  <c r="Z62"/>
  <c r="AD62"/>
  <c r="AC62"/>
  <c r="AB62"/>
  <c r="V62"/>
  <c r="Z63"/>
  <c r="AC63"/>
  <c r="AB63"/>
  <c r="V63"/>
  <c r="AD63"/>
  <c r="Z64"/>
  <c r="AB64"/>
  <c r="AC64"/>
  <c r="AD64"/>
  <c r="V64"/>
  <c r="Z61"/>
  <c r="V61"/>
  <c r="AD61"/>
  <c r="AC61"/>
  <c r="Z60"/>
  <c r="AC60"/>
  <c r="AD60"/>
  <c r="V60"/>
  <c r="E71" i="27"/>
  <c r="E85"/>
  <c r="E33" i="28"/>
  <c r="E84" i="27"/>
  <c r="E34" i="28"/>
  <c r="E86" i="27"/>
  <c r="AK55"/>
  <c r="AG55"/>
  <c r="AK56"/>
  <c r="AG56"/>
  <c r="AG54"/>
  <c r="V58" i="28"/>
  <c r="Z58"/>
  <c r="W58"/>
  <c r="U58" s="1"/>
  <c r="AC58"/>
  <c r="AB58"/>
  <c r="AD58"/>
  <c r="AD57"/>
  <c r="V57"/>
  <c r="Z57"/>
  <c r="AC57"/>
  <c r="V59"/>
  <c r="W59"/>
  <c r="U59" s="1"/>
  <c r="AC59"/>
  <c r="Z59"/>
  <c r="AB59"/>
  <c r="AD59"/>
  <c r="AK51" i="27"/>
  <c r="AK53"/>
  <c r="AG53"/>
  <c r="AK52"/>
  <c r="AG52"/>
  <c r="Z56" i="28"/>
  <c r="V56"/>
  <c r="AD56"/>
  <c r="AC56"/>
  <c r="AB56"/>
  <c r="AK50" i="27"/>
  <c r="AG50"/>
  <c r="AK49"/>
  <c r="AG49"/>
  <c r="AG48"/>
  <c r="E82"/>
  <c r="E81"/>
  <c r="E14" i="29"/>
  <c r="E60" i="27"/>
  <c r="E31" i="28"/>
  <c r="AG46" i="27"/>
  <c r="AK47"/>
  <c r="AG47"/>
  <c r="Z52" i="28"/>
  <c r="AB52"/>
  <c r="W52"/>
  <c r="U52" s="1"/>
  <c r="AD52"/>
  <c r="AC52"/>
  <c r="V52"/>
  <c r="Z54"/>
  <c r="AB54"/>
  <c r="AC54"/>
  <c r="W54"/>
  <c r="U54" s="1"/>
  <c r="AD54"/>
  <c r="V54"/>
  <c r="Z51"/>
  <c r="V51"/>
  <c r="AD51"/>
  <c r="AB51"/>
  <c r="AC51"/>
  <c r="Z55"/>
  <c r="AC55"/>
  <c r="AD55"/>
  <c r="AB55"/>
  <c r="W55"/>
  <c r="U55" s="1"/>
  <c r="V55"/>
  <c r="Z53"/>
  <c r="AB53"/>
  <c r="W53"/>
  <c r="U53" s="1"/>
  <c r="V53"/>
  <c r="AC53"/>
  <c r="AD53"/>
  <c r="Z50"/>
  <c r="AC50"/>
  <c r="V50"/>
  <c r="AD50"/>
  <c r="AA50"/>
  <c r="Y50" s="1"/>
  <c r="AB50"/>
  <c r="AD48"/>
  <c r="AC48"/>
  <c r="V48"/>
  <c r="Z48"/>
  <c r="V49"/>
  <c r="Z49"/>
  <c r="AB49"/>
  <c r="AD49"/>
  <c r="AC49"/>
  <c r="AM86" i="9"/>
  <c r="AM87"/>
  <c r="AK87"/>
  <c r="W23" i="29"/>
  <c r="E78" i="27"/>
  <c r="E80"/>
  <c r="E79"/>
  <c r="E30" i="28"/>
  <c r="Z47"/>
  <c r="AD47"/>
  <c r="AC47"/>
  <c r="AB47"/>
  <c r="W47"/>
  <c r="U47" s="1"/>
  <c r="V47"/>
  <c r="Z46"/>
  <c r="V46"/>
  <c r="AB46"/>
  <c r="AD46"/>
  <c r="W46"/>
  <c r="U46" s="1"/>
  <c r="Z45"/>
  <c r="AC45"/>
  <c r="AD45"/>
  <c r="V45"/>
  <c r="W45"/>
  <c r="U45" s="1"/>
  <c r="Z43"/>
  <c r="AC43"/>
  <c r="AB43"/>
  <c r="AD43"/>
  <c r="V43"/>
  <c r="Z44"/>
  <c r="AD44"/>
  <c r="W44"/>
  <c r="U44" s="1"/>
  <c r="AB44"/>
  <c r="V44"/>
  <c r="AC44"/>
  <c r="AK44" i="27"/>
  <c r="AG44"/>
  <c r="AK45"/>
  <c r="AG45"/>
  <c r="E75"/>
  <c r="E72"/>
  <c r="E76"/>
  <c r="E73"/>
  <c r="E74"/>
  <c r="E77"/>
  <c r="E29" i="28"/>
  <c r="M24" i="14"/>
  <c r="E28" i="28"/>
  <c r="AK43" i="27"/>
  <c r="AG43"/>
  <c r="AK42"/>
  <c r="AK41"/>
  <c r="AG41"/>
  <c r="AG40"/>
  <c r="Z42" i="28"/>
  <c r="W42"/>
  <c r="U42" s="1"/>
  <c r="AC42"/>
  <c r="V42"/>
  <c r="AD42"/>
  <c r="AB42"/>
  <c r="Z41"/>
  <c r="AB41"/>
  <c r="AC41"/>
  <c r="V41"/>
  <c r="AD41"/>
  <c r="Z40"/>
  <c r="W40"/>
  <c r="U40" s="1"/>
  <c r="AB40"/>
  <c r="AD40"/>
  <c r="V40"/>
  <c r="AC40"/>
  <c r="Z39"/>
  <c r="AC39"/>
  <c r="AB39"/>
  <c r="W39"/>
  <c r="U39" s="1"/>
  <c r="V39"/>
  <c r="AD39"/>
  <c r="AK39" i="27"/>
  <c r="AG39"/>
  <c r="AG37"/>
  <c r="AK37"/>
  <c r="AK38"/>
  <c r="AG38"/>
  <c r="AC38" i="28"/>
  <c r="AD38"/>
  <c r="Z38"/>
  <c r="V38"/>
  <c r="W38"/>
  <c r="U38" s="1"/>
  <c r="AK36" i="27"/>
  <c r="AG36"/>
  <c r="AK35"/>
  <c r="E13" i="29"/>
  <c r="F29" i="9"/>
  <c r="E70" i="27"/>
  <c r="AU86" i="9"/>
  <c r="AW87"/>
  <c r="AU87"/>
  <c r="AM84"/>
  <c r="AW85"/>
  <c r="AU85"/>
  <c r="AW84"/>
  <c r="AK85"/>
  <c r="AM85"/>
  <c r="Z37" i="28"/>
  <c r="V37"/>
  <c r="AD37"/>
  <c r="AB37"/>
  <c r="AC37"/>
  <c r="E11" i="29"/>
  <c r="F27" i="9"/>
  <c r="E68" i="27"/>
  <c r="E12" i="29"/>
  <c r="F28" i="9"/>
  <c r="E69" i="27"/>
  <c r="AD35" i="28"/>
  <c r="AK82" i="9"/>
  <c r="AK34" i="27"/>
  <c r="AG34"/>
  <c r="AG33"/>
  <c r="AW83" i="9"/>
  <c r="AU83"/>
  <c r="AM83"/>
  <c r="AK83"/>
  <c r="AW82"/>
  <c r="AU80"/>
  <c r="AK80"/>
  <c r="AW81"/>
  <c r="AU81"/>
  <c r="AM81"/>
  <c r="AK81"/>
  <c r="AM79"/>
  <c r="AK79"/>
  <c r="AW79"/>
  <c r="AU79"/>
  <c r="AW78"/>
  <c r="AM78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2" i="9"/>
  <c r="AU62"/>
  <c r="AU48"/>
  <c r="AM62"/>
  <c r="AK62"/>
  <c r="AK30" i="27"/>
  <c r="W22" i="29"/>
  <c r="W21"/>
  <c r="W20"/>
  <c r="W19"/>
  <c r="W18"/>
  <c r="AW77" i="9"/>
  <c r="AK77"/>
  <c r="AK29" i="27"/>
  <c r="AG29"/>
  <c r="AK28"/>
  <c r="W16" i="29"/>
  <c r="AK27" i="27"/>
  <c r="AG27"/>
  <c r="AK26"/>
  <c r="W17" i="29"/>
  <c r="AK25" i="27"/>
  <c r="AG25"/>
  <c r="AK24"/>
  <c r="AC36" i="28"/>
  <c r="AB35"/>
  <c r="AA35"/>
  <c r="Y35" s="1"/>
  <c r="Z35"/>
  <c r="V35"/>
  <c r="AB36"/>
  <c r="Z36"/>
  <c r="V36"/>
  <c r="AA36"/>
  <c r="Y36" s="1"/>
  <c r="AC33"/>
  <c r="AB33"/>
  <c r="M22" i="14"/>
  <c r="E24" i="28"/>
  <c r="E58" i="27"/>
  <c r="E23" i="28"/>
  <c r="E57" i="27"/>
  <c r="AG22"/>
  <c r="AK23"/>
  <c r="AG23"/>
  <c r="AC34" i="28"/>
  <c r="AB34"/>
  <c r="Z34"/>
  <c r="V34"/>
  <c r="W34"/>
  <c r="U34" s="1"/>
  <c r="Z33"/>
  <c r="W33"/>
  <c r="U33" s="1"/>
  <c r="V33"/>
  <c r="Z31"/>
  <c r="AD31"/>
  <c r="AC31"/>
  <c r="AB31"/>
  <c r="W31"/>
  <c r="U31" s="1"/>
  <c r="V31"/>
  <c r="Z32"/>
  <c r="AC32"/>
  <c r="AB32"/>
  <c r="W32"/>
  <c r="U32" s="1"/>
  <c r="V32"/>
  <c r="AD32"/>
  <c r="Z30"/>
  <c r="V30"/>
  <c r="W30"/>
  <c r="U30" s="1"/>
  <c r="AB30"/>
  <c r="AC30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5" i="9"/>
  <c r="E38" i="27"/>
  <c r="F26" i="9"/>
  <c r="E37" i="27"/>
  <c r="E3" i="29"/>
  <c r="E35" i="27"/>
  <c r="E36"/>
  <c r="AK6"/>
  <c r="AG6"/>
  <c r="AK5"/>
  <c r="W4" i="29"/>
  <c r="W3"/>
  <c r="AW76" i="9"/>
  <c r="AU76"/>
  <c r="AK75"/>
  <c r="AM76"/>
  <c r="AK76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L97" s="1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3" i="9"/>
  <c r="AU73"/>
  <c r="AM73"/>
  <c r="AK73"/>
  <c r="AK18"/>
  <c r="AM31"/>
  <c r="AK70"/>
  <c r="AU31"/>
  <c r="AM74"/>
  <c r="AK74"/>
  <c r="AM72"/>
  <c r="AW72"/>
  <c r="AU72"/>
  <c r="AW74"/>
  <c r="AU74"/>
  <c r="AK69"/>
  <c r="AK71"/>
  <c r="AM71"/>
  <c r="AW70"/>
  <c r="AW71"/>
  <c r="AU71"/>
  <c r="AU65"/>
  <c r="AW69"/>
  <c r="AW67"/>
  <c r="AK68"/>
  <c r="AM68"/>
  <c r="AM67"/>
  <c r="AW68"/>
  <c r="AU68"/>
  <c r="AM66"/>
  <c r="AK66"/>
  <c r="AW63"/>
  <c r="AM65"/>
  <c r="AW66"/>
  <c r="AU66"/>
  <c r="AK64"/>
  <c r="AM64"/>
  <c r="AW64"/>
  <c r="AU64"/>
  <c r="AK63"/>
  <c r="AW53"/>
  <c r="AW34"/>
  <c r="AU34"/>
  <c r="AU32"/>
  <c r="AW32"/>
  <c r="AU33"/>
  <c r="AW33"/>
  <c r="AM33"/>
  <c r="AK33"/>
  <c r="AM32"/>
  <c r="AK32"/>
  <c r="AK53"/>
  <c r="AK34"/>
  <c r="AM34"/>
  <c r="AM58"/>
  <c r="AK61"/>
  <c r="AM61"/>
  <c r="AW61"/>
  <c r="AU61"/>
  <c r="AK60"/>
  <c r="AW60"/>
  <c r="AU57"/>
  <c r="AW59"/>
  <c r="AU59"/>
  <c r="AW58"/>
  <c r="AK59"/>
  <c r="AM59"/>
  <c r="AM57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A97" s="1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Y79" i="28" l="1"/>
  <c r="Y81"/>
  <c r="Y82"/>
  <c r="Y80"/>
  <c r="X80"/>
  <c r="T82"/>
  <c r="T79"/>
  <c r="Y78"/>
  <c r="X79"/>
  <c r="X82"/>
  <c r="T81"/>
  <c r="X81"/>
  <c r="T80"/>
  <c r="X78"/>
  <c r="U78"/>
  <c r="T78"/>
  <c r="K97" i="27"/>
  <c r="Y76" i="28"/>
  <c r="U77"/>
  <c r="X77"/>
  <c r="U76"/>
  <c r="T77"/>
  <c r="X76"/>
  <c r="T76"/>
  <c r="T25" i="19"/>
  <c r="T24"/>
  <c r="Y75" i="28"/>
  <c r="X75"/>
  <c r="T75"/>
  <c r="Y73"/>
  <c r="Y74"/>
  <c r="U73"/>
  <c r="U74"/>
  <c r="X74"/>
  <c r="X73"/>
  <c r="T74"/>
  <c r="T73"/>
  <c r="X72"/>
  <c r="U72"/>
  <c r="T72"/>
  <c r="U71"/>
  <c r="X71"/>
  <c r="T71"/>
  <c r="T21" i="19"/>
  <c r="M101"/>
  <c r="H101"/>
  <c r="T22"/>
  <c r="L96" i="27"/>
  <c r="A96"/>
  <c r="K96"/>
  <c r="A95"/>
  <c r="L95"/>
  <c r="D15" i="29"/>
  <c r="J15" s="1"/>
  <c r="A15"/>
  <c r="A31" i="9"/>
  <c r="A30"/>
  <c r="L89" i="27"/>
  <c r="L91"/>
  <c r="K95"/>
  <c r="L90"/>
  <c r="U70" i="28"/>
  <c r="T20" i="19"/>
  <c r="K90" i="27"/>
  <c r="T19" i="19"/>
  <c r="T23"/>
  <c r="L93" i="27"/>
  <c r="A90"/>
  <c r="K89"/>
  <c r="A91"/>
  <c r="A89"/>
  <c r="K91"/>
  <c r="L94"/>
  <c r="U68" i="28"/>
  <c r="U69"/>
  <c r="X70"/>
  <c r="K94" i="27"/>
  <c r="T70" i="28"/>
  <c r="X69"/>
  <c r="T69"/>
  <c r="X68"/>
  <c r="T68"/>
  <c r="U67"/>
  <c r="U66"/>
  <c r="X67"/>
  <c r="Y65"/>
  <c r="L92" i="27"/>
  <c r="A94"/>
  <c r="A92"/>
  <c r="K93"/>
  <c r="A93"/>
  <c r="K92"/>
  <c r="A88"/>
  <c r="T67" i="28"/>
  <c r="U65"/>
  <c r="X66"/>
  <c r="T66"/>
  <c r="X65"/>
  <c r="T65"/>
  <c r="Y64"/>
  <c r="Y62"/>
  <c r="X64"/>
  <c r="U64"/>
  <c r="Y63"/>
  <c r="U63"/>
  <c r="U62"/>
  <c r="T64"/>
  <c r="X63"/>
  <c r="T62"/>
  <c r="T63"/>
  <c r="X62"/>
  <c r="Y61"/>
  <c r="U61"/>
  <c r="X61"/>
  <c r="T61"/>
  <c r="L88" i="27"/>
  <c r="A87"/>
  <c r="K88"/>
  <c r="Y60" i="28"/>
  <c r="U60"/>
  <c r="X60"/>
  <c r="T60"/>
  <c r="L87" i="27"/>
  <c r="K87"/>
  <c r="T18" i="19"/>
  <c r="T17"/>
  <c r="K85" i="27"/>
  <c r="K86"/>
  <c r="L86"/>
  <c r="A86"/>
  <c r="Y58" i="28"/>
  <c r="Y59"/>
  <c r="U57"/>
  <c r="X57"/>
  <c r="Y57"/>
  <c r="T59"/>
  <c r="T58"/>
  <c r="T57"/>
  <c r="X59"/>
  <c r="X58"/>
  <c r="A85" i="27"/>
  <c r="L85"/>
  <c r="L84"/>
  <c r="Y56" i="28"/>
  <c r="U56"/>
  <c r="X56"/>
  <c r="T56"/>
  <c r="M100" i="19"/>
  <c r="M99"/>
  <c r="H100"/>
  <c r="H99"/>
  <c r="K83" i="27"/>
  <c r="L83"/>
  <c r="K84"/>
  <c r="A84"/>
  <c r="A83"/>
  <c r="L82"/>
  <c r="T16" i="19"/>
  <c r="T15"/>
  <c r="M98"/>
  <c r="H98"/>
  <c r="Y52" i="28"/>
  <c r="K82" i="27"/>
  <c r="A82"/>
  <c r="L81"/>
  <c r="A81"/>
  <c r="Y53" i="28"/>
  <c r="Y55"/>
  <c r="X55"/>
  <c r="T55"/>
  <c r="Y54"/>
  <c r="X54"/>
  <c r="X53"/>
  <c r="T54"/>
  <c r="T51"/>
  <c r="Y51"/>
  <c r="T53"/>
  <c r="T52"/>
  <c r="X52"/>
  <c r="X51"/>
  <c r="U51"/>
  <c r="X50"/>
  <c r="U50"/>
  <c r="K81" i="27"/>
  <c r="D14" i="29"/>
  <c r="J14" s="1"/>
  <c r="A14"/>
  <c r="T50" i="28"/>
  <c r="Y49"/>
  <c r="T49"/>
  <c r="U49"/>
  <c r="Y48"/>
  <c r="X49"/>
  <c r="U48"/>
  <c r="T48"/>
  <c r="X48"/>
  <c r="K79" i="27"/>
  <c r="A80"/>
  <c r="T13" i="19"/>
  <c r="T14"/>
  <c r="M97"/>
  <c r="M96"/>
  <c r="H96"/>
  <c r="H97"/>
  <c r="Y47" i="28"/>
  <c r="X47"/>
  <c r="U17"/>
  <c r="T47"/>
  <c r="Y46"/>
  <c r="X46"/>
  <c r="T46"/>
  <c r="Y45"/>
  <c r="X45"/>
  <c r="U13"/>
  <c r="T45"/>
  <c r="U43"/>
  <c r="K80" i="27"/>
  <c r="L80"/>
  <c r="L78"/>
  <c r="A79"/>
  <c r="L79"/>
  <c r="A78"/>
  <c r="Y44" i="28"/>
  <c r="X44"/>
  <c r="T44"/>
  <c r="X43"/>
  <c r="Y43"/>
  <c r="T43"/>
  <c r="K78" i="27"/>
  <c r="A77"/>
  <c r="L76"/>
  <c r="K77"/>
  <c r="L77"/>
  <c r="A76"/>
  <c r="K76"/>
  <c r="K74"/>
  <c r="A75"/>
  <c r="L75"/>
  <c r="A74"/>
  <c r="L74"/>
  <c r="K75"/>
  <c r="U41" i="28"/>
  <c r="X42"/>
  <c r="Y41"/>
  <c r="T42"/>
  <c r="Y42"/>
  <c r="X41"/>
  <c r="T41"/>
  <c r="X40"/>
  <c r="L71" i="27"/>
  <c r="Y40" i="28"/>
  <c r="X39"/>
  <c r="T40"/>
  <c r="Y39"/>
  <c r="T39"/>
  <c r="L73" i="27"/>
  <c r="A73"/>
  <c r="K73"/>
  <c r="A71"/>
  <c r="A72"/>
  <c r="K72"/>
  <c r="L72"/>
  <c r="K71"/>
  <c r="M95" i="19"/>
  <c r="H95"/>
  <c r="X38" i="28"/>
  <c r="K70" i="27"/>
  <c r="A70"/>
  <c r="L70"/>
  <c r="Y38" i="28"/>
  <c r="T12" i="19"/>
  <c r="M94"/>
  <c r="H94"/>
  <c r="A29" i="9"/>
  <c r="D13" i="29"/>
  <c r="J13" s="1"/>
  <c r="EE9" i="9" s="1"/>
  <c r="A13" i="29"/>
  <c r="T38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7" i="28"/>
  <c r="T37"/>
  <c r="Y37"/>
  <c r="U37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M23" s="1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6" i="28"/>
  <c r="T8" i="19"/>
  <c r="T7"/>
  <c r="A57" i="27"/>
  <c r="L58"/>
  <c r="U35" i="28"/>
  <c r="X36"/>
  <c r="T36"/>
  <c r="X35"/>
  <c r="T35"/>
  <c r="A58" i="27"/>
  <c r="K58"/>
  <c r="M91" i="19"/>
  <c r="M92"/>
  <c r="H91"/>
  <c r="H92"/>
  <c r="K57" i="27"/>
  <c r="T34" i="28"/>
  <c r="Y34"/>
  <c r="Y33"/>
  <c r="X34"/>
  <c r="X33"/>
  <c r="T33"/>
  <c r="Y32"/>
  <c r="L57" i="27"/>
  <c r="T32" i="28"/>
  <c r="Y31"/>
  <c r="X32"/>
  <c r="X31"/>
  <c r="T31"/>
  <c r="Y30"/>
  <c r="X30"/>
  <c r="T30"/>
  <c r="A56" i="27"/>
  <c r="M90" i="19"/>
  <c r="H90"/>
  <c r="L56" i="27"/>
  <c r="K55"/>
  <c r="K56"/>
  <c r="Y29" i="28"/>
  <c r="Y27"/>
  <c r="Y28"/>
  <c r="X29"/>
  <c r="X28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31" i="9" l="1"/>
  <c r="E31" s="1"/>
  <c r="C30"/>
  <c r="E30" s="1"/>
  <c r="V23" i="29"/>
  <c r="T23" s="1"/>
  <c r="U23"/>
  <c r="AA23"/>
  <c r="AB23"/>
  <c r="Y23"/>
  <c r="AC23"/>
  <c r="X23"/>
  <c r="C29" i="9"/>
  <c r="E29" s="1"/>
  <c r="ED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3" s="1"/>
  <c r="AX73" s="1"/>
  <c r="C23"/>
  <c r="E23" s="1"/>
  <c r="C24"/>
  <c r="E24" s="1"/>
  <c r="C22"/>
  <c r="E22" s="1"/>
  <c r="C11"/>
  <c r="E11" s="1"/>
  <c r="C21"/>
  <c r="E21" s="1"/>
  <c r="C20"/>
  <c r="E20" s="1"/>
  <c r="R62" s="1"/>
  <c r="AX62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31" i="9" l="1"/>
  <c r="R89"/>
  <c r="AX89" s="1"/>
  <c r="K30"/>
  <c r="R88"/>
  <c r="AX88" s="1"/>
  <c r="K29"/>
  <c r="R87"/>
  <c r="AX87" s="1"/>
  <c r="R86"/>
  <c r="AX86" s="1"/>
  <c r="R84"/>
  <c r="AX84" s="1"/>
  <c r="R85"/>
  <c r="AX85" s="1"/>
  <c r="K28"/>
  <c r="R81"/>
  <c r="AX81" s="1"/>
  <c r="R82"/>
  <c r="AX82" s="1"/>
  <c r="R83"/>
  <c r="AX83" s="1"/>
  <c r="K27"/>
  <c r="R78"/>
  <c r="AX78" s="1"/>
  <c r="R79"/>
  <c r="AX79" s="1"/>
  <c r="R80"/>
  <c r="AX80" s="1"/>
  <c r="ED6"/>
  <c r="ED8"/>
  <c r="ED7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8"/>
  <c r="EE7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7"/>
  <c r="AX77" s="1"/>
  <c r="R76"/>
  <c r="AX76" s="1"/>
  <c r="R75"/>
  <c r="AX75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4"/>
  <c r="AX74" s="1"/>
  <c r="R72"/>
  <c r="AX72" s="1"/>
  <c r="R71"/>
  <c r="AX71" s="1"/>
  <c r="K24"/>
  <c r="R70"/>
  <c r="AX70" s="1"/>
  <c r="K23"/>
  <c r="R69"/>
  <c r="AX69" s="1"/>
  <c r="R68"/>
  <c r="AX68" s="1"/>
  <c r="K22"/>
  <c r="R66"/>
  <c r="AX66" s="1"/>
  <c r="R67"/>
  <c r="AX67" s="1"/>
  <c r="R65"/>
  <c r="AX65" s="1"/>
  <c r="K21"/>
  <c r="R64"/>
  <c r="AX64" s="1"/>
  <c r="R63"/>
  <c r="AX63" s="1"/>
  <c r="K11"/>
  <c r="R33"/>
  <c r="AX33" s="1"/>
  <c r="R32"/>
  <c r="AX32" s="1"/>
  <c r="R34"/>
  <c r="AX34" s="1"/>
  <c r="K20"/>
  <c r="R59"/>
  <c r="AX59" s="1"/>
  <c r="R61"/>
  <c r="AX61" s="1"/>
  <c r="R60"/>
  <c r="AX60" s="1"/>
  <c r="R58"/>
  <c r="AX58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S23"/>
  <c r="AS38"/>
  <c r="AS40"/>
  <c r="AS39"/>
  <c r="AS41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15"/>
  <c r="P40"/>
  <c r="P47"/>
  <c r="P21"/>
  <c r="N30"/>
  <c r="N10"/>
  <c r="P60"/>
  <c r="P24"/>
  <c r="P31"/>
  <c r="P53"/>
  <c r="N48"/>
  <c r="P25"/>
  <c r="P18"/>
  <c r="P22"/>
  <c r="P11"/>
  <c r="N52"/>
  <c r="N42"/>
  <c r="P2"/>
  <c r="P35"/>
  <c r="P19"/>
  <c r="P51"/>
  <c r="P3"/>
  <c r="N5"/>
  <c r="P38"/>
  <c r="P57"/>
  <c r="N11"/>
  <c r="P50"/>
  <c r="N45"/>
  <c r="N59"/>
  <c r="P27"/>
  <c r="P43"/>
  <c r="N23"/>
  <c r="N3"/>
  <c r="P13"/>
  <c r="N28"/>
  <c r="P7"/>
  <c r="N39"/>
  <c r="N8"/>
  <c r="P54"/>
  <c r="N29"/>
  <c r="N4"/>
  <c r="N14"/>
  <c r="N55"/>
  <c r="N34"/>
  <c r="N26"/>
  <c r="P58"/>
  <c r="N56"/>
  <c r="N37"/>
  <c r="P20"/>
  <c r="N16"/>
  <c r="N46"/>
  <c r="N32"/>
  <c r="N12"/>
  <c r="N6"/>
  <c r="P33"/>
  <c r="P36"/>
  <c r="P41"/>
  <c r="P49"/>
  <c r="N17"/>
  <c r="P9"/>
  <c r="N61"/>
  <c r="P44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36"/>
  <c r="P32"/>
  <c r="N9"/>
  <c r="N49"/>
  <c r="N57"/>
  <c r="P37"/>
  <c r="N35"/>
  <c r="P61"/>
  <c r="N47"/>
  <c r="N20"/>
  <c r="P42"/>
  <c r="N24"/>
  <c r="P56"/>
  <c r="N25"/>
  <c r="N19"/>
  <c r="P34"/>
  <c r="P16"/>
  <c r="P30"/>
  <c r="N62"/>
  <c r="P45"/>
  <c r="P6"/>
  <c r="P28"/>
  <c r="P12"/>
  <c r="N43"/>
  <c r="N53"/>
  <c r="P59"/>
  <c r="N21"/>
  <c r="P46"/>
  <c r="N33"/>
  <c r="N58"/>
  <c r="P4"/>
  <c r="N50"/>
  <c r="P29"/>
  <c r="N44"/>
  <c r="N18"/>
  <c r="N41"/>
  <c r="N15"/>
  <c r="N51"/>
  <c r="N7"/>
  <c r="P23"/>
  <c r="N60"/>
  <c r="P10"/>
  <c r="P8"/>
  <c r="P14"/>
  <c r="P39"/>
  <c r="N13"/>
  <c r="P52"/>
  <c r="N31"/>
  <c r="P48"/>
  <c r="N54"/>
  <c r="P26"/>
  <c r="N38"/>
  <c r="N22"/>
  <c r="P5"/>
  <c r="P17"/>
  <c r="P55"/>
  <c r="N27"/>
  <c r="N40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96" i="27" l="1"/>
  <c r="O95"/>
  <c r="O85"/>
  <c r="P84"/>
  <c r="P80"/>
  <c r="O79"/>
  <c r="P77"/>
  <c r="P76"/>
  <c r="P75"/>
  <c r="P73"/>
  <c r="P72"/>
  <c r="O70"/>
  <c r="O69"/>
  <c r="O68"/>
  <c r="O67"/>
  <c r="P65"/>
  <c r="O64"/>
  <c r="P63"/>
  <c r="O62"/>
  <c r="P60"/>
  <c r="P59"/>
  <c r="P58"/>
  <c r="P57"/>
  <c r="P56"/>
  <c r="P55"/>
  <c r="P54"/>
  <c r="P53"/>
  <c r="P52"/>
  <c r="P51"/>
  <c r="P50"/>
  <c r="P49"/>
  <c r="O48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O86" i="27" l="1"/>
  <c r="M65" i="31"/>
  <c r="L66"/>
  <c r="J67"/>
  <c r="K67" s="1"/>
  <c r="N64"/>
  <c r="N65"/>
  <c r="O64" l="1"/>
  <c r="O65"/>
  <c r="M66"/>
  <c r="L67"/>
  <c r="J68"/>
  <c r="K68" s="1"/>
  <c r="P65"/>
  <c r="N66"/>
  <c r="O87" i="27" l="1"/>
  <c r="P71"/>
  <c r="O66" i="31"/>
  <c r="M67"/>
  <c r="L68"/>
  <c r="J69"/>
  <c r="K69" s="1"/>
  <c r="P66"/>
  <c r="N67"/>
  <c r="O89" i="27" l="1"/>
  <c r="O67" i="31"/>
  <c r="M68"/>
  <c r="L69"/>
  <c r="J70"/>
  <c r="K70" s="1"/>
  <c r="P67"/>
  <c r="N68"/>
  <c r="O90" i="27" l="1"/>
  <c r="O68" i="31"/>
  <c r="M69"/>
  <c r="L70"/>
  <c r="J71"/>
  <c r="K71" s="1"/>
  <c r="P68"/>
  <c r="N69"/>
  <c r="O91" i="27" l="1"/>
  <c r="O69" i="3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45" i="27" l="1"/>
  <c r="P46"/>
  <c r="O78" i="31"/>
  <c r="M79"/>
  <c r="L80"/>
  <c r="J81"/>
  <c r="K81" s="1"/>
  <c r="P78"/>
  <c r="N79"/>
  <c r="O47" i="27" l="1"/>
  <c r="P48"/>
  <c r="O79" i="31"/>
  <c r="M80"/>
  <c r="L81"/>
  <c r="J82"/>
  <c r="K82" s="1"/>
  <c r="P79"/>
  <c r="N80"/>
  <c r="P62" i="27" l="1"/>
  <c r="O80" i="31"/>
  <c r="M81"/>
  <c r="L82"/>
  <c r="J83"/>
  <c r="K83" s="1"/>
  <c r="P80"/>
  <c r="N81"/>
  <c r="P64" i="27" l="1"/>
  <c r="O81" i="31"/>
  <c r="M82"/>
  <c r="L83"/>
  <c r="J84"/>
  <c r="K84" s="1"/>
  <c r="P81"/>
  <c r="N82"/>
  <c r="P66" i="27" l="1"/>
  <c r="O82" i="31"/>
  <c r="M83"/>
  <c r="L84"/>
  <c r="J85"/>
  <c r="K85" s="1"/>
  <c r="P82"/>
  <c r="N83"/>
  <c r="P67" i="27" l="1"/>
  <c r="O83" i="31"/>
  <c r="M84"/>
  <c r="L85"/>
  <c r="J86"/>
  <c r="K86" s="1"/>
  <c r="P83"/>
  <c r="N84"/>
  <c r="P68" i="27" l="1"/>
  <c r="O84" i="31"/>
  <c r="M85"/>
  <c r="L86"/>
  <c r="J87"/>
  <c r="K87" s="1"/>
  <c r="P84"/>
  <c r="N85"/>
  <c r="P69" i="27" l="1"/>
  <c r="O85" i="31"/>
  <c r="M86"/>
  <c r="L87"/>
  <c r="J88"/>
  <c r="K88" s="1"/>
  <c r="P85"/>
  <c r="N86"/>
  <c r="P70" i="27" l="1"/>
  <c r="O86" i="31"/>
  <c r="M87"/>
  <c r="L88"/>
  <c r="J89"/>
  <c r="K89" s="1"/>
  <c r="P86"/>
  <c r="N87"/>
  <c r="P81" i="27" l="1"/>
  <c r="O87" i="3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37" i="27" l="1"/>
  <c r="O92" i="31"/>
  <c r="M93"/>
  <c r="L94"/>
  <c r="J95"/>
  <c r="K95" s="1"/>
  <c r="P92"/>
  <c r="N93"/>
  <c r="O93" l="1"/>
  <c r="M94"/>
  <c r="L95"/>
  <c r="J96"/>
  <c r="K96" s="1"/>
  <c r="P93"/>
  <c r="N94"/>
  <c r="O35" i="27" l="1"/>
  <c r="O36"/>
  <c r="O94" i="3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40" i="27" l="1"/>
  <c r="O97" i="31"/>
  <c r="M98"/>
  <c r="L99"/>
  <c r="J100"/>
  <c r="K100" s="1"/>
  <c r="P97"/>
  <c r="N98"/>
  <c r="O50" i="27" l="1"/>
  <c r="O49"/>
  <c r="O98" i="31"/>
  <c r="M99"/>
  <c r="L100"/>
  <c r="J101"/>
  <c r="K101" s="1"/>
  <c r="P98"/>
  <c r="N99"/>
  <c r="O99" l="1"/>
  <c r="M100"/>
  <c r="L101"/>
  <c r="J102"/>
  <c r="K102" s="1"/>
  <c r="P99"/>
  <c r="N100"/>
  <c r="O60" i="27" l="1"/>
  <c r="O100" i="3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39" i="27" l="1"/>
  <c r="O104" i="31"/>
  <c r="M105"/>
  <c r="L106"/>
  <c r="J107"/>
  <c r="K107" s="1"/>
  <c r="P104"/>
  <c r="N105"/>
  <c r="O41" i="27" l="1"/>
  <c r="O105" i="3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N478"/>
  <c r="P477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O97" i="27" l="1"/>
  <c r="P83"/>
  <c r="P96"/>
  <c r="P95"/>
  <c r="AA89" i="9"/>
  <c r="AA88"/>
  <c r="O88" i="27"/>
  <c r="O94"/>
  <c r="O93"/>
  <c r="O92"/>
  <c r="O84"/>
  <c r="O83"/>
  <c r="P82"/>
  <c r="O82"/>
  <c r="O81"/>
  <c r="AA87" i="9"/>
  <c r="AG87" s="1"/>
  <c r="Q80" i="27"/>
  <c r="O80"/>
  <c r="O78"/>
  <c r="O77"/>
  <c r="Q76"/>
  <c r="O76"/>
  <c r="O75"/>
  <c r="O74"/>
  <c r="O73"/>
  <c r="O72"/>
  <c r="O71"/>
  <c r="AA86" i="9"/>
  <c r="AA85"/>
  <c r="AA83"/>
  <c r="AC83" s="1"/>
  <c r="AA84"/>
  <c r="AA81"/>
  <c r="AF81" s="1"/>
  <c r="AA82"/>
  <c r="AA80"/>
  <c r="AA79"/>
  <c r="AA78"/>
  <c r="AA62"/>
  <c r="AC62" s="1"/>
  <c r="AA48"/>
  <c r="AC48" s="1"/>
  <c r="O66" i="27"/>
  <c r="Q65"/>
  <c r="O65"/>
  <c r="AA77" i="9"/>
  <c r="Z77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5" i="9"/>
  <c r="AC75" s="1"/>
  <c r="AA76"/>
  <c r="O34" i="27"/>
  <c r="AA11" i="9"/>
  <c r="AA12"/>
  <c r="AA10"/>
  <c r="AA6"/>
  <c r="AF6" s="1"/>
  <c r="AA2"/>
  <c r="AH2" s="1"/>
  <c r="O4" i="27"/>
  <c r="O3"/>
  <c r="AA73" i="9"/>
  <c r="AG73" s="1"/>
  <c r="AA18"/>
  <c r="AA31"/>
  <c r="AF31" s="1"/>
  <c r="AA72"/>
  <c r="AC72" s="1"/>
  <c r="AA74"/>
  <c r="AA71"/>
  <c r="AA69"/>
  <c r="AA68"/>
  <c r="AA67"/>
  <c r="AA66"/>
  <c r="AA65"/>
  <c r="AA64"/>
  <c r="AA63"/>
  <c r="AA33"/>
  <c r="AA34"/>
  <c r="AA32"/>
  <c r="AA61"/>
  <c r="Z61" s="1"/>
  <c r="AA53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J5" i="25"/>
  <c r="Q5"/>
  <c r="E5"/>
  <c r="B9"/>
  <c r="D5"/>
  <c r="M5"/>
  <c r="H5"/>
  <c r="K5"/>
  <c r="P5"/>
  <c r="N5"/>
  <c r="O5"/>
  <c r="L5"/>
  <c r="AH89" i="9" l="1"/>
  <c r="AI89"/>
  <c r="Z89"/>
  <c r="AG89"/>
  <c r="AF89"/>
  <c r="AC89"/>
  <c r="AI88"/>
  <c r="Z88"/>
  <c r="AH88"/>
  <c r="AC88"/>
  <c r="AG88"/>
  <c r="AF88"/>
  <c r="AC87"/>
  <c r="Z87"/>
  <c r="AH87"/>
  <c r="AF87"/>
  <c r="AI87"/>
  <c r="AG86"/>
  <c r="AI86"/>
  <c r="AF86"/>
  <c r="Z86"/>
  <c r="AH86"/>
  <c r="AC86"/>
  <c r="AG85"/>
  <c r="AF85"/>
  <c r="Z85"/>
  <c r="AH85"/>
  <c r="AC85"/>
  <c r="AI85"/>
  <c r="Z83"/>
  <c r="AH83"/>
  <c r="AF83"/>
  <c r="AI84"/>
  <c r="Z84"/>
  <c r="AH84"/>
  <c r="AG84"/>
  <c r="AF84"/>
  <c r="AC84"/>
  <c r="AI83"/>
  <c r="AG83"/>
  <c r="AH81"/>
  <c r="AC81"/>
  <c r="Z81"/>
  <c r="AI82"/>
  <c r="Z82"/>
  <c r="AH82"/>
  <c r="AG82"/>
  <c r="AC82"/>
  <c r="AF82"/>
  <c r="AG81"/>
  <c r="AI81"/>
  <c r="AI80"/>
  <c r="AF80"/>
  <c r="Z80"/>
  <c r="AH80"/>
  <c r="AC80"/>
  <c r="AG80"/>
  <c r="AC79"/>
  <c r="AI79"/>
  <c r="Z79"/>
  <c r="AH79"/>
  <c r="AF79"/>
  <c r="AG79"/>
  <c r="AI78"/>
  <c r="AG78"/>
  <c r="AF78"/>
  <c r="Z78"/>
  <c r="AH78"/>
  <c r="AC78"/>
  <c r="AI62"/>
  <c r="AF62"/>
  <c r="Z62"/>
  <c r="AG62"/>
  <c r="AH62"/>
  <c r="AF48"/>
  <c r="AG48"/>
  <c r="AI48"/>
  <c r="Z48"/>
  <c r="AH48"/>
  <c r="AH77"/>
  <c r="AF77"/>
  <c r="AG77"/>
  <c r="AC77"/>
  <c r="AI77"/>
  <c r="AI75"/>
  <c r="AG75"/>
  <c r="AF75"/>
  <c r="Z75"/>
  <c r="AI76"/>
  <c r="AG76"/>
  <c r="AF76"/>
  <c r="Z76"/>
  <c r="AH76"/>
  <c r="AC76"/>
  <c r="AH75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3"/>
  <c r="Z73"/>
  <c r="AI73"/>
  <c r="AC73"/>
  <c r="AH73"/>
  <c r="AG18"/>
  <c r="AI18"/>
  <c r="AF18"/>
  <c r="Z18"/>
  <c r="AH18"/>
  <c r="AC18"/>
  <c r="AI31"/>
  <c r="AG31"/>
  <c r="AH31"/>
  <c r="AC31"/>
  <c r="Z31"/>
  <c r="AI72"/>
  <c r="Z72"/>
  <c r="AG72"/>
  <c r="AH72"/>
  <c r="AF72"/>
  <c r="AI74"/>
  <c r="AF74"/>
  <c r="Z74"/>
  <c r="AH74"/>
  <c r="AG74"/>
  <c r="AC74"/>
  <c r="AI71"/>
  <c r="AC71"/>
  <c r="Z71"/>
  <c r="AH71"/>
  <c r="AG71"/>
  <c r="AF71"/>
  <c r="AI70"/>
  <c r="AH70"/>
  <c r="AG70"/>
  <c r="AF70"/>
  <c r="AI69"/>
  <c r="Z69"/>
  <c r="AH69"/>
  <c r="AC69"/>
  <c r="AG69"/>
  <c r="AF69"/>
  <c r="AF68"/>
  <c r="AI68"/>
  <c r="Z68"/>
  <c r="AH68"/>
  <c r="AG68"/>
  <c r="AC68"/>
  <c r="AI67"/>
  <c r="AG67"/>
  <c r="Z67"/>
  <c r="AH67"/>
  <c r="AF67"/>
  <c r="AC67"/>
  <c r="AG66"/>
  <c r="AF66"/>
  <c r="AI66"/>
  <c r="Z66"/>
  <c r="AH66"/>
  <c r="AC66"/>
  <c r="AI65"/>
  <c r="AG65"/>
  <c r="Z65"/>
  <c r="AH65"/>
  <c r="AF65"/>
  <c r="AC65"/>
  <c r="AF64"/>
  <c r="AI64"/>
  <c r="Z64"/>
  <c r="AH64"/>
  <c r="AG64"/>
  <c r="AC64"/>
  <c r="AI63"/>
  <c r="Z63"/>
  <c r="AH63"/>
  <c r="AC63"/>
  <c r="AG63"/>
  <c r="AF63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K9"/>
  <c r="I5"/>
  <c r="B10"/>
  <c r="G5"/>
  <c r="F5"/>
  <c r="D9"/>
  <c r="H9"/>
  <c r="J9"/>
  <c r="E9"/>
  <c r="R10" l="1"/>
  <c r="O10"/>
  <c r="P10"/>
  <c r="N10"/>
  <c r="Q10"/>
  <c r="L10"/>
  <c r="M10"/>
  <c r="K10"/>
  <c r="H10"/>
  <c r="F9"/>
  <c r="F10"/>
  <c r="G10"/>
  <c r="I10"/>
  <c r="E10"/>
  <c r="D10"/>
  <c r="B11"/>
  <c r="I9"/>
  <c r="G9"/>
  <c r="J10"/>
  <c r="R11" l="1"/>
  <c r="O11"/>
  <c r="N11"/>
  <c r="Q11"/>
  <c r="P11"/>
  <c r="M11"/>
  <c r="L11"/>
  <c r="K11"/>
  <c r="H11"/>
  <c r="B12"/>
  <c r="G11"/>
  <c r="J11"/>
  <c r="I11"/>
  <c r="D11"/>
  <c r="F11"/>
  <c r="E11"/>
  <c r="R12" l="1"/>
  <c r="P12"/>
  <c r="N12"/>
  <c r="Q12"/>
  <c r="O12"/>
  <c r="M12"/>
  <c r="L12"/>
  <c r="K12"/>
  <c r="H12"/>
  <c r="J12"/>
  <c r="G12"/>
  <c r="F12"/>
  <c r="I12"/>
  <c r="B13"/>
  <c r="D12"/>
  <c r="E12"/>
  <c r="R13" l="1"/>
  <c r="Q13"/>
  <c r="P13"/>
  <c r="O13"/>
  <c r="N13"/>
  <c r="M13"/>
  <c r="L13"/>
  <c r="K13"/>
  <c r="J13"/>
  <c r="I13"/>
  <c r="H13"/>
  <c r="B14"/>
  <c r="D13"/>
  <c r="E13"/>
  <c r="F13"/>
  <c r="G13"/>
  <c r="R14" l="1"/>
  <c r="O14"/>
  <c r="P14"/>
  <c r="N14"/>
  <c r="Q14"/>
  <c r="M14"/>
  <c r="L14"/>
  <c r="K14"/>
  <c r="J14"/>
  <c r="G14"/>
  <c r="D14"/>
  <c r="E14"/>
  <c r="H14"/>
  <c r="B15"/>
  <c r="I14"/>
  <c r="F14"/>
  <c r="R15" l="1"/>
  <c r="P15"/>
  <c r="N15"/>
  <c r="O15"/>
  <c r="Q15"/>
  <c r="M15"/>
  <c r="L15"/>
  <c r="K15"/>
  <c r="J15"/>
  <c r="F15"/>
  <c r="I15"/>
  <c r="H15"/>
  <c r="G15"/>
  <c r="E15"/>
  <c r="D15"/>
  <c r="B16"/>
  <c r="R16" l="1"/>
  <c r="P16"/>
  <c r="L16"/>
  <c r="M16"/>
  <c r="O16"/>
  <c r="N16"/>
  <c r="Q16"/>
  <c r="K16"/>
  <c r="J16"/>
  <c r="H16"/>
  <c r="F16"/>
  <c r="G16"/>
  <c r="B17"/>
  <c r="D16"/>
  <c r="E16"/>
  <c r="I16"/>
  <c r="R17" l="1"/>
  <c r="Q17"/>
  <c r="L17"/>
  <c r="O17"/>
  <c r="P17"/>
  <c r="M17"/>
  <c r="N17"/>
  <c r="K17"/>
  <c r="J17"/>
  <c r="I17"/>
  <c r="F17"/>
  <c r="B18"/>
  <c r="G17"/>
  <c r="E17"/>
  <c r="D17"/>
  <c r="H17"/>
  <c r="R18" l="1"/>
  <c r="N18"/>
  <c r="Q18"/>
  <c r="L18"/>
  <c r="P18"/>
  <c r="M18"/>
  <c r="O18"/>
  <c r="K18"/>
  <c r="J18"/>
  <c r="I18"/>
  <c r="F18"/>
  <c r="G18"/>
  <c r="B19"/>
  <c r="H18"/>
  <c r="E18"/>
  <c r="D18"/>
  <c r="R19" l="1"/>
  <c r="M19"/>
  <c r="L19"/>
  <c r="Q19"/>
  <c r="P19"/>
  <c r="N19"/>
  <c r="O19"/>
  <c r="K19"/>
  <c r="J19"/>
  <c r="H19"/>
  <c r="F19"/>
  <c r="I19"/>
  <c r="B20"/>
  <c r="G19"/>
  <c r="D19"/>
  <c r="E19"/>
  <c r="R20" l="1"/>
  <c r="O20"/>
  <c r="Q20"/>
  <c r="N20"/>
  <c r="P20"/>
  <c r="M20"/>
  <c r="L20"/>
  <c r="K20"/>
  <c r="J20"/>
  <c r="F20"/>
  <c r="I20"/>
  <c r="D20"/>
  <c r="H20"/>
  <c r="B21"/>
  <c r="G20"/>
  <c r="E20"/>
  <c r="R21" l="1"/>
  <c r="M21"/>
  <c r="O21"/>
  <c r="Q21"/>
  <c r="N21"/>
  <c r="P21"/>
  <c r="L21"/>
  <c r="K21"/>
  <c r="J21"/>
  <c r="H21"/>
  <c r="G21"/>
  <c r="I21"/>
  <c r="B22"/>
  <c r="F21"/>
  <c r="E21"/>
  <c r="D21"/>
  <c r="R22" l="1"/>
  <c r="L22"/>
  <c r="N22"/>
  <c r="Q22"/>
  <c r="O22"/>
  <c r="M22"/>
  <c r="P22"/>
  <c r="K22"/>
  <c r="I22"/>
  <c r="E22"/>
  <c r="H22"/>
  <c r="D22"/>
  <c r="F22"/>
  <c r="J22"/>
  <c r="G22"/>
  <c r="B23"/>
  <c r="R23" l="1"/>
  <c r="Q23"/>
  <c r="L23"/>
  <c r="N23"/>
  <c r="M23"/>
  <c r="P23"/>
  <c r="O23"/>
  <c r="K23"/>
  <c r="H23"/>
  <c r="D23"/>
  <c r="B24"/>
  <c r="F23"/>
  <c r="I23"/>
  <c r="E23"/>
  <c r="G23"/>
  <c r="J23"/>
  <c r="R24" l="1"/>
  <c r="Q24"/>
  <c r="P24"/>
  <c r="O24"/>
  <c r="L24"/>
  <c r="N24"/>
  <c r="M24"/>
  <c r="K24"/>
  <c r="B25"/>
  <c r="I24"/>
  <c r="D24"/>
  <c r="F24"/>
  <c r="G24"/>
  <c r="H24"/>
  <c r="E24"/>
  <c r="J24"/>
  <c r="R25" l="1"/>
  <c r="P25"/>
  <c r="L25"/>
  <c r="O25"/>
  <c r="M25"/>
  <c r="Q25"/>
  <c r="N25"/>
  <c r="K25"/>
  <c r="J25"/>
  <c r="I25"/>
  <c r="B26"/>
  <c r="H25"/>
  <c r="D25"/>
  <c r="F25"/>
  <c r="G25"/>
  <c r="E25"/>
  <c r="R26" l="1"/>
  <c r="L26"/>
  <c r="O26"/>
  <c r="P26"/>
  <c r="M26"/>
  <c r="Q26"/>
  <c r="N26"/>
  <c r="K26"/>
  <c r="J26"/>
  <c r="F26"/>
  <c r="E26"/>
  <c r="I26"/>
  <c r="B27"/>
  <c r="H26"/>
  <c r="D26"/>
  <c r="G26"/>
  <c r="R27" l="1"/>
  <c r="Q27"/>
  <c r="N27"/>
  <c r="P27"/>
  <c r="O27"/>
  <c r="M27"/>
  <c r="L27"/>
  <c r="K27"/>
  <c r="J27"/>
  <c r="F27"/>
  <c r="I27"/>
  <c r="G27"/>
  <c r="H27"/>
  <c r="E27"/>
  <c r="B28"/>
  <c r="D27"/>
  <c r="R28" l="1"/>
  <c r="O28"/>
  <c r="N28"/>
  <c r="M28"/>
  <c r="P28"/>
  <c r="Q28"/>
  <c r="L28"/>
  <c r="K28"/>
  <c r="J28"/>
  <c r="F28"/>
  <c r="I28"/>
  <c r="D28"/>
  <c r="G28"/>
  <c r="H28"/>
  <c r="E28"/>
  <c r="B29"/>
  <c r="R29" l="1"/>
  <c r="M29"/>
  <c r="N29"/>
  <c r="Q29"/>
  <c r="L29"/>
  <c r="O29"/>
  <c r="P29"/>
  <c r="K29"/>
  <c r="J29"/>
  <c r="H29"/>
  <c r="I29"/>
  <c r="E29"/>
  <c r="G29"/>
  <c r="F29"/>
  <c r="D29"/>
  <c r="B30"/>
  <c r="R30" l="1"/>
  <c r="N30"/>
  <c r="L30"/>
  <c r="P30"/>
  <c r="Q30"/>
  <c r="M30"/>
  <c r="O30"/>
  <c r="K30"/>
  <c r="J30"/>
  <c r="F30"/>
  <c r="B31"/>
  <c r="D30"/>
  <c r="H30"/>
  <c r="I30"/>
  <c r="E30"/>
  <c r="G30"/>
  <c r="R31" l="1"/>
  <c r="N31"/>
  <c r="L31"/>
  <c r="Q31"/>
  <c r="M31"/>
  <c r="O31"/>
  <c r="P31"/>
  <c r="K31"/>
  <c r="J31"/>
  <c r="I31"/>
  <c r="D31"/>
  <c r="G31"/>
  <c r="F31"/>
  <c r="B32"/>
  <c r="E31"/>
  <c r="H31"/>
  <c r="R32" l="1"/>
  <c r="Q32"/>
  <c r="O32"/>
  <c r="L32"/>
  <c r="N32"/>
  <c r="M32"/>
  <c r="P32"/>
  <c r="K32"/>
  <c r="J32"/>
  <c r="G32"/>
  <c r="D32"/>
  <c r="I32"/>
  <c r="E32"/>
  <c r="B33"/>
  <c r="F32"/>
  <c r="H32"/>
  <c r="R33" l="1"/>
  <c r="O33"/>
  <c r="N33"/>
  <c r="L33"/>
  <c r="P33"/>
  <c r="Q33"/>
  <c r="M33"/>
  <c r="K33"/>
  <c r="J33"/>
  <c r="G33"/>
  <c r="F33"/>
  <c r="I33"/>
  <c r="E33"/>
  <c r="D33"/>
  <c r="B34"/>
  <c r="H33"/>
  <c r="R34" l="1"/>
  <c r="L34"/>
  <c r="O34"/>
  <c r="Q34"/>
  <c r="P34"/>
  <c r="N34"/>
  <c r="M34"/>
  <c r="K34"/>
  <c r="J34"/>
  <c r="G34"/>
  <c r="B35"/>
  <c r="F34"/>
  <c r="H34"/>
  <c r="D34"/>
  <c r="E34"/>
  <c r="I34"/>
  <c r="R35" l="1"/>
  <c r="Q35"/>
  <c r="M35"/>
  <c r="P35"/>
  <c r="L35"/>
  <c r="O35"/>
  <c r="N35"/>
  <c r="K35"/>
  <c r="F35"/>
  <c r="E35"/>
  <c r="G35"/>
  <c r="B36"/>
  <c r="I35"/>
  <c r="D35"/>
  <c r="H35"/>
  <c r="J35"/>
  <c r="R36" l="1"/>
  <c r="L36"/>
  <c r="Q36"/>
  <c r="O36"/>
  <c r="N36"/>
  <c r="P36"/>
  <c r="M36"/>
  <c r="K36"/>
  <c r="J36"/>
  <c r="F36"/>
  <c r="D36"/>
  <c r="I36"/>
  <c r="H36"/>
  <c r="G36"/>
  <c r="E36"/>
  <c r="B37"/>
  <c r="R37" l="1"/>
  <c r="N37"/>
  <c r="L37"/>
  <c r="Q37"/>
  <c r="P37"/>
  <c r="K37"/>
  <c r="O37"/>
  <c r="M37"/>
  <c r="I37"/>
  <c r="F37"/>
  <c r="H37"/>
  <c r="B38"/>
  <c r="G37"/>
  <c r="E37"/>
  <c r="J37"/>
  <c r="D37"/>
  <c r="Q38" l="1"/>
  <c r="K38"/>
  <c r="R38"/>
  <c r="N38"/>
  <c r="M38"/>
  <c r="O38"/>
  <c r="P38"/>
  <c r="L38"/>
  <c r="F38"/>
  <c r="B39"/>
  <c r="G38"/>
  <c r="I38"/>
  <c r="E38"/>
  <c r="J38"/>
  <c r="D38"/>
  <c r="H38"/>
  <c r="L39" l="1"/>
  <c r="N39"/>
  <c r="P39"/>
  <c r="M39"/>
  <c r="O39"/>
  <c r="K39"/>
  <c r="Q39"/>
  <c r="R39"/>
  <c r="F39"/>
  <c r="H39"/>
  <c r="D39"/>
  <c r="J39"/>
  <c r="B40"/>
  <c r="I39"/>
  <c r="E39"/>
  <c r="G39"/>
  <c r="O40" l="1"/>
  <c r="M40"/>
  <c r="L40"/>
  <c r="K40"/>
  <c r="R40"/>
  <c r="Q40"/>
  <c r="P40"/>
  <c r="N40"/>
  <c r="G40"/>
  <c r="D40"/>
  <c r="I40"/>
  <c r="H40"/>
  <c r="E40"/>
  <c r="F40"/>
  <c r="B41"/>
  <c r="J40"/>
  <c r="O41" l="1"/>
  <c r="K41"/>
  <c r="M41"/>
  <c r="R41"/>
  <c r="N41"/>
  <c r="L41"/>
  <c r="P41"/>
  <c r="Q41"/>
  <c r="G41"/>
  <c r="H41"/>
  <c r="F41"/>
  <c r="D41"/>
  <c r="I41"/>
  <c r="B42"/>
  <c r="E41"/>
  <c r="J41"/>
  <c r="M42" l="1"/>
  <c r="Q42"/>
  <c r="L42"/>
  <c r="P42"/>
  <c r="R42"/>
  <c r="N42"/>
  <c r="K42"/>
  <c r="O42"/>
  <c r="F42"/>
  <c r="E42"/>
  <c r="J42"/>
  <c r="I42"/>
  <c r="D42"/>
  <c r="B43"/>
  <c r="G42"/>
  <c r="H42"/>
  <c r="L43" l="1"/>
  <c r="N43"/>
  <c r="R43"/>
  <c r="O43"/>
  <c r="M43"/>
  <c r="K43"/>
  <c r="P43"/>
  <c r="Q43"/>
  <c r="F43"/>
  <c r="B44"/>
  <c r="J43"/>
  <c r="I43"/>
  <c r="E43"/>
  <c r="D43"/>
  <c r="H43"/>
  <c r="G43"/>
  <c r="K44" l="1"/>
  <c r="O44"/>
  <c r="L44"/>
  <c r="M44"/>
  <c r="Q44"/>
  <c r="N44"/>
  <c r="R44"/>
  <c r="P44"/>
  <c r="F44"/>
  <c r="G44"/>
  <c r="H44"/>
  <c r="E44"/>
  <c r="D44"/>
  <c r="B45"/>
  <c r="I44"/>
  <c r="J44"/>
  <c r="K45" l="1"/>
  <c r="Q45"/>
  <c r="R45"/>
  <c r="O45"/>
  <c r="M45"/>
  <c r="L45"/>
  <c r="N45"/>
  <c r="P45"/>
  <c r="G45"/>
  <c r="E45"/>
  <c r="J45"/>
  <c r="I45"/>
  <c r="D45"/>
  <c r="B46"/>
  <c r="F45"/>
  <c r="H45"/>
  <c r="P46" l="1"/>
  <c r="Q46"/>
  <c r="N46"/>
  <c r="K46"/>
  <c r="O46"/>
  <c r="L46"/>
  <c r="M46"/>
  <c r="R46"/>
  <c r="I46"/>
  <c r="E46"/>
  <c r="D46"/>
  <c r="J46"/>
  <c r="G46"/>
  <c r="B47"/>
  <c r="F46"/>
  <c r="H46"/>
  <c r="Q47" l="1"/>
  <c r="R47"/>
  <c r="M47"/>
  <c r="L47"/>
  <c r="O47"/>
  <c r="K47"/>
  <c r="N47"/>
  <c r="P47"/>
  <c r="H47"/>
  <c r="E47"/>
  <c r="J47"/>
  <c r="I47"/>
  <c r="D47"/>
  <c r="B48"/>
  <c r="G47"/>
  <c r="F47"/>
  <c r="L48" l="1"/>
  <c r="P48"/>
  <c r="K48"/>
  <c r="O48"/>
  <c r="R48"/>
  <c r="N48"/>
  <c r="Q48"/>
  <c r="M48"/>
  <c r="H48"/>
  <c r="E48"/>
  <c r="J48"/>
  <c r="I48"/>
  <c r="D48"/>
  <c r="G48"/>
  <c r="B49"/>
  <c r="F48"/>
  <c r="O49" l="1"/>
  <c r="M49"/>
  <c r="Q49"/>
  <c r="R49"/>
  <c r="K49"/>
  <c r="N49"/>
  <c r="P49"/>
  <c r="L49"/>
  <c r="I49"/>
  <c r="E49"/>
  <c r="F49"/>
  <c r="H49"/>
  <c r="B50"/>
  <c r="D49"/>
  <c r="G49"/>
  <c r="J49"/>
  <c r="N50" l="1"/>
  <c r="O50"/>
  <c r="L50"/>
  <c r="K50"/>
  <c r="P50"/>
  <c r="R50"/>
  <c r="M50"/>
  <c r="Q50"/>
  <c r="F50"/>
  <c r="D50"/>
  <c r="I50"/>
  <c r="H50"/>
  <c r="E50"/>
  <c r="B51"/>
  <c r="J50"/>
  <c r="G50"/>
  <c r="N51" l="1"/>
  <c r="K51"/>
  <c r="Q51"/>
  <c r="O51"/>
  <c r="R51"/>
  <c r="L51"/>
  <c r="P51"/>
  <c r="M51"/>
  <c r="H51"/>
  <c r="B52"/>
  <c r="I51"/>
  <c r="D51"/>
  <c r="E51"/>
  <c r="G51"/>
  <c r="J51"/>
  <c r="F51"/>
  <c r="M52" l="1"/>
  <c r="L52"/>
  <c r="R52"/>
  <c r="N52"/>
  <c r="Q52"/>
  <c r="P52"/>
  <c r="O52"/>
  <c r="K52"/>
  <c r="G52"/>
  <c r="F52"/>
  <c r="J52"/>
  <c r="H52"/>
  <c r="E52"/>
  <c r="D52"/>
  <c r="I52"/>
  <c r="B53"/>
  <c r="O53" l="1"/>
  <c r="M53"/>
  <c r="Q53"/>
  <c r="P53"/>
  <c r="L53"/>
  <c r="R53"/>
  <c r="K53"/>
  <c r="N53"/>
  <c r="F53"/>
  <c r="B54"/>
  <c r="I53"/>
  <c r="E53"/>
  <c r="D53"/>
  <c r="J53"/>
  <c r="H53"/>
  <c r="G53"/>
  <c r="M54" l="1"/>
  <c r="K54"/>
  <c r="O54"/>
  <c r="L54"/>
  <c r="R54"/>
  <c r="Q54"/>
  <c r="N54"/>
  <c r="P54"/>
  <c r="G54"/>
  <c r="E54"/>
  <c r="I54"/>
  <c r="H54"/>
  <c r="F54"/>
  <c r="J54"/>
  <c r="D54"/>
  <c r="B55"/>
  <c r="K55" l="1"/>
  <c r="O55"/>
  <c r="R55"/>
  <c r="P55"/>
  <c r="L55"/>
  <c r="M55"/>
  <c r="Q55"/>
  <c r="N55"/>
  <c r="G55"/>
  <c r="B56"/>
  <c r="F55"/>
  <c r="J55"/>
  <c r="H55"/>
  <c r="E55"/>
  <c r="D55"/>
  <c r="I55"/>
  <c r="K56" l="1"/>
  <c r="L56"/>
  <c r="N56"/>
  <c r="Q56"/>
  <c r="P56"/>
  <c r="O56"/>
  <c r="R56"/>
  <c r="M56"/>
  <c r="G56"/>
  <c r="F56"/>
  <c r="B57"/>
  <c r="H56"/>
  <c r="D56"/>
  <c r="J56"/>
  <c r="E56"/>
  <c r="I56"/>
  <c r="Q57" l="1"/>
  <c r="K57"/>
  <c r="R57"/>
  <c r="L57"/>
  <c r="P57"/>
  <c r="O57"/>
  <c r="N57"/>
  <c r="M57"/>
  <c r="F57"/>
  <c r="G57"/>
  <c r="B58"/>
  <c r="I57"/>
  <c r="E57"/>
  <c r="D57"/>
  <c r="J57"/>
  <c r="H57"/>
  <c r="M58" l="1"/>
  <c r="O58"/>
  <c r="R58"/>
  <c r="N58"/>
  <c r="Q58"/>
  <c r="K58"/>
  <c r="L58"/>
  <c r="P58"/>
  <c r="F58"/>
  <c r="E58"/>
  <c r="G58"/>
  <c r="D58"/>
  <c r="B59"/>
  <c r="J58"/>
  <c r="H58"/>
  <c r="I58"/>
  <c r="K59" l="1"/>
  <c r="N59"/>
  <c r="R59"/>
  <c r="Q59"/>
  <c r="M59"/>
  <c r="P59"/>
  <c r="L59"/>
  <c r="O59"/>
  <c r="H59"/>
  <c r="I59"/>
  <c r="B60"/>
  <c r="F59"/>
  <c r="D59"/>
  <c r="E59"/>
  <c r="J59"/>
  <c r="G59"/>
  <c r="P60" l="1"/>
  <c r="L60"/>
  <c r="N60"/>
  <c r="O60"/>
  <c r="Q60"/>
  <c r="M60"/>
  <c r="K60"/>
  <c r="R60"/>
  <c r="I60"/>
  <c r="F60"/>
  <c r="H60"/>
  <c r="D60"/>
  <c r="E60"/>
  <c r="J60"/>
  <c r="B61"/>
  <c r="G60"/>
  <c r="L61" l="1"/>
  <c r="O61"/>
  <c r="P61"/>
  <c r="K61"/>
  <c r="R61"/>
  <c r="Q61"/>
  <c r="N61"/>
  <c r="M61"/>
  <c r="I61"/>
  <c r="D61"/>
  <c r="E61"/>
  <c r="G61"/>
  <c r="H61"/>
  <c r="B62"/>
  <c r="F61"/>
  <c r="J61"/>
  <c r="R62" l="1"/>
  <c r="K62"/>
  <c r="M62"/>
  <c r="P62"/>
  <c r="L62"/>
  <c r="O62"/>
  <c r="N62"/>
  <c r="Q62"/>
  <c r="G62"/>
  <c r="B63"/>
  <c r="J62"/>
  <c r="E62"/>
  <c r="D62"/>
  <c r="H62"/>
  <c r="F62"/>
  <c r="I62"/>
  <c r="P63" l="1"/>
  <c r="R63"/>
  <c r="N63"/>
  <c r="L63"/>
  <c r="O63"/>
  <c r="K63"/>
  <c r="Q63"/>
  <c r="M63"/>
  <c r="H63"/>
  <c r="I63"/>
  <c r="F63"/>
  <c r="G63"/>
  <c r="E63"/>
  <c r="D63"/>
  <c r="B64"/>
  <c r="J63"/>
  <c r="Q64" l="1"/>
  <c r="N64"/>
  <c r="M64"/>
  <c r="P64"/>
  <c r="L64"/>
  <c r="K64"/>
  <c r="R64"/>
  <c r="O64"/>
  <c r="H64"/>
  <c r="B65"/>
  <c r="I64"/>
  <c r="D64"/>
  <c r="E64"/>
  <c r="F64"/>
  <c r="J64"/>
  <c r="G64"/>
  <c r="R65" l="1"/>
  <c r="O65"/>
  <c r="L65"/>
  <c r="N65"/>
  <c r="Q65"/>
  <c r="K65"/>
  <c r="M65"/>
  <c r="P65"/>
  <c r="I65"/>
  <c r="D65"/>
  <c r="F65"/>
  <c r="H65"/>
  <c r="E65"/>
  <c r="B66"/>
  <c r="J65"/>
  <c r="G65"/>
  <c r="R66" l="1"/>
  <c r="L66"/>
  <c r="O66"/>
  <c r="P66"/>
  <c r="N66"/>
  <c r="M66"/>
  <c r="K66"/>
  <c r="Q66"/>
  <c r="I66"/>
  <c r="D66"/>
  <c r="B67"/>
  <c r="E66"/>
  <c r="H66"/>
  <c r="G66"/>
  <c r="F66"/>
  <c r="J66"/>
  <c r="K67" l="1"/>
  <c r="P67"/>
  <c r="Q67"/>
  <c r="O67"/>
  <c r="N67"/>
  <c r="M67"/>
  <c r="L67"/>
  <c r="R67"/>
  <c r="I67"/>
  <c r="B68"/>
  <c r="H67"/>
  <c r="D67"/>
  <c r="E67"/>
  <c r="G67"/>
  <c r="F67"/>
  <c r="J67"/>
  <c r="R68" l="1"/>
  <c r="Q68"/>
  <c r="P68"/>
  <c r="L68"/>
  <c r="M68"/>
  <c r="N68"/>
  <c r="K68"/>
  <c r="O68"/>
  <c r="H68"/>
  <c r="G68"/>
  <c r="E68"/>
  <c r="D68"/>
  <c r="B69"/>
  <c r="J68"/>
  <c r="F68"/>
  <c r="I68"/>
  <c r="M69" l="1"/>
  <c r="L69"/>
  <c r="Q69"/>
  <c r="O69"/>
  <c r="K69"/>
  <c r="P69"/>
  <c r="N69"/>
  <c r="R69"/>
  <c r="B70"/>
  <c r="G69"/>
  <c r="F69"/>
  <c r="H69"/>
  <c r="I69"/>
  <c r="D69"/>
  <c r="E69"/>
  <c r="J69"/>
  <c r="K70" l="1"/>
  <c r="P70"/>
  <c r="M70"/>
  <c r="L70"/>
  <c r="O70"/>
  <c r="N70"/>
  <c r="R70"/>
  <c r="Q70"/>
  <c r="I70"/>
  <c r="D70"/>
  <c r="E70"/>
  <c r="H70"/>
  <c r="G70"/>
  <c r="B71"/>
  <c r="F70"/>
  <c r="J70"/>
  <c r="L71" l="1"/>
  <c r="M71"/>
  <c r="K71"/>
  <c r="O71"/>
  <c r="P71"/>
  <c r="N71"/>
  <c r="Q71"/>
  <c r="R71"/>
  <c r="I71"/>
  <c r="D71"/>
  <c r="E71"/>
  <c r="H71"/>
  <c r="B72"/>
  <c r="G71"/>
  <c r="F71"/>
  <c r="J71"/>
  <c r="N72" l="1"/>
  <c r="M72"/>
  <c r="R72"/>
  <c r="P72"/>
  <c r="K72"/>
  <c r="O72"/>
  <c r="L72"/>
  <c r="Q72"/>
  <c r="I72"/>
  <c r="E72"/>
  <c r="H72"/>
  <c r="D72"/>
  <c r="B73"/>
  <c r="G72"/>
  <c r="F72"/>
  <c r="J72"/>
  <c r="R73" l="1"/>
  <c r="O73"/>
  <c r="N73"/>
  <c r="L73"/>
  <c r="P73"/>
  <c r="M73"/>
  <c r="Q73"/>
  <c r="K73"/>
  <c r="G73"/>
  <c r="H73"/>
  <c r="B74"/>
  <c r="F73"/>
  <c r="I73"/>
  <c r="D73"/>
  <c r="J73"/>
  <c r="E73"/>
  <c r="Q74" l="1"/>
  <c r="M74"/>
  <c r="O74"/>
  <c r="L74"/>
  <c r="P74"/>
  <c r="N74"/>
  <c r="R74"/>
  <c r="K74"/>
  <c r="F74"/>
  <c r="G74"/>
  <c r="H74"/>
  <c r="E74"/>
  <c r="D74"/>
  <c r="I74"/>
  <c r="J74"/>
  <c r="B75"/>
  <c r="Q75" l="1"/>
  <c r="N75"/>
  <c r="K75"/>
  <c r="O75"/>
  <c r="R75"/>
  <c r="P75"/>
  <c r="M75"/>
  <c r="L75"/>
  <c r="H75"/>
  <c r="F75"/>
  <c r="G75"/>
  <c r="E75"/>
  <c r="I75"/>
  <c r="B76"/>
  <c r="D75"/>
  <c r="J75"/>
  <c r="L76" l="1"/>
  <c r="M76"/>
  <c r="P76"/>
  <c r="Q76"/>
  <c r="K76"/>
  <c r="R76"/>
  <c r="N76"/>
  <c r="O76"/>
  <c r="I76"/>
  <c r="B77"/>
  <c r="J76"/>
  <c r="E76"/>
  <c r="D76"/>
  <c r="F76"/>
  <c r="H76"/>
  <c r="G76"/>
  <c r="R77" l="1"/>
  <c r="N77"/>
  <c r="P77"/>
  <c r="K77"/>
  <c r="Q77"/>
  <c r="L77"/>
  <c r="M77"/>
  <c r="O77"/>
  <c r="G77"/>
  <c r="F77"/>
  <c r="D77"/>
  <c r="I77"/>
  <c r="E77"/>
  <c r="H77"/>
  <c r="B78"/>
  <c r="J77"/>
  <c r="M78" l="1"/>
  <c r="K78"/>
  <c r="N78"/>
  <c r="Q78"/>
  <c r="P78"/>
  <c r="R78"/>
  <c r="L78"/>
  <c r="O78"/>
  <c r="H78"/>
  <c r="I78"/>
  <c r="G78"/>
  <c r="F78"/>
  <c r="D78"/>
  <c r="J78"/>
  <c r="E78"/>
  <c r="B79"/>
  <c r="L79" l="1"/>
  <c r="O79"/>
  <c r="N79"/>
  <c r="Q79"/>
  <c r="R79"/>
  <c r="P79"/>
  <c r="M79"/>
  <c r="K79"/>
  <c r="F79"/>
  <c r="H79"/>
  <c r="G79"/>
  <c r="D79"/>
  <c r="I79"/>
  <c r="B80"/>
  <c r="J79"/>
  <c r="E79"/>
  <c r="K80" l="1"/>
  <c r="N80"/>
  <c r="O80"/>
  <c r="M80"/>
  <c r="R80"/>
  <c r="Q80"/>
  <c r="P80"/>
  <c r="L80"/>
  <c r="I80"/>
  <c r="B81"/>
  <c r="F80"/>
  <c r="J80"/>
  <c r="D80"/>
  <c r="H80"/>
  <c r="G80"/>
  <c r="E80"/>
  <c r="Q81" l="1"/>
  <c r="N81"/>
  <c r="K81"/>
  <c r="R81"/>
  <c r="M81"/>
  <c r="O81"/>
  <c r="L81"/>
  <c r="P81"/>
  <c r="I81"/>
  <c r="H81"/>
  <c r="F81"/>
  <c r="J81"/>
  <c r="D81"/>
  <c r="B82"/>
  <c r="E81"/>
  <c r="G81"/>
  <c r="Q82" l="1"/>
  <c r="N82"/>
  <c r="P82"/>
  <c r="M82"/>
  <c r="L82"/>
  <c r="K82"/>
  <c r="O82"/>
  <c r="R82"/>
  <c r="D82"/>
  <c r="H82"/>
  <c r="E82"/>
  <c r="F82"/>
  <c r="I82"/>
  <c r="B83"/>
  <c r="J82"/>
  <c r="G82"/>
  <c r="O83" l="1"/>
  <c r="P83"/>
  <c r="Q83"/>
  <c r="K83"/>
  <c r="L83"/>
  <c r="N83"/>
  <c r="M83"/>
  <c r="R83"/>
  <c r="G83"/>
  <c r="D83"/>
  <c r="E83"/>
  <c r="I83"/>
  <c r="H83"/>
  <c r="B84"/>
  <c r="F83"/>
  <c r="J83"/>
  <c r="Q84" l="1"/>
  <c r="R84"/>
  <c r="N84"/>
  <c r="L84"/>
  <c r="M84"/>
  <c r="P84"/>
  <c r="K84"/>
  <c r="O84"/>
  <c r="I84"/>
  <c r="E84"/>
  <c r="B85"/>
  <c r="F84"/>
  <c r="G84"/>
  <c r="D84"/>
  <c r="J84"/>
  <c r="H84"/>
  <c r="M85" l="1"/>
  <c r="P85"/>
  <c r="Q85"/>
  <c r="L85"/>
  <c r="K85"/>
  <c r="O85"/>
  <c r="R85"/>
  <c r="N85"/>
  <c r="H85"/>
  <c r="D85"/>
  <c r="F85"/>
  <c r="I85"/>
  <c r="E85"/>
  <c r="B86"/>
  <c r="J85"/>
  <c r="G85"/>
  <c r="P86" l="1"/>
  <c r="Q86"/>
  <c r="R86"/>
  <c r="M86"/>
  <c r="K86"/>
  <c r="N86"/>
  <c r="O86"/>
  <c r="L86"/>
  <c r="E86"/>
  <c r="I86"/>
  <c r="H86"/>
  <c r="G86"/>
  <c r="F86"/>
  <c r="B87"/>
  <c r="D86"/>
  <c r="J86"/>
  <c r="O87" l="1"/>
  <c r="Q87"/>
  <c r="L87"/>
  <c r="P87"/>
  <c r="N87"/>
  <c r="M87"/>
  <c r="K87"/>
  <c r="R87"/>
  <c r="E87"/>
  <c r="I87"/>
  <c r="D87"/>
  <c r="G87"/>
  <c r="F87"/>
  <c r="H87"/>
  <c r="B88"/>
  <c r="J87"/>
  <c r="L88" l="1"/>
  <c r="M88"/>
  <c r="P88"/>
  <c r="K88"/>
  <c r="Q88"/>
  <c r="N88"/>
  <c r="O88"/>
  <c r="R88"/>
  <c r="F88"/>
  <c r="E88"/>
  <c r="D88"/>
  <c r="I88"/>
  <c r="H88"/>
  <c r="J88"/>
  <c r="B89"/>
  <c r="G88"/>
  <c r="K89" l="1"/>
  <c r="Q89"/>
  <c r="N89"/>
  <c r="R89"/>
  <c r="L89"/>
  <c r="O89"/>
  <c r="P89"/>
  <c r="M89"/>
  <c r="D89"/>
  <c r="I89"/>
  <c r="H89"/>
  <c r="F89"/>
  <c r="J89"/>
  <c r="E89"/>
  <c r="G89"/>
  <c r="B90"/>
  <c r="L90" l="1"/>
  <c r="M90"/>
  <c r="R90"/>
  <c r="O90"/>
  <c r="Q90"/>
  <c r="N90"/>
  <c r="K90"/>
  <c r="P90"/>
  <c r="D90"/>
  <c r="I90"/>
  <c r="F90"/>
  <c r="B91"/>
  <c r="G90"/>
  <c r="H90"/>
  <c r="E90"/>
  <c r="J90"/>
  <c r="P91" l="1"/>
  <c r="R91"/>
  <c r="Q91"/>
  <c r="O91"/>
  <c r="L91"/>
  <c r="K91"/>
  <c r="N91"/>
  <c r="M91"/>
  <c r="D91"/>
  <c r="I91"/>
  <c r="H91"/>
  <c r="F91"/>
  <c r="B92"/>
  <c r="E91"/>
  <c r="G91"/>
  <c r="J91"/>
  <c r="L92" l="1"/>
  <c r="P92"/>
  <c r="N92"/>
  <c r="O92"/>
  <c r="R92"/>
  <c r="K92"/>
  <c r="Q92"/>
  <c r="M92"/>
  <c r="D92"/>
  <c r="E92"/>
  <c r="B93"/>
  <c r="G92"/>
  <c r="I92"/>
  <c r="H92"/>
  <c r="F92"/>
  <c r="J92"/>
  <c r="K93" l="1"/>
  <c r="O93"/>
  <c r="M93"/>
  <c r="N93"/>
  <c r="R93"/>
  <c r="P93"/>
  <c r="Q93"/>
  <c r="L93"/>
  <c r="F93"/>
  <c r="D93"/>
  <c r="I93"/>
  <c r="B94"/>
  <c r="H93"/>
  <c r="E93"/>
  <c r="J93"/>
  <c r="G93"/>
  <c r="R94" l="1"/>
  <c r="N94"/>
  <c r="O94"/>
  <c r="M94"/>
  <c r="K94"/>
  <c r="Q94"/>
  <c r="P94"/>
  <c r="L94"/>
  <c r="E94"/>
  <c r="H94"/>
  <c r="F94"/>
  <c r="J94"/>
  <c r="D94"/>
  <c r="I94"/>
  <c r="B95"/>
  <c r="G94"/>
  <c r="K95" l="1"/>
  <c r="P95"/>
  <c r="N95"/>
  <c r="M95"/>
  <c r="O95"/>
  <c r="Q95"/>
  <c r="L95"/>
  <c r="R95"/>
  <c r="F95"/>
  <c r="H95"/>
  <c r="D95"/>
  <c r="J95"/>
  <c r="G95"/>
  <c r="E95"/>
  <c r="I95"/>
  <c r="B96"/>
  <c r="N96" l="1"/>
  <c r="P96"/>
  <c r="K96"/>
  <c r="L96"/>
  <c r="M96"/>
  <c r="O96"/>
  <c r="R96"/>
  <c r="Q96"/>
  <c r="F96"/>
  <c r="B97"/>
  <c r="J96"/>
  <c r="E96"/>
  <c r="H96"/>
  <c r="I96"/>
  <c r="G96"/>
  <c r="D96"/>
  <c r="L97" l="1"/>
  <c r="K97"/>
  <c r="R97"/>
  <c r="M97"/>
  <c r="O97"/>
  <c r="P97"/>
  <c r="N97"/>
  <c r="Q97"/>
  <c r="H97"/>
  <c r="D97"/>
  <c r="G97"/>
  <c r="E97"/>
  <c r="B98"/>
  <c r="I97"/>
  <c r="F97"/>
  <c r="J97"/>
  <c r="Q98" l="1"/>
  <c r="M98"/>
  <c r="K98"/>
  <c r="N98"/>
  <c r="O98"/>
  <c r="R98"/>
  <c r="P98"/>
  <c r="L98"/>
  <c r="I98"/>
  <c r="B99"/>
  <c r="E98"/>
  <c r="D98"/>
  <c r="H98"/>
  <c r="G98"/>
  <c r="F98"/>
  <c r="J98"/>
  <c r="P99" l="1"/>
  <c r="R99"/>
  <c r="L99"/>
  <c r="K99"/>
  <c r="O99"/>
  <c r="Q99"/>
  <c r="N99"/>
  <c r="M99"/>
  <c r="B100"/>
  <c r="H99"/>
  <c r="E99"/>
  <c r="G99"/>
  <c r="D99"/>
  <c r="I99"/>
  <c r="F99"/>
  <c r="J99"/>
  <c r="P100" l="1"/>
  <c r="O100"/>
  <c r="N100"/>
  <c r="M100"/>
  <c r="L100"/>
  <c r="K100"/>
  <c r="Q100"/>
  <c r="R100"/>
  <c r="H100"/>
  <c r="B101"/>
  <c r="J100"/>
  <c r="G100"/>
  <c r="F100"/>
  <c r="D100"/>
  <c r="I100"/>
  <c r="E100"/>
  <c r="L101" l="1"/>
  <c r="O101"/>
  <c r="K101"/>
  <c r="Q101"/>
  <c r="N101"/>
  <c r="R101"/>
  <c r="M101"/>
  <c r="P101"/>
  <c r="E101"/>
  <c r="D101"/>
  <c r="I101"/>
  <c r="F101"/>
  <c r="B102"/>
  <c r="G101"/>
  <c r="H101"/>
  <c r="J101"/>
  <c r="M102" l="1"/>
  <c r="L102"/>
  <c r="N102"/>
  <c r="O102"/>
  <c r="P102"/>
  <c r="R102"/>
  <c r="Q102"/>
  <c r="K102"/>
  <c r="H102"/>
  <c r="E102"/>
  <c r="J102"/>
  <c r="B103"/>
  <c r="F102"/>
  <c r="I102"/>
  <c r="G102"/>
  <c r="D102"/>
  <c r="R103" l="1"/>
  <c r="P103"/>
  <c r="M103"/>
  <c r="K103"/>
  <c r="Q103"/>
  <c r="O103"/>
  <c r="L103"/>
  <c r="N103"/>
  <c r="J103"/>
  <c r="G103"/>
  <c r="F103"/>
  <c r="I103"/>
  <c r="B104"/>
  <c r="E103"/>
  <c r="H103"/>
  <c r="D103"/>
  <c r="K104" l="1"/>
  <c r="J104"/>
  <c r="Q104"/>
  <c r="N104"/>
  <c r="O104"/>
  <c r="P104"/>
  <c r="L104"/>
  <c r="M104"/>
  <c r="R104"/>
  <c r="B105"/>
  <c r="E104"/>
  <c r="F104"/>
  <c r="D104"/>
  <c r="G104"/>
  <c r="H104"/>
  <c r="I104"/>
  <c r="K105" l="1"/>
  <c r="P105"/>
  <c r="L105"/>
  <c r="M105"/>
  <c r="J105"/>
  <c r="R105"/>
  <c r="Q105"/>
  <c r="N105"/>
  <c r="O105"/>
  <c r="B106"/>
  <c r="E105"/>
  <c r="D105"/>
  <c r="I105"/>
  <c r="F105"/>
  <c r="G105"/>
  <c r="H105"/>
  <c r="R106" l="1"/>
  <c r="N106"/>
  <c r="Q106"/>
  <c r="O106"/>
  <c r="M106"/>
  <c r="J106"/>
  <c r="P106"/>
  <c r="K106"/>
  <c r="L106"/>
  <c r="G106"/>
  <c r="E106"/>
  <c r="I106"/>
  <c r="B107"/>
  <c r="F106"/>
  <c r="H106"/>
  <c r="D106"/>
  <c r="O107" l="1"/>
  <c r="R107"/>
  <c r="K107"/>
  <c r="Q107"/>
  <c r="M107"/>
  <c r="P107"/>
  <c r="L107"/>
  <c r="J107"/>
  <c r="N107"/>
  <c r="B108"/>
  <c r="E107"/>
  <c r="I107"/>
  <c r="H107"/>
  <c r="G107"/>
  <c r="D107"/>
  <c r="F107"/>
  <c r="P108" l="1"/>
  <c r="L108"/>
  <c r="N108"/>
  <c r="J108"/>
  <c r="R108"/>
  <c r="Q108"/>
  <c r="K108"/>
  <c r="O108"/>
  <c r="M108"/>
  <c r="B109"/>
  <c r="I108"/>
  <c r="G108"/>
  <c r="E108"/>
  <c r="H108"/>
  <c r="F108"/>
  <c r="D108"/>
  <c r="O109" l="1"/>
  <c r="Q109"/>
  <c r="J109"/>
  <c r="L109"/>
  <c r="R109"/>
  <c r="K109"/>
  <c r="M109"/>
  <c r="P109"/>
  <c r="N109"/>
  <c r="G109"/>
  <c r="B110"/>
  <c r="D109"/>
  <c r="I109"/>
  <c r="E109"/>
  <c r="H109"/>
  <c r="F109"/>
  <c r="L110" l="1"/>
  <c r="R110"/>
  <c r="M110"/>
  <c r="K110"/>
  <c r="P110"/>
  <c r="J110"/>
  <c r="N110"/>
  <c r="O110"/>
  <c r="Q110"/>
  <c r="F110"/>
  <c r="I110"/>
  <c r="D110"/>
  <c r="B111"/>
  <c r="H110"/>
  <c r="G110"/>
  <c r="E110"/>
  <c r="J111" l="1"/>
  <c r="O111"/>
  <c r="K111"/>
  <c r="L111"/>
  <c r="Q111"/>
  <c r="R111"/>
  <c r="N111"/>
  <c r="P111"/>
  <c r="M111"/>
  <c r="B112"/>
  <c r="E111"/>
  <c r="I111"/>
  <c r="D111"/>
  <c r="G111"/>
  <c r="H111"/>
  <c r="F111"/>
  <c r="R112" l="1"/>
  <c r="J112"/>
  <c r="O112"/>
  <c r="L112"/>
  <c r="P112"/>
  <c r="N112"/>
  <c r="K112"/>
  <c r="Q112"/>
  <c r="M112"/>
  <c r="G112"/>
  <c r="I112"/>
  <c r="F112"/>
  <c r="D112"/>
  <c r="H112"/>
  <c r="E112"/>
  <c r="B113"/>
  <c r="L113" l="1"/>
  <c r="O113"/>
  <c r="M113"/>
  <c r="Q113"/>
  <c r="K113"/>
  <c r="P113"/>
  <c r="N113"/>
  <c r="R113"/>
  <c r="J113"/>
  <c r="H113"/>
  <c r="F113"/>
  <c r="B114"/>
  <c r="D113"/>
  <c r="I113"/>
  <c r="E113"/>
  <c r="G113"/>
  <c r="L114" l="1"/>
  <c r="N114"/>
  <c r="P114"/>
  <c r="J114"/>
  <c r="Q114"/>
  <c r="R114"/>
  <c r="K114"/>
  <c r="O114"/>
  <c r="M114"/>
  <c r="I114"/>
  <c r="G114"/>
  <c r="D114"/>
  <c r="H114"/>
  <c r="B115"/>
  <c r="F114"/>
  <c r="E114"/>
  <c r="Q115" l="1"/>
  <c r="P115"/>
  <c r="M115"/>
  <c r="R115"/>
  <c r="O115"/>
  <c r="K115"/>
  <c r="J115"/>
  <c r="N115"/>
  <c r="L115"/>
  <c r="G115"/>
  <c r="H115"/>
  <c r="E115"/>
  <c r="D115"/>
  <c r="I115"/>
  <c r="F115"/>
  <c r="B116"/>
  <c r="O116" l="1"/>
  <c r="M116"/>
  <c r="K116"/>
  <c r="R116"/>
  <c r="P116"/>
  <c r="J116"/>
  <c r="L116"/>
  <c r="Q116"/>
  <c r="N116"/>
  <c r="I116"/>
  <c r="F116"/>
  <c r="D116"/>
  <c r="E116"/>
  <c r="B117"/>
  <c r="G116"/>
  <c r="H116"/>
  <c r="K117" l="1"/>
  <c r="P117"/>
  <c r="L117"/>
  <c r="R117"/>
  <c r="J117"/>
  <c r="M117"/>
  <c r="Q117"/>
  <c r="O117"/>
  <c r="N117"/>
  <c r="H117"/>
  <c r="D117"/>
  <c r="I117"/>
  <c r="G117"/>
  <c r="F117"/>
  <c r="B118"/>
  <c r="E117"/>
  <c r="K118" l="1"/>
  <c r="R118"/>
  <c r="J118"/>
  <c r="L118"/>
  <c r="P118"/>
  <c r="O118"/>
  <c r="N118"/>
  <c r="M118"/>
  <c r="Q118"/>
  <c r="G118"/>
  <c r="E118"/>
  <c r="D118"/>
  <c r="F118"/>
  <c r="H118"/>
  <c r="I118"/>
  <c r="B119"/>
  <c r="R119" l="1"/>
  <c r="M119"/>
  <c r="L119"/>
  <c r="N119"/>
  <c r="Q119"/>
  <c r="O119"/>
  <c r="K119"/>
  <c r="J119"/>
  <c r="P119"/>
  <c r="F119"/>
  <c r="I119"/>
  <c r="B120"/>
  <c r="D119"/>
  <c r="E119"/>
  <c r="H119"/>
  <c r="G119"/>
  <c r="N120" l="1"/>
  <c r="P120"/>
  <c r="J120"/>
  <c r="R120"/>
  <c r="Q120"/>
  <c r="M120"/>
  <c r="K120"/>
  <c r="O120"/>
  <c r="L120"/>
  <c r="H120"/>
  <c r="G120"/>
  <c r="B121"/>
  <c r="I120"/>
  <c r="D120"/>
  <c r="E120"/>
  <c r="F120"/>
  <c r="N121" l="1"/>
  <c r="J121"/>
  <c r="L121"/>
  <c r="M121"/>
  <c r="O121"/>
  <c r="Q121"/>
  <c r="R121"/>
  <c r="P121"/>
  <c r="K121"/>
  <c r="E121"/>
  <c r="H121"/>
  <c r="B122"/>
  <c r="I121"/>
  <c r="G121"/>
  <c r="F121"/>
  <c r="D121"/>
  <c r="L122" l="1"/>
  <c r="J122"/>
  <c r="M122"/>
  <c r="N122"/>
  <c r="O122"/>
  <c r="K122"/>
  <c r="P122"/>
  <c r="Q122"/>
  <c r="R122"/>
  <c r="H122"/>
  <c r="E122"/>
  <c r="F122"/>
  <c r="D122"/>
  <c r="I122"/>
  <c r="G122"/>
  <c r="B123"/>
  <c r="P123" l="1"/>
  <c r="L123"/>
  <c r="N123"/>
  <c r="J123"/>
  <c r="K123"/>
  <c r="O123"/>
  <c r="R123"/>
  <c r="Q123"/>
  <c r="M123"/>
  <c r="B124"/>
  <c r="E123"/>
  <c r="H123"/>
  <c r="I123"/>
  <c r="G123"/>
  <c r="D123"/>
  <c r="F123"/>
  <c r="Q124" l="1"/>
  <c r="P124"/>
  <c r="R124"/>
  <c r="L124"/>
  <c r="N124"/>
  <c r="J124"/>
  <c r="O124"/>
  <c r="M124"/>
  <c r="K124"/>
  <c r="E124"/>
  <c r="F124"/>
  <c r="G124"/>
  <c r="B125"/>
  <c r="D124"/>
  <c r="I124"/>
  <c r="H124"/>
  <c r="J125" l="1"/>
  <c r="R125"/>
  <c r="O125"/>
  <c r="Q125"/>
  <c r="N125"/>
  <c r="L125"/>
  <c r="P125"/>
  <c r="K125"/>
  <c r="M125"/>
  <c r="B126"/>
  <c r="F125"/>
  <c r="G125"/>
  <c r="H125"/>
  <c r="I125"/>
  <c r="D125"/>
  <c r="E125"/>
  <c r="M126" l="1"/>
  <c r="O126"/>
  <c r="P126"/>
  <c r="N126"/>
  <c r="K126"/>
  <c r="L126"/>
  <c r="J126"/>
  <c r="Q126"/>
  <c r="R126"/>
  <c r="B127"/>
  <c r="H126"/>
  <c r="E126"/>
  <c r="D126"/>
  <c r="G126"/>
  <c r="F126"/>
  <c r="I126"/>
  <c r="O127" l="1"/>
  <c r="P127"/>
  <c r="Q127"/>
  <c r="K127"/>
  <c r="N127"/>
  <c r="R127"/>
  <c r="L127"/>
  <c r="M127"/>
  <c r="J127"/>
  <c r="E127"/>
  <c r="D127"/>
  <c r="F127"/>
  <c r="G127"/>
  <c r="I127"/>
  <c r="H127"/>
  <c r="B128"/>
  <c r="M128" l="1"/>
  <c r="Q128"/>
  <c r="R128"/>
  <c r="L128"/>
  <c r="J128"/>
  <c r="P128"/>
  <c r="K128"/>
  <c r="O128"/>
  <c r="N128"/>
  <c r="E128"/>
  <c r="H128"/>
  <c r="F128"/>
  <c r="B129"/>
  <c r="D128"/>
  <c r="I128"/>
  <c r="G128"/>
  <c r="N129" l="1"/>
  <c r="J129"/>
  <c r="M129"/>
  <c r="Q129"/>
  <c r="L129"/>
  <c r="P129"/>
  <c r="R129"/>
  <c r="K129"/>
  <c r="O129"/>
  <c r="G129"/>
  <c r="F129"/>
  <c r="I129"/>
  <c r="D129"/>
  <c r="E129"/>
  <c r="H129"/>
  <c r="B130"/>
  <c r="Q130" l="1"/>
  <c r="L130"/>
  <c r="O130"/>
  <c r="K130"/>
  <c r="M130"/>
  <c r="J130"/>
  <c r="R130"/>
  <c r="N130"/>
  <c r="P130"/>
  <c r="F130"/>
  <c r="B131"/>
  <c r="H130"/>
  <c r="E130"/>
  <c r="D130"/>
  <c r="I130"/>
  <c r="G130"/>
  <c r="J131" l="1"/>
  <c r="P131"/>
  <c r="N131"/>
  <c r="M131"/>
  <c r="O131"/>
  <c r="K131"/>
  <c r="Q131"/>
  <c r="L131"/>
  <c r="R131"/>
  <c r="E131"/>
  <c r="I131"/>
  <c r="G131"/>
  <c r="B132"/>
  <c r="D131"/>
  <c r="F131"/>
  <c r="H131"/>
  <c r="R132" l="1"/>
  <c r="Q132"/>
  <c r="K132"/>
  <c r="N132"/>
  <c r="P132"/>
  <c r="O132"/>
  <c r="M132"/>
  <c r="J132"/>
  <c r="L132"/>
  <c r="E132"/>
  <c r="G132"/>
  <c r="I132"/>
  <c r="H132"/>
  <c r="B133"/>
  <c r="F132"/>
  <c r="D132"/>
  <c r="L133" l="1"/>
  <c r="Q133"/>
  <c r="N133"/>
  <c r="P133"/>
  <c r="J133"/>
  <c r="K133"/>
  <c r="O133"/>
  <c r="R133"/>
  <c r="M133"/>
  <c r="I133"/>
  <c r="H133"/>
  <c r="G133"/>
  <c r="E133"/>
  <c r="D133"/>
  <c r="B134"/>
  <c r="F133"/>
  <c r="J134" l="1"/>
  <c r="M134"/>
  <c r="R134"/>
  <c r="O134"/>
  <c r="K134"/>
  <c r="L134"/>
  <c r="Q134"/>
  <c r="P134"/>
  <c r="N134"/>
  <c r="H134"/>
  <c r="G134"/>
  <c r="D134"/>
  <c r="E134"/>
  <c r="I134"/>
  <c r="B135"/>
  <c r="F134"/>
  <c r="O135" l="1"/>
  <c r="R135"/>
  <c r="M135"/>
  <c r="L135"/>
  <c r="P135"/>
  <c r="K135"/>
  <c r="N135"/>
  <c r="J135"/>
  <c r="Q135"/>
  <c r="E135"/>
  <c r="D135"/>
  <c r="F135"/>
  <c r="I135"/>
  <c r="B136"/>
  <c r="G135"/>
  <c r="H135"/>
  <c r="K136" l="1"/>
  <c r="L136"/>
  <c r="O136"/>
  <c r="N136"/>
  <c r="M136"/>
  <c r="P136"/>
  <c r="Q136"/>
  <c r="R136"/>
  <c r="J136"/>
  <c r="B137"/>
  <c r="G136"/>
  <c r="I136"/>
  <c r="F136"/>
  <c r="D136"/>
  <c r="H136"/>
  <c r="E136"/>
  <c r="M137" l="1"/>
  <c r="L137"/>
  <c r="N137"/>
  <c r="K137"/>
  <c r="Q137"/>
  <c r="P137"/>
  <c r="J137"/>
  <c r="R137"/>
  <c r="O137"/>
  <c r="B138"/>
  <c r="D137"/>
  <c r="G137"/>
  <c r="E137"/>
  <c r="F137"/>
  <c r="H137"/>
  <c r="I137"/>
  <c r="Q138" l="1"/>
  <c r="L138"/>
  <c r="K138"/>
  <c r="M138"/>
  <c r="O138"/>
  <c r="N138"/>
  <c r="R138"/>
  <c r="J138"/>
  <c r="P138"/>
  <c r="F138"/>
  <c r="G138"/>
  <c r="D138"/>
  <c r="I138"/>
  <c r="E138"/>
  <c r="H138"/>
  <c r="B139"/>
  <c r="R139" l="1"/>
  <c r="O139"/>
  <c r="J139"/>
  <c r="N139"/>
  <c r="L139"/>
  <c r="K139"/>
  <c r="M139"/>
  <c r="Q139"/>
  <c r="P139"/>
  <c r="G139"/>
  <c r="E139"/>
  <c r="H139"/>
  <c r="F139"/>
  <c r="I139"/>
  <c r="B140"/>
  <c r="D139"/>
  <c r="Q140" l="1"/>
  <c r="J140"/>
  <c r="N140"/>
  <c r="O140"/>
  <c r="R140"/>
  <c r="M140"/>
  <c r="P140"/>
  <c r="L140"/>
  <c r="K140"/>
  <c r="G140"/>
  <c r="I140"/>
  <c r="H140"/>
  <c r="E140"/>
  <c r="D140"/>
  <c r="F140"/>
  <c r="B141"/>
  <c r="N141" l="1"/>
  <c r="O141"/>
  <c r="M141"/>
  <c r="R141"/>
  <c r="L141"/>
  <c r="K141"/>
  <c r="Q141"/>
  <c r="J141"/>
  <c r="P141"/>
  <c r="D141"/>
  <c r="H141"/>
  <c r="B142"/>
  <c r="F141"/>
  <c r="E141"/>
  <c r="G141"/>
  <c r="I141"/>
  <c r="P142" l="1"/>
  <c r="O142"/>
  <c r="J142"/>
  <c r="L142"/>
  <c r="N142"/>
  <c r="Q142"/>
  <c r="K142"/>
  <c r="M142"/>
  <c r="R142"/>
  <c r="B143"/>
  <c r="I142"/>
  <c r="D142"/>
  <c r="F142"/>
  <c r="G142"/>
  <c r="E142"/>
  <c r="H142"/>
  <c r="J143" l="1"/>
  <c r="P143"/>
  <c r="L143"/>
  <c r="Q143"/>
  <c r="N143"/>
  <c r="R143"/>
  <c r="M143"/>
  <c r="K143"/>
  <c r="O143"/>
  <c r="H143"/>
  <c r="I143"/>
  <c r="E143"/>
  <c r="G143"/>
  <c r="D143"/>
  <c r="B144"/>
  <c r="F143"/>
  <c r="Q144" l="1"/>
  <c r="J144"/>
  <c r="R144"/>
  <c r="M144"/>
  <c r="P144"/>
  <c r="K144"/>
  <c r="N144"/>
  <c r="O144"/>
  <c r="L144"/>
  <c r="B145"/>
  <c r="E144"/>
  <c r="D144"/>
  <c r="H144"/>
  <c r="I144"/>
  <c r="F144"/>
  <c r="G144"/>
  <c r="J145" l="1"/>
  <c r="R145"/>
  <c r="N145"/>
  <c r="O145"/>
  <c r="K145"/>
  <c r="Q145"/>
  <c r="P145"/>
  <c r="M145"/>
  <c r="L145"/>
  <c r="E145"/>
  <c r="B146"/>
  <c r="H145"/>
  <c r="I145"/>
  <c r="G145"/>
  <c r="F145"/>
  <c r="D145"/>
  <c r="M146" l="1"/>
  <c r="P146"/>
  <c r="L146"/>
  <c r="R146"/>
  <c r="J146"/>
  <c r="O146"/>
  <c r="K146"/>
  <c r="Q146"/>
  <c r="N146"/>
  <c r="F146"/>
  <c r="D146"/>
  <c r="H146"/>
  <c r="G146"/>
  <c r="I146"/>
  <c r="B147"/>
  <c r="E146"/>
  <c r="L147" l="1"/>
  <c r="N147"/>
  <c r="R147"/>
  <c r="P147"/>
  <c r="M147"/>
  <c r="O147"/>
  <c r="K147"/>
  <c r="J147"/>
  <c r="Q147"/>
  <c r="B148"/>
  <c r="D147"/>
  <c r="G147"/>
  <c r="E147"/>
  <c r="I147"/>
  <c r="H147"/>
  <c r="F147"/>
  <c r="P148" l="1"/>
  <c r="J148"/>
  <c r="L148"/>
  <c r="M148"/>
  <c r="N148"/>
  <c r="K148"/>
  <c r="Q148"/>
  <c r="O148"/>
  <c r="R148"/>
  <c r="E148"/>
  <c r="F148"/>
  <c r="G148"/>
  <c r="H148"/>
  <c r="I148"/>
  <c r="D148"/>
  <c r="B149"/>
  <c r="M149" l="1"/>
  <c r="P149"/>
  <c r="J149"/>
  <c r="N149"/>
  <c r="Q149"/>
  <c r="R149"/>
  <c r="K149"/>
  <c r="O149"/>
  <c r="L149"/>
  <c r="B150"/>
  <c r="F149"/>
  <c r="D149"/>
  <c r="G149"/>
  <c r="E149"/>
  <c r="H149"/>
  <c r="I149"/>
  <c r="R150" l="1"/>
  <c r="N150"/>
  <c r="O150"/>
  <c r="L150"/>
  <c r="K150"/>
  <c r="J150"/>
  <c r="M150"/>
  <c r="P150"/>
  <c r="Q150"/>
  <c r="E150"/>
  <c r="H150"/>
  <c r="I150"/>
  <c r="B151"/>
  <c r="D150"/>
  <c r="G150"/>
  <c r="F150"/>
  <c r="L151" l="1"/>
  <c r="N151"/>
  <c r="Q151"/>
  <c r="K151"/>
  <c r="O151"/>
  <c r="P151"/>
  <c r="J151"/>
  <c r="R151"/>
  <c r="M151"/>
  <c r="B152"/>
  <c r="F151"/>
  <c r="D151"/>
  <c r="E151"/>
  <c r="H151"/>
  <c r="G151"/>
  <c r="I151"/>
  <c r="L152" l="1"/>
  <c r="K152"/>
  <c r="P152"/>
  <c r="Q152"/>
  <c r="J152"/>
  <c r="M152"/>
  <c r="R152"/>
  <c r="O152"/>
  <c r="N152"/>
  <c r="D152"/>
  <c r="H152"/>
  <c r="B153"/>
  <c r="E152"/>
  <c r="F152"/>
  <c r="I152"/>
  <c r="G152"/>
  <c r="Q153" l="1"/>
  <c r="K153"/>
  <c r="O153"/>
  <c r="L153"/>
  <c r="J153"/>
  <c r="P153"/>
  <c r="M153"/>
  <c r="R153"/>
  <c r="N153"/>
  <c r="F153"/>
  <c r="E153"/>
  <c r="G153"/>
  <c r="I153"/>
  <c r="H153"/>
  <c r="D153"/>
  <c r="B154"/>
  <c r="Q154" l="1"/>
  <c r="N154"/>
  <c r="L154"/>
  <c r="J154"/>
  <c r="P154"/>
  <c r="O154"/>
  <c r="K154"/>
  <c r="M154"/>
  <c r="R154"/>
  <c r="D154"/>
  <c r="G154"/>
  <c r="H154"/>
  <c r="B155"/>
  <c r="E154"/>
  <c r="I154"/>
  <c r="F154"/>
  <c r="K155" l="1"/>
  <c r="Q155"/>
  <c r="R155"/>
  <c r="L155"/>
  <c r="M155"/>
  <c r="J155"/>
  <c r="P155"/>
  <c r="N155"/>
  <c r="O155"/>
  <c r="D155"/>
  <c r="H155"/>
  <c r="E155"/>
  <c r="G155"/>
  <c r="F155"/>
  <c r="B156"/>
  <c r="I155"/>
  <c r="R156" l="1"/>
  <c r="Q156"/>
  <c r="P156"/>
  <c r="M156"/>
  <c r="K156"/>
  <c r="O156"/>
  <c r="J156"/>
  <c r="N156"/>
  <c r="L156"/>
  <c r="B157"/>
  <c r="G156"/>
  <c r="E156"/>
  <c r="F156"/>
  <c r="I156"/>
  <c r="H156"/>
  <c r="D156"/>
  <c r="Q157" l="1"/>
  <c r="R157"/>
  <c r="K157"/>
  <c r="P157"/>
  <c r="N157"/>
  <c r="L157"/>
  <c r="O157"/>
  <c r="J157"/>
  <c r="M157"/>
  <c r="I157"/>
  <c r="H157"/>
  <c r="G157"/>
  <c r="F157"/>
  <c r="E157"/>
  <c r="B158"/>
  <c r="D157"/>
  <c r="M158" l="1"/>
  <c r="L158"/>
  <c r="R158"/>
  <c r="Q158"/>
  <c r="N158"/>
  <c r="P158"/>
  <c r="J158"/>
  <c r="K158"/>
  <c r="O158"/>
  <c r="G158"/>
  <c r="B159"/>
  <c r="F158"/>
  <c r="I158"/>
  <c r="D158"/>
  <c r="H158"/>
  <c r="E158"/>
  <c r="R159" l="1"/>
  <c r="N159"/>
  <c r="K159"/>
  <c r="Q159"/>
  <c r="J159"/>
  <c r="M159"/>
  <c r="O159"/>
  <c r="L159"/>
  <c r="P159"/>
  <c r="E159"/>
  <c r="I159"/>
  <c r="H159"/>
  <c r="G159"/>
  <c r="B160"/>
  <c r="D159"/>
  <c r="F159"/>
  <c r="N160" l="1"/>
  <c r="O160"/>
  <c r="M160"/>
  <c r="Q160"/>
  <c r="J160"/>
  <c r="R160"/>
  <c r="P160"/>
  <c r="L160"/>
  <c r="K160"/>
  <c r="I160"/>
  <c r="D160"/>
  <c r="F160"/>
  <c r="E160"/>
  <c r="B161"/>
  <c r="G160"/>
  <c r="H160"/>
  <c r="M161" l="1"/>
  <c r="J161"/>
  <c r="P161"/>
  <c r="Q161"/>
  <c r="R161"/>
  <c r="L161"/>
  <c r="N161"/>
  <c r="K161"/>
  <c r="O161"/>
  <c r="B162"/>
  <c r="F161"/>
  <c r="I161"/>
  <c r="H161"/>
  <c r="E161"/>
  <c r="G161"/>
  <c r="D161"/>
  <c r="K162" l="1"/>
  <c r="O162"/>
  <c r="M162"/>
  <c r="J162"/>
  <c r="Q162"/>
  <c r="R162"/>
  <c r="L162"/>
  <c r="N162"/>
  <c r="P162"/>
  <c r="H162"/>
  <c r="B163"/>
  <c r="I162"/>
  <c r="F162"/>
  <c r="G162"/>
  <c r="D162"/>
  <c r="E162"/>
  <c r="K163" l="1"/>
  <c r="L163"/>
  <c r="Q163"/>
  <c r="J163"/>
  <c r="N163"/>
  <c r="P163"/>
  <c r="O163"/>
  <c r="R163"/>
  <c r="M163"/>
  <c r="I163"/>
  <c r="E163"/>
  <c r="G163"/>
  <c r="H163"/>
  <c r="F163"/>
  <c r="B164"/>
  <c r="D163"/>
  <c r="L164" l="1"/>
  <c r="M164"/>
  <c r="O164"/>
  <c r="R164"/>
  <c r="N164"/>
  <c r="J164"/>
  <c r="Q164"/>
  <c r="K164"/>
  <c r="P164"/>
  <c r="H164"/>
  <c r="I164"/>
  <c r="F164"/>
  <c r="B165"/>
  <c r="G164"/>
  <c r="E164"/>
  <c r="D164"/>
  <c r="Q165" l="1"/>
  <c r="N165"/>
  <c r="M165"/>
  <c r="L165"/>
  <c r="J165"/>
  <c r="K165"/>
  <c r="O165"/>
  <c r="P165"/>
  <c r="R165"/>
  <c r="G165"/>
  <c r="D165"/>
  <c r="E165"/>
  <c r="I165"/>
  <c r="H165"/>
  <c r="F165"/>
  <c r="B166"/>
  <c r="M166" l="1"/>
  <c r="R166"/>
  <c r="K166"/>
  <c r="P166"/>
  <c r="N166"/>
  <c r="O166"/>
  <c r="J166"/>
  <c r="L166"/>
  <c r="Q166"/>
  <c r="B167"/>
  <c r="D166"/>
  <c r="E166"/>
  <c r="H166"/>
  <c r="F166"/>
  <c r="G166"/>
  <c r="I166"/>
  <c r="K167" l="1"/>
  <c r="R167"/>
  <c r="P167"/>
  <c r="N167"/>
  <c r="O167"/>
  <c r="Q167"/>
  <c r="M167"/>
  <c r="J167"/>
  <c r="L167"/>
  <c r="H167"/>
  <c r="F167"/>
  <c r="I167"/>
  <c r="D167"/>
  <c r="G167"/>
  <c r="B168"/>
  <c r="E167"/>
  <c r="L168" l="1"/>
  <c r="O168"/>
  <c r="M168"/>
  <c r="N168"/>
  <c r="R168"/>
  <c r="J168"/>
  <c r="Q168"/>
  <c r="K168"/>
  <c r="P168"/>
  <c r="H168"/>
  <c r="D168"/>
  <c r="E168"/>
  <c r="I168"/>
  <c r="F168"/>
  <c r="B169"/>
  <c r="G168"/>
  <c r="L169" l="1"/>
  <c r="Q169"/>
  <c r="J169"/>
  <c r="O169"/>
  <c r="R169"/>
  <c r="M169"/>
  <c r="N169"/>
  <c r="P169"/>
  <c r="K169"/>
  <c r="E169"/>
  <c r="G169"/>
  <c r="F169"/>
  <c r="D169"/>
  <c r="H169"/>
  <c r="B170"/>
  <c r="I169"/>
  <c r="Q170" l="1"/>
  <c r="O170"/>
  <c r="J170"/>
  <c r="K170"/>
  <c r="P170"/>
  <c r="M170"/>
  <c r="L170"/>
  <c r="N170"/>
  <c r="R170"/>
  <c r="F170"/>
  <c r="E170"/>
  <c r="G170"/>
  <c r="H170"/>
  <c r="I170"/>
  <c r="D170"/>
  <c r="B171"/>
  <c r="N171" l="1"/>
  <c r="O171"/>
  <c r="L171"/>
  <c r="J171"/>
  <c r="K171"/>
  <c r="R171"/>
  <c r="M171"/>
  <c r="Q171"/>
  <c r="P171"/>
  <c r="E171"/>
  <c r="F171"/>
  <c r="I171"/>
  <c r="H171"/>
  <c r="G171"/>
  <c r="D171"/>
  <c r="B172"/>
  <c r="O172" l="1"/>
  <c r="P172"/>
  <c r="K172"/>
  <c r="M172"/>
  <c r="J172"/>
  <c r="Q172"/>
  <c r="N172"/>
  <c r="L172"/>
  <c r="R172"/>
  <c r="H172"/>
  <c r="I172"/>
  <c r="E172"/>
  <c r="G172"/>
  <c r="D172"/>
  <c r="B173"/>
  <c r="F172"/>
  <c r="Q173" l="1"/>
  <c r="P173"/>
  <c r="L173"/>
  <c r="R173"/>
  <c r="O173"/>
  <c r="N173"/>
  <c r="J173"/>
  <c r="K173"/>
  <c r="M173"/>
  <c r="G173"/>
  <c r="D173"/>
  <c r="F173"/>
  <c r="E173"/>
  <c r="B174"/>
  <c r="H173"/>
  <c r="I173"/>
  <c r="O174" l="1"/>
  <c r="J174"/>
  <c r="N174"/>
  <c r="P174"/>
  <c r="K174"/>
  <c r="Q174"/>
  <c r="L174"/>
  <c r="R174"/>
  <c r="M174"/>
  <c r="B175"/>
  <c r="D174"/>
  <c r="H174"/>
  <c r="I174"/>
  <c r="E174"/>
  <c r="F174"/>
  <c r="G174"/>
  <c r="J175" l="1"/>
  <c r="N175"/>
  <c r="R175"/>
  <c r="M175"/>
  <c r="P175"/>
  <c r="O175"/>
  <c r="K175"/>
  <c r="Q175"/>
  <c r="L175"/>
  <c r="D175"/>
  <c r="B176"/>
  <c r="F175"/>
  <c r="G175"/>
  <c r="H175"/>
  <c r="I175"/>
  <c r="E175"/>
  <c r="Q176" l="1"/>
  <c r="K176"/>
  <c r="J176"/>
  <c r="N176"/>
  <c r="R176"/>
  <c r="P176"/>
  <c r="O176"/>
  <c r="M176"/>
  <c r="L176"/>
  <c r="B177"/>
  <c r="G176"/>
  <c r="E176"/>
  <c r="D176"/>
  <c r="H176"/>
  <c r="F176"/>
  <c r="I176"/>
  <c r="K177" l="1"/>
  <c r="P177"/>
  <c r="Q177"/>
  <c r="N177"/>
  <c r="J177"/>
  <c r="L177"/>
  <c r="M177"/>
  <c r="O177"/>
  <c r="R177"/>
  <c r="I177"/>
  <c r="F177"/>
  <c r="G177"/>
  <c r="H177"/>
  <c r="B178"/>
  <c r="D177"/>
  <c r="E177"/>
  <c r="R178" l="1"/>
  <c r="N178"/>
  <c r="Q178"/>
  <c r="M178"/>
  <c r="J178"/>
  <c r="L178"/>
  <c r="P178"/>
  <c r="K178"/>
  <c r="O178"/>
  <c r="F178"/>
  <c r="E178"/>
  <c r="I178"/>
  <c r="D178"/>
  <c r="H178"/>
  <c r="B179"/>
  <c r="G178"/>
  <c r="N179" l="1"/>
  <c r="J179"/>
  <c r="O179"/>
  <c r="R179"/>
  <c r="K179"/>
  <c r="Q179"/>
  <c r="M179"/>
  <c r="L179"/>
  <c r="P179"/>
  <c r="I179"/>
  <c r="D179"/>
  <c r="F179"/>
  <c r="B180"/>
  <c r="E179"/>
  <c r="G179"/>
  <c r="H179"/>
  <c r="K180" l="1"/>
  <c r="N180"/>
  <c r="P180"/>
  <c r="Q180"/>
  <c r="R180"/>
  <c r="O180"/>
  <c r="L180"/>
  <c r="J180"/>
  <c r="M180"/>
  <c r="F180"/>
  <c r="E180"/>
  <c r="B181"/>
  <c r="I180"/>
  <c r="G180"/>
  <c r="H180"/>
  <c r="D180"/>
  <c r="N181" l="1"/>
  <c r="K181"/>
  <c r="Q181"/>
  <c r="P181"/>
  <c r="J181"/>
  <c r="O181"/>
  <c r="L181"/>
  <c r="M181"/>
  <c r="R181"/>
  <c r="G181"/>
  <c r="E181"/>
  <c r="H181"/>
  <c r="B182"/>
  <c r="F181"/>
  <c r="D181"/>
  <c r="I181"/>
  <c r="K182" l="1"/>
  <c r="O182"/>
  <c r="M182"/>
  <c r="P182"/>
  <c r="L182"/>
  <c r="Q182"/>
  <c r="R182"/>
  <c r="N182"/>
  <c r="J182"/>
  <c r="I182"/>
  <c r="F182"/>
  <c r="E182"/>
  <c r="G182"/>
  <c r="D182"/>
  <c r="H182"/>
  <c r="B183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89" l="1"/>
  <c r="C208"/>
  <c r="C194"/>
  <c r="C200"/>
  <c r="C186"/>
  <c r="C191"/>
  <c r="C205"/>
  <c r="C185"/>
  <c r="C203"/>
  <c r="C196"/>
  <c r="C206"/>
  <c r="C198"/>
  <c r="C195"/>
  <c r="C188"/>
  <c r="C207"/>
  <c r="C199"/>
  <c r="C193"/>
  <c r="C190"/>
  <c r="C187"/>
  <c r="C202"/>
  <c r="C184"/>
  <c r="C201"/>
  <c r="C192"/>
  <c r="C204"/>
  <c r="C183"/>
  <c r="C197"/>
  <c r="C178"/>
  <c r="C177"/>
  <c r="C179"/>
  <c r="C180"/>
  <c r="C181"/>
  <c r="C182"/>
  <c r="C136"/>
  <c r="C121"/>
  <c r="C117"/>
  <c r="C134"/>
  <c r="C167"/>
  <c r="C118"/>
  <c r="C149"/>
  <c r="C129"/>
  <c r="C103"/>
  <c r="C131"/>
  <c r="C144"/>
  <c r="C163"/>
  <c r="C156"/>
  <c r="C109"/>
  <c r="C125"/>
  <c r="C145"/>
  <c r="C122"/>
  <c r="C116"/>
  <c r="C132"/>
  <c r="C172"/>
  <c r="C168"/>
  <c r="C108"/>
  <c r="C161"/>
  <c r="C115"/>
  <c r="C135"/>
  <c r="C166"/>
  <c r="C153"/>
  <c r="C104"/>
  <c r="C120"/>
  <c r="C111"/>
  <c r="C128"/>
  <c r="C140"/>
  <c r="C127"/>
  <c r="C157"/>
  <c r="C169"/>
  <c r="C105"/>
  <c r="C174"/>
  <c r="C170"/>
  <c r="C148"/>
  <c r="C155"/>
  <c r="C138"/>
  <c r="C119"/>
  <c r="C113"/>
  <c r="C130"/>
  <c r="C158"/>
  <c r="C107"/>
  <c r="C159"/>
  <c r="C124"/>
  <c r="C165"/>
  <c r="C160"/>
  <c r="C137"/>
  <c r="C106"/>
  <c r="C143"/>
  <c r="C139"/>
  <c r="C173"/>
  <c r="C171"/>
  <c r="C150"/>
  <c r="C147"/>
  <c r="C146"/>
  <c r="C110"/>
  <c r="C112"/>
  <c r="C152"/>
  <c r="C142"/>
  <c r="C154"/>
  <c r="C141"/>
  <c r="C164"/>
  <c r="C176"/>
  <c r="C114"/>
  <c r="C126"/>
  <c r="C175"/>
  <c r="C123"/>
  <c r="C133"/>
  <c r="C162"/>
  <c r="C151"/>
  <c r="C89"/>
  <c r="C9"/>
  <c r="C66"/>
  <c r="C98"/>
  <c r="C50"/>
  <c r="C54"/>
  <c r="C56"/>
  <c r="C24"/>
  <c r="C11"/>
  <c r="C12"/>
  <c r="C29"/>
  <c r="C100"/>
  <c r="C65"/>
  <c r="C26"/>
  <c r="C10"/>
  <c r="C57"/>
  <c r="C71"/>
  <c r="C64"/>
  <c r="C44"/>
  <c r="C88"/>
  <c r="C31"/>
  <c r="C77"/>
  <c r="C17"/>
  <c r="C99"/>
  <c r="C34"/>
  <c r="C25"/>
  <c r="C42"/>
  <c r="C47"/>
  <c r="C13"/>
  <c r="C36"/>
  <c r="C32"/>
  <c r="C95"/>
  <c r="C22"/>
  <c r="C55"/>
  <c r="C76"/>
  <c r="C102"/>
  <c r="C81"/>
  <c r="C38"/>
  <c r="C30"/>
  <c r="C79"/>
  <c r="C74"/>
  <c r="C43"/>
  <c r="C59"/>
  <c r="C78"/>
  <c r="C58"/>
  <c r="C14"/>
  <c r="C101"/>
  <c r="C48"/>
  <c r="C16"/>
  <c r="C23"/>
  <c r="C52"/>
  <c r="C37"/>
  <c r="C92"/>
  <c r="C27"/>
  <c r="C45"/>
  <c r="C86"/>
  <c r="C40"/>
  <c r="C80"/>
  <c r="C73"/>
  <c r="C19"/>
  <c r="C60"/>
  <c r="C51"/>
  <c r="C62"/>
  <c r="C85"/>
  <c r="C15"/>
  <c r="C18"/>
  <c r="C61"/>
  <c r="C33"/>
  <c r="C75"/>
  <c r="C21"/>
  <c r="C49"/>
  <c r="C35"/>
  <c r="C97"/>
  <c r="C70"/>
  <c r="C82"/>
  <c r="C53"/>
  <c r="C63"/>
  <c r="C94"/>
  <c r="C41"/>
  <c r="C46"/>
  <c r="C93"/>
  <c r="C39"/>
  <c r="C28"/>
  <c r="C96"/>
  <c r="C20"/>
  <c r="C67"/>
  <c r="C84"/>
  <c r="C69"/>
  <c r="C91"/>
  <c r="C87"/>
  <c r="C72"/>
  <c r="C68"/>
  <c r="C83"/>
  <c r="C90"/>
</calcChain>
</file>

<file path=xl/sharedStrings.xml><?xml version="1.0" encoding="utf-8"?>
<sst xmlns="http://schemas.openxmlformats.org/spreadsheetml/2006/main" count="5588" uniqueCount="2037">
  <si>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</si>
  <si>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</si>
  <si>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</si>
  <si>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</si>
  <si>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</si>
  <si>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</si>
  <si>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</si>
  <si>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</si>
  <si>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</si>
  <si>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</si>
  <si>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</si>
  <si>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</si>
  <si>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</si>
  <si>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</si>
  <si>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</si>
  <si>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</si>
  <si>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</si>
  <si>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</si>
  <si>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</si>
  <si>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</si>
  <si>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</si>
  <si>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</si>
  <si>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</si>
  <si>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</si>
  <si>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</si>
  <si>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</si>
  <si>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</si>
  <si>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</si>
  <si>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</si>
  <si>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</si>
  <si>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</si>
  <si>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</si>
  <si>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</si>
  <si>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</si>
  <si>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</si>
  <si>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</si>
  <si>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</si>
  <si>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</si>
  <si>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</si>
  <si>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</si>
  <si>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</si>
  <si>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</si>
  <si>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</si>
  <si>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</si>
  <si>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</si>
  <si>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</si>
  <si>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</si>
  <si>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</si>
  <si>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</si>
  <si>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</si>
  <si>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</si>
  <si>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</si>
  <si>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</si>
  <si>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</si>
  <si>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</si>
  <si>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</si>
  <si>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</si>
  <si>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</si>
  <si>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</si>
  <si>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</si>
  <si>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</si>
  <si>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</si>
  <si>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</si>
  <si>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</si>
  <si>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</si>
  <si>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</si>
  <si>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</si>
  <si>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</si>
  <si>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</si>
  <si>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</si>
  <si>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</si>
  <si>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</si>
  <si>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</si>
  <si>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</si>
  <si>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</si>
  <si>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</si>
  <si>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</si>
  <si>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</si>
  <si>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</si>
  <si>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</si>
  <si>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</si>
  <si>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</si>
  <si>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</si>
  <si>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</si>
  <si>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</si>
  <si>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</si>
  <si>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</si>
  <si>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</si>
  <si>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</si>
  <si>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</si>
  <si>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</si>
  <si>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</si>
  <si>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</si>
  <si>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</si>
  <si>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</si>
  <si>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</si>
  <si>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</si>
  <si>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</si>
  <si>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</si>
  <si>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</si>
  <si>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</si>
  <si>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</si>
  <si>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</si>
  <si>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</si>
  <si>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</si>
  <si>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</si>
  <si>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</si>
  <si>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</si>
  <si>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</si>
  <si>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</si>
  <si>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</si>
  <si>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</si>
  <si>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</si>
  <si>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</si>
  <si>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</si>
  <si>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</si>
  <si>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</si>
  <si>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</si>
  <si>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</si>
  <si>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</si>
  <si>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</si>
  <si>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</si>
  <si>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</si>
  <si>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</si>
  <si>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</si>
  <si>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</si>
  <si>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</si>
  <si>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</si>
  <si>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</si>
  <si>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</si>
  <si>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</si>
  <si>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</si>
  <si>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</si>
  <si>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</si>
  <si>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</si>
  <si>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</si>
  <si>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</si>
  <si>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</si>
  <si>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</si>
  <si>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</si>
  <si>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</si>
  <si>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</si>
  <si>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</si>
  <si>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</si>
  <si>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</si>
  <si>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</si>
  <si>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</si>
  <si>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</si>
  <si>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</si>
  <si>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</si>
  <si>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</si>
  <si>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</si>
  <si>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</si>
  <si>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</si>
  <si>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</si>
  <si>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</si>
  <si>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</si>
  <si>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</si>
  <si>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</si>
  <si>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</si>
  <si>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</si>
  <si>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</si>
  <si>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</si>
  <si>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</si>
  <si>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</si>
  <si>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</si>
  <si>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</si>
  <si>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</si>
  <si>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</si>
  <si>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</si>
  <si>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</si>
  <si>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</si>
  <si>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</si>
  <si>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</si>
  <si>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</si>
  <si>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</si>
  <si>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</si>
  <si>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</si>
  <si>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</si>
  <si>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</si>
  <si>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</si>
  <si>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</si>
  <si>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</si>
  <si>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</si>
  <si>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</si>
  <si>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</si>
  <si>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</si>
  <si>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</si>
  <si>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</si>
  <si>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</si>
  <si>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</si>
  <si>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</si>
  <si>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</si>
  <si>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</si>
  <si>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</si>
  <si>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</si>
  <si>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</si>
  <si>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</si>
  <si>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</si>
  <si>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</si>
  <si>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</si>
  <si>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</si>
  <si>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</si>
  <si>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</si>
  <si>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</si>
  <si>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</si>
  <si>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</si>
  <si>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</si>
  <si>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</si>
  <si>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</si>
  <si>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</si>
  <si>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</si>
  <si>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</si>
  <si>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</si>
  <si>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</si>
  <si>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</si>
  <si>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</si>
  <si>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</si>
  <si>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</si>
  <si>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</si>
  <si>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</si>
  <si>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</si>
  <si>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</si>
  <si>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</si>
  <si>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</si>
  <si>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</si>
  <si>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</si>
  <si>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</si>
  <si>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</si>
  <si>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</si>
  <si>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</si>
  <si>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</si>
  <si>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</si>
  <si>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</si>
  <si>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</si>
  <si>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</si>
  <si>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</si>
  <si>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</si>
  <si>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</si>
  <si>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</si>
  <si>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</si>
  <si>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</si>
  <si>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</si>
  <si>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</si>
  <si>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</si>
  <si>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</si>
  <si>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</si>
  <si>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</si>
  <si>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</si>
  <si>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</si>
  <si>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</si>
  <si>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</si>
  <si>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</si>
  <si>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</si>
  <si>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</si>
  <si>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</si>
  <si>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</si>
  <si>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</si>
  <si>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</si>
  <si>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</si>
  <si>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</si>
  <si>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</si>
  <si>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</si>
  <si>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</si>
  <si>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</si>
  <si>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</si>
  <si>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</si>
  <si>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</si>
  <si>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</si>
  <si>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</si>
  <si>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</si>
  <si>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</si>
  <si>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</si>
  <si>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</si>
  <si>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</si>
  <si>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</si>
  <si>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</si>
  <si>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</si>
  <si>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</si>
  <si>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</si>
  <si>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</si>
  <si>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</si>
  <si>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</si>
  <si>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</si>
  <si>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</si>
  <si>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</si>
  <si>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</si>
  <si>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</si>
  <si>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</si>
  <si>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</si>
  <si>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</si>
  <si>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</si>
  <si>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</si>
  <si>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</si>
  <si>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</si>
  <si>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</si>
  <si>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</si>
  <si>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</si>
  <si>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</si>
  <si>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</si>
  <si>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</si>
  <si>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</si>
  <si>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</si>
  <si>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</si>
  <si>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</si>
  <si>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</si>
  <si>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</si>
  <si>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</si>
  <si>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</si>
  <si>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</si>
  <si>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</si>
  <si>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</si>
  <si>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</si>
  <si>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</si>
  <si>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</si>
  <si>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</si>
  <si>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</si>
  <si>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</si>
  <si>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</si>
  <si>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</si>
  <si>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</si>
  <si>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</si>
  <si>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</si>
  <si>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</si>
  <si>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</si>
  <si>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</si>
  <si>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</si>
  <si>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</si>
  <si>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</si>
  <si>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</si>
  <si>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</si>
  <si>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</si>
  <si>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</si>
  <si>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</si>
  <si>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</si>
  <si>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</si>
  <si>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</si>
  <si>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</si>
  <si>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</si>
  <si>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</si>
  <si>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</si>
  <si>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</si>
  <si>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</si>
  <si>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</si>
  <si>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</si>
  <si>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</si>
  <si>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</si>
  <si>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</si>
  <si>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</si>
  <si>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</si>
  <si>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</si>
  <si>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</si>
  <si>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</si>
  <si>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</si>
  <si>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</si>
  <si>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</si>
  <si>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</si>
  <si>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</si>
  <si>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</si>
  <si>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</si>
  <si>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</si>
  <si>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</si>
  <si>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</si>
  <si>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</si>
  <si>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</si>
  <si>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</si>
  <si>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</si>
  <si>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</si>
  <si>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</si>
  <si>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</si>
  <si>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</si>
  <si>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</si>
  <si>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</si>
  <si>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</si>
  <si>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</si>
  <si>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</si>
  <si>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</si>
  <si>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</si>
  <si>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</si>
  <si>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</si>
  <si>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</si>
  <si>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</si>
  <si>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</si>
  <si>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</si>
  <si>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</si>
  <si>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</si>
  <si>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</si>
  <si>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</si>
  <si>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</si>
  <si>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</si>
  <si>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</si>
  <si>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</si>
  <si>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</si>
  <si>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</si>
  <si>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</si>
  <si>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</si>
  <si>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</si>
  <si>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</si>
  <si>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</si>
  <si>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</si>
  <si>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</si>
  <si>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</si>
  <si>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</si>
  <si>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</si>
  <si>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</si>
  <si>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</si>
  <si>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</si>
  <si>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</si>
  <si>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</si>
  <si>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</si>
  <si>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</si>
  <si>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</si>
  <si>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</si>
  <si>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</si>
  <si>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</si>
  <si>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</si>
  <si>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</si>
  <si>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</si>
  <si>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</si>
  <si>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</si>
  <si>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</si>
  <si>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</si>
  <si>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</si>
  <si>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</si>
  <si>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</si>
  <si>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</si>
  <si>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</si>
  <si>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</si>
  <si>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</si>
  <si>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</si>
  <si>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</si>
  <si>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</si>
  <si>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</si>
  <si>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</si>
  <si>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</si>
  <si>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</si>
  <si>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</si>
  <si>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</si>
  <si>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</si>
  <si>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</si>
  <si>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</si>
  <si>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</si>
  <si>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</si>
  <si>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</si>
  <si>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</si>
  <si>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</si>
  <si>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</si>
  <si>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</si>
  <si>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</si>
  <si>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</si>
  <si>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</si>
  <si>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</si>
  <si>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</si>
  <si>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</si>
  <si>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</si>
  <si>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</si>
  <si>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</si>
  <si>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</si>
  <si>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</si>
  <si>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</si>
  <si>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</si>
  <si>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</si>
  <si>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</si>
  <si>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</si>
  <si>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</si>
  <si>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</si>
  <si>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</si>
  <si>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</si>
  <si>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</si>
  <si>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</si>
  <si>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</si>
  <si>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</si>
  <si>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</si>
  <si>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</si>
  <si>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</si>
  <si>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</si>
  <si>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</si>
  <si>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</si>
  <si>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</si>
  <si>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</si>
  <si>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</si>
  <si>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</si>
  <si>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</si>
  <si>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</si>
  <si>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</si>
  <si>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</si>
  <si>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</si>
  <si>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</si>
  <si>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</si>
  <si>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</si>
  <si>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</si>
  <si>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</si>
  <si>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</si>
  <si>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</si>
  <si>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</si>
  <si>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</si>
  <si>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</si>
  <si>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</si>
  <si>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</si>
  <si>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</si>
  <si>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</si>
  <si>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</si>
  <si>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</si>
  <si>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</si>
  <si>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</si>
  <si>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</si>
  <si>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</si>
  <si>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</si>
  <si>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</si>
  <si>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</si>
  <si>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</si>
  <si>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</si>
  <si>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</si>
  <si>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</si>
  <si>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</si>
  <si>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</si>
  <si>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</si>
  <si>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</si>
  <si>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</si>
  <si>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</si>
  <si>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</si>
  <si>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</si>
  <si>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</si>
  <si>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</si>
  <si>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</si>
  <si>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</si>
  <si>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</si>
  <si>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</si>
  <si>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</si>
  <si>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</si>
  <si>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</si>
  <si>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</si>
  <si>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</si>
  <si>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</si>
  <si>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</si>
  <si>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</si>
  <si>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</si>
  <si>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</si>
  <si>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</si>
  <si>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</si>
  <si>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</si>
  <si>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</si>
  <si>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</si>
  <si>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</si>
  <si>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</si>
  <si>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</si>
  <si>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</si>
  <si>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</si>
  <si>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</si>
  <si>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</si>
  <si>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</si>
  <si>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</si>
  <si>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</si>
  <si>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</si>
  <si>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</si>
  <si>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</si>
  <si>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</si>
  <si>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</si>
  <si>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</si>
  <si>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</si>
  <si>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</si>
  <si>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</si>
  <si>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</si>
  <si>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</si>
  <si>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</si>
  <si>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</si>
  <si>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</si>
  <si>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</si>
  <si>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</si>
  <si>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</si>
  <si>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</si>
  <si>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</si>
  <si>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</si>
  <si>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</si>
  <si>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</si>
  <si>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</si>
  <si>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</si>
  <si>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</si>
  <si>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</si>
  <si>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</si>
  <si>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</si>
  <si>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</si>
  <si>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</si>
  <si>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</si>
  <si>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</si>
  <si>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</si>
  <si>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</si>
  <si>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</si>
  <si>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</si>
  <si>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</si>
  <si>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</si>
  <si>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</si>
  <si>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</si>
  <si>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</si>
  <si>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</si>
  <si>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</si>
  <si>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</si>
  <si>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</si>
  <si>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</si>
  <si>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</si>
  <si>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</si>
  <si>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</si>
  <si>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</si>
  <si>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</si>
  <si>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</si>
  <si>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</si>
  <si>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</si>
  <si>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</si>
  <si>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</si>
  <si>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</si>
  <si>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</si>
  <si>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</si>
  <si>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</si>
  <si>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</si>
  <si>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</si>
  <si>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</si>
  <si>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</si>
  <si>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</si>
  <si>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</si>
  <si>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</si>
  <si>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</si>
  <si>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</si>
  <si>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</si>
  <si>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</si>
  <si>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</si>
  <si>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</si>
  <si>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</si>
  <si>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</si>
  <si>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</si>
  <si>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</si>
  <si>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</si>
  <si>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</si>
  <si>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</si>
  <si>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</si>
  <si>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</si>
  <si>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</si>
  <si>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</si>
  <si>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</si>
  <si>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</si>
  <si>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</si>
  <si>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</si>
  <si>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</si>
  <si>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</si>
  <si>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</si>
  <si>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</si>
  <si>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</si>
  <si>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</si>
  <si>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</si>
  <si>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</si>
  <si>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</si>
  <si>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</si>
  <si>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</si>
  <si>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</si>
  <si>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</si>
  <si>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</si>
  <si>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</si>
  <si>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</si>
  <si>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</si>
  <si>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</si>
  <si>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</si>
  <si>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</si>
  <si>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</si>
  <si>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</si>
  <si>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</si>
  <si>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</si>
  <si>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</si>
  <si>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</si>
  <si>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</si>
  <si>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</si>
  <si>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</si>
  <si>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</si>
  <si>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</si>
  <si>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</si>
  <si>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</si>
  <si>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</si>
  <si>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</si>
  <si>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</si>
  <si>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</si>
  <si>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</si>
  <si>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</si>
  <si>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</si>
  <si>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</si>
  <si>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</si>
  <si>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</si>
  <si>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</si>
  <si>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</si>
  <si>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</si>
  <si>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</si>
  <si>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</si>
  <si>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</si>
  <si>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</si>
  <si>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</si>
  <si>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</si>
  <si>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</si>
  <si>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</si>
  <si>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</si>
  <si>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</si>
  <si>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</si>
  <si>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</si>
  <si>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</si>
  <si>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</si>
  <si>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</si>
  <si>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</si>
  <si>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</si>
  <si>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</si>
  <si>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</si>
  <si>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</si>
  <si>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</si>
  <si>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</si>
  <si>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</si>
  <si>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</si>
  <si>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</si>
  <si>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</si>
  <si>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</si>
  <si>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</si>
  <si>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</si>
  <si>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</si>
  <si>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</si>
  <si>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</si>
  <si>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</si>
  <si>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</si>
  <si>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</si>
  <si>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</si>
  <si>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</si>
  <si>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</si>
  <si>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</si>
  <si>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</si>
  <si>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</si>
  <si>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</si>
  <si>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</si>
  <si>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</si>
  <si>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</si>
  <si>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</si>
  <si>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</si>
  <si>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</si>
  <si>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</si>
  <si>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</si>
  <si>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</si>
  <si>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</si>
  <si>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</si>
  <si>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</si>
  <si>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</si>
  <si>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</si>
  <si>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</si>
  <si>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</si>
  <si>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</si>
  <si>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</si>
  <si>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</si>
  <si>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</si>
  <si>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</si>
  <si>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</si>
  <si>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</si>
  <si>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</si>
  <si>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</si>
  <si>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</si>
  <si>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</si>
  <si>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</si>
  <si>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</si>
  <si>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</si>
  <si>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</si>
  <si>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</si>
  <si>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</si>
  <si>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</si>
  <si>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</si>
  <si>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</si>
  <si>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</si>
  <si>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</si>
  <si>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</si>
  <si>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</si>
  <si>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</si>
  <si>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</si>
  <si>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</si>
  <si>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</si>
  <si>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</si>
  <si>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</si>
  <si>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</si>
  <si>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</si>
  <si>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</si>
  <si>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</si>
  <si>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</si>
  <si>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</si>
  <si>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</si>
  <si>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</si>
  <si>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</si>
  <si>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</si>
  <si>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</si>
  <si>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</si>
  <si>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</si>
  <si>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</si>
  <si>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</si>
  <si>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</si>
  <si>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</si>
  <si>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</si>
  <si>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</si>
  <si>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</si>
  <si>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</si>
  <si>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</si>
  <si>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</si>
  <si>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</si>
  <si>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</si>
  <si>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</si>
  <si>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</si>
  <si>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</si>
  <si>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</si>
  <si>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</si>
  <si>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</si>
  <si>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</si>
  <si>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</si>
  <si>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</si>
  <si>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</si>
  <si>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</si>
  <si>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</si>
  <si>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</si>
  <si>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</si>
  <si>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</si>
  <si>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</si>
  <si>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</si>
  <si>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</si>
  <si>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</si>
  <si>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</si>
  <si>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</si>
  <si>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</si>
  <si>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</si>
  <si>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</si>
  <si>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</si>
  <si>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</si>
  <si>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</si>
  <si>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</si>
  <si>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</si>
  <si>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</si>
  <si>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</si>
  <si>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</si>
  <si>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</si>
  <si>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</si>
  <si>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</si>
  <si>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</si>
  <si>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</si>
  <si>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</si>
  <si>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</si>
  <si>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</si>
  <si>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</si>
  <si>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</si>
  <si>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</si>
  <si>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</si>
  <si>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</si>
  <si>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</si>
  <si>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</si>
  <si>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</si>
  <si>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</si>
  <si>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</si>
  <si>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</si>
  <si>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</si>
  <si>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</si>
  <si>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</si>
  <si>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</si>
  <si>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</si>
  <si>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</si>
  <si>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</si>
  <si>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</si>
  <si>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</si>
  <si>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</si>
  <si>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</si>
  <si>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</si>
  <si>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</si>
  <si>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</si>
  <si>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</si>
  <si>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</si>
  <si>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</si>
  <si>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</si>
  <si>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</si>
  <si>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</si>
  <si>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</si>
  <si>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</si>
  <si>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</si>
  <si>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</si>
  <si>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</si>
  <si>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</si>
  <si>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</si>
  <si>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</si>
  <si>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</si>
  <si>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</si>
  <si>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</si>
  <si>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</si>
  <si>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</si>
  <si>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</si>
  <si>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</si>
  <si>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</si>
  <si>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</si>
  <si>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</si>
  <si>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</si>
  <si>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</si>
  <si>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</si>
  <si>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</si>
  <si>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</si>
  <si>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</si>
  <si>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</si>
  <si>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</si>
  <si>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</si>
  <si>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</si>
  <si>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</si>
  <si>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</si>
  <si>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</si>
  <si>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</si>
  <si>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</si>
  <si>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</si>
  <si>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</si>
  <si>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</si>
  <si>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</si>
  <si>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</si>
  <si>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</si>
  <si>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</si>
  <si>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</si>
  <si>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</si>
  <si>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</si>
  <si>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</si>
  <si>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</si>
  <si>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</si>
  <si>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</si>
  <si>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</si>
  <si>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</si>
  <si>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</si>
  <si>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</si>
  <si>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</si>
  <si>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</si>
  <si>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</si>
  <si>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</si>
  <si>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</si>
  <si>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</si>
  <si>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</si>
  <si>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</si>
  <si>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</si>
  <si>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</si>
  <si>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</si>
  <si>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</si>
  <si>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</si>
  <si>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</si>
  <si>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</si>
  <si>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</si>
  <si>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</si>
  <si>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</si>
  <si>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</si>
  <si>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</si>
  <si>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</si>
  <si>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</si>
  <si>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</si>
  <si>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</si>
  <si>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</si>
  <si>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</si>
  <si>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</si>
  <si>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</si>
  <si>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</si>
  <si>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</si>
  <si>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</si>
  <si>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</si>
  <si>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</si>
  <si>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</si>
  <si>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</si>
  <si>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</si>
  <si>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</si>
  <si>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</si>
  <si>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</si>
  <si>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</si>
  <si>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</si>
  <si>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</si>
  <si>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</si>
  <si>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</si>
  <si>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</si>
  <si>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</si>
  <si>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</si>
  <si>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</si>
  <si>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</si>
  <si>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</si>
  <si>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</si>
  <si>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</si>
  <si>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</si>
  <si>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</si>
  <si>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</si>
  <si>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</si>
  <si>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</si>
  <si>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</si>
  <si>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</si>
  <si>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</si>
  <si>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</si>
  <si>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</si>
  <si>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</si>
  <si>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</si>
  <si>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</si>
  <si>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</si>
  <si>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</si>
  <si>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</si>
  <si>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</si>
  <si>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</si>
  <si>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</si>
  <si>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</si>
  <si>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</si>
  <si>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</si>
  <si>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</si>
  <si>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</si>
  <si>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</si>
  <si>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</si>
  <si>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</si>
  <si>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</si>
  <si>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</si>
  <si>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</si>
  <si>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</si>
  <si>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</si>
  <si>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</si>
  <si>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</si>
  <si>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</si>
  <si>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</si>
  <si>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</si>
  <si>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</si>
  <si>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</si>
  <si>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</si>
  <si>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</si>
  <si>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</si>
  <si>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</si>
  <si>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</si>
  <si>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</si>
  <si>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</si>
  <si>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</si>
  <si>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</si>
  <si>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</si>
  <si>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</si>
  <si>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</si>
  <si>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</si>
  <si>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</si>
  <si>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</si>
  <si>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</si>
  <si>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</si>
  <si>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</si>
  <si>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</si>
  <si>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</si>
  <si>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</si>
  <si>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</si>
  <si>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</si>
  <si>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</si>
  <si>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</si>
  <si>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</si>
  <si>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</si>
  <si>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</si>
  <si>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</si>
  <si>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</si>
  <si>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</si>
  <si>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</si>
  <si>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</si>
  <si>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</si>
  <si>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</si>
  <si>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</si>
  <si>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</si>
  <si>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</si>
  <si>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</si>
  <si>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</si>
  <si>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</si>
  <si>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</si>
  <si>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</si>
  <si>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</si>
  <si>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</si>
  <si>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</si>
  <si>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</si>
  <si>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</si>
  <si>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</si>
  <si>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</si>
  <si>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</si>
  <si>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</si>
  <si>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</si>
  <si>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</si>
  <si>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</si>
  <si>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</si>
  <si>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</si>
  <si>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</si>
  <si>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</si>
  <si>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</si>
  <si>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</si>
  <si>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</si>
  <si>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</si>
  <si>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</si>
  <si>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</si>
  <si>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</si>
  <si>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</si>
  <si>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</si>
  <si>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</si>
  <si>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</si>
  <si>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</si>
  <si>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</si>
  <si>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</si>
  <si>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</si>
  <si>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</si>
  <si>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</si>
  <si>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</si>
  <si>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</si>
  <si>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</si>
  <si>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</si>
  <si>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</si>
  <si>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</si>
  <si>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</si>
  <si>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</si>
  <si>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</si>
  <si>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</si>
  <si>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</si>
  <si>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</si>
  <si>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</si>
  <si>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</si>
  <si>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</si>
  <si>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</si>
  <si>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</si>
  <si>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</si>
  <si>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</si>
  <si>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</si>
  <si>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</si>
  <si>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</si>
  <si>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</si>
  <si>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</si>
  <si>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</si>
  <si>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</si>
  <si>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</si>
  <si>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</si>
  <si>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</si>
  <si>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</si>
  <si>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</si>
  <si>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</si>
  <si>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</si>
  <si>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</si>
  <si>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</si>
  <si>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</si>
  <si>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</si>
  <si>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</si>
  <si>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</si>
  <si>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</si>
  <si>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</si>
  <si>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</si>
  <si>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</si>
  <si>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</si>
  <si>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</si>
  <si>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</si>
  <si>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</si>
  <si>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</si>
  <si>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</si>
  <si>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</si>
  <si>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</si>
  <si>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</si>
  <si>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</si>
  <si>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</si>
  <si>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</si>
  <si>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</si>
  <si>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</si>
  <si>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</si>
  <si>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</si>
  <si>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</si>
  <si>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</si>
  <si>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</si>
  <si>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</si>
  <si>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</si>
  <si>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</si>
  <si>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</si>
  <si>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</si>
  <si>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</si>
  <si>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</si>
  <si>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</si>
  <si>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</si>
  <si>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</si>
  <si>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</si>
  <si>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</si>
  <si>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</si>
  <si>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</si>
  <si>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</si>
  <si>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</si>
  <si>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</si>
  <si>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</si>
  <si>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</si>
  <si>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</si>
  <si>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</si>
  <si>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</si>
  <si>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</si>
  <si>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</si>
  <si>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</si>
  <si>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</si>
  <si>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</si>
  <si>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</si>
  <si>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</si>
  <si>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</si>
  <si>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</si>
  <si>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</si>
  <si>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</si>
  <si>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</si>
  <si>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</si>
  <si>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</si>
  <si>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</si>
  <si>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</si>
  <si>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</si>
  <si>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</si>
  <si>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</si>
  <si>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</si>
  <si>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</si>
  <si>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</si>
  <si>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</si>
  <si>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</si>
  <si>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</si>
  <si>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</si>
  <si>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</si>
  <si>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</si>
  <si>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</si>
  <si>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</si>
  <si>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</si>
  <si>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</si>
  <si>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</si>
  <si>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</si>
  <si>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</si>
  <si>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</si>
  <si>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</si>
  <si>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</si>
  <si>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</si>
  <si>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</si>
  <si>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</si>
  <si>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</si>
  <si>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</si>
  <si>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</si>
  <si>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</si>
  <si>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</si>
  <si>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</si>
  <si>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</si>
  <si>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</si>
  <si>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</si>
  <si>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</si>
  <si>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</si>
  <si>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</si>
  <si>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</si>
  <si>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</si>
  <si>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</si>
  <si>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</si>
  <si>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</si>
  <si>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</si>
  <si>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</si>
  <si>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</si>
  <si>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</si>
  <si>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</si>
  <si>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</si>
  <si>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</si>
  <si>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</si>
  <si>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</si>
  <si>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</si>
  <si>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</si>
  <si>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</si>
  <si>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</si>
  <si>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</si>
  <si>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</si>
  <si>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</si>
  <si>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</si>
  <si>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</si>
  <si>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</si>
  <si>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</si>
  <si>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</si>
  <si>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</si>
  <si>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</si>
  <si>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</si>
  <si>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</si>
  <si>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</si>
  <si>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</si>
  <si>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</si>
  <si>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</si>
  <si>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</si>
  <si>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</si>
  <si>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</si>
  <si>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</si>
  <si>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</si>
  <si>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</si>
  <si>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</si>
  <si>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</si>
  <si>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</si>
  <si>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</si>
  <si>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</si>
  <si>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</si>
  <si>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</si>
  <si>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</si>
  <si>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</si>
  <si>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</si>
  <si>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</si>
  <si>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</si>
  <si>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</si>
  <si>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</si>
  <si>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</si>
  <si>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</si>
  <si>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</si>
  <si>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</si>
  <si>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</si>
  <si>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</si>
  <si>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</si>
  <si>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</si>
  <si>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</si>
  <si>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</si>
  <si>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</si>
  <si>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</si>
  <si>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</si>
  <si>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</si>
  <si>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</si>
  <si>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</si>
  <si>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</si>
  <si>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</si>
  <si>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</si>
  <si>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</si>
  <si>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</si>
  <si>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</si>
  <si>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</si>
  <si>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</si>
  <si>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</si>
  <si>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</si>
  <si>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</si>
  <si>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</si>
  <si>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</si>
  <si>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</si>
  <si>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</si>
  <si>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</si>
  <si>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</si>
  <si>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</si>
  <si>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</si>
  <si>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</si>
  <si>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</si>
  <si>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</si>
  <si>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</si>
  <si>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</si>
  <si>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</si>
  <si>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</si>
  <si>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</si>
  <si>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</si>
  <si>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</si>
  <si>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</si>
  <si>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</si>
  <si>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</si>
  <si>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</si>
  <si>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</si>
  <si>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</si>
  <si>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</si>
  <si>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</si>
  <si>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</si>
  <si>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</si>
  <si>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</si>
  <si>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</si>
  <si>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</si>
  <si>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</si>
  <si>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</si>
  <si>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</si>
  <si>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</si>
  <si>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</si>
  <si>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</si>
  <si>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</si>
  <si>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</si>
  <si>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</si>
  <si>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</si>
  <si>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</si>
  <si>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</si>
  <si>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</si>
  <si>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</si>
  <si>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</si>
  <si>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</si>
  <si>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</si>
  <si>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</si>
  <si>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</si>
  <si>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</si>
  <si>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</si>
  <si>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</si>
  <si>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</si>
  <si>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</si>
  <si>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</si>
  <si>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</si>
  <si>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</si>
  <si>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</si>
  <si>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</si>
  <si>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</si>
  <si>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</si>
  <si>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</si>
  <si>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</si>
  <si>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</si>
  <si>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</si>
  <si>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</si>
  <si>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</si>
  <si>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</si>
  <si>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</si>
  <si>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</si>
  <si>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</si>
  <si>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</si>
  <si>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</si>
  <si>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</si>
  <si>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</si>
  <si>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</si>
  <si>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</si>
  <si>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</si>
  <si>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</si>
  <si>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</si>
  <si>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</si>
  <si>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</si>
  <si>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</si>
  <si>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</si>
  <si>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</si>
  <si>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</si>
  <si>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</si>
  <si>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</si>
  <si>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</si>
  <si>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</si>
  <si>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</si>
  <si>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</si>
  <si>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</si>
  <si>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</si>
  <si>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</si>
  <si>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</si>
  <si>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</si>
  <si>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</si>
  <si>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</si>
  <si>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</si>
  <si>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</si>
  <si>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</si>
  <si>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</si>
  <si>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</si>
  <si>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</si>
  <si>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</si>
  <si>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</si>
  <si>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</si>
  <si>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</si>
  <si>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</si>
  <si>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</si>
  <si>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</si>
  <si>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</si>
  <si>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</si>
  <si>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</si>
  <si>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</si>
  <si>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</si>
  <si>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</si>
  <si>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</si>
  <si>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</si>
  <si>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</si>
  <si>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</si>
  <si>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</si>
  <si>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</si>
  <si>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</si>
  <si>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</si>
  <si>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</si>
  <si>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</si>
  <si>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</si>
  <si>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</si>
  <si>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</si>
  <si>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</si>
  <si>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</si>
  <si>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</si>
  <si>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</si>
  <si>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</si>
  <si>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</si>
  <si>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</si>
  <si>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</si>
  <si>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</si>
  <si>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</si>
  <si>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</si>
  <si>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</si>
  <si>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</si>
  <si>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</si>
  <si>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</si>
  <si>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</si>
  <si>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</si>
  <si>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</si>
  <si>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</si>
  <si>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</si>
  <si>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</si>
  <si>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</si>
  <si>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</si>
  <si>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</si>
  <si>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</si>
  <si>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</si>
  <si>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</si>
  <si>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</si>
  <si>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</si>
  <si>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</si>
  <si>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</si>
  <si>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</si>
  <si>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</si>
  <si>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</si>
  <si>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</si>
  <si>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</si>
  <si>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</si>
  <si>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</si>
  <si>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</si>
  <si>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</si>
  <si>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</si>
  <si>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</si>
  <si>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</si>
  <si>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</si>
  <si>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</si>
  <si>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</si>
  <si>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</si>
  <si>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</si>
  <si>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</si>
  <si>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</si>
  <si>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</si>
  <si>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</si>
  <si>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</si>
  <si>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</si>
  <si>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</si>
  <si>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</si>
  <si>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</si>
  <si>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</si>
  <si>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</si>
  <si>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</si>
  <si>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</si>
  <si>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</si>
  <si>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</si>
  <si>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</si>
  <si>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</si>
  <si>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</si>
  <si>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</si>
  <si>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</si>
  <si>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</si>
  <si>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</si>
  <si>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</si>
  <si>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</si>
  <si>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</si>
  <si>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</si>
  <si>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</si>
  <si>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</si>
  <si>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</si>
  <si>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</si>
  <si>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</si>
  <si>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</si>
  <si>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</si>
  <si>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</si>
  <si>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</si>
  <si>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</si>
  <si>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</si>
  <si>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</si>
  <si>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</si>
  <si>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</si>
  <si>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</si>
  <si>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</si>
  <si>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</si>
  <si>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</si>
  <si>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</si>
  <si>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</si>
  <si>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</si>
  <si>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</si>
  <si>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</si>
  <si>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</si>
  <si>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</si>
  <si>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</si>
  <si>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</si>
  <si>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</si>
  <si>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</si>
  <si>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</si>
  <si>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</si>
  <si>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</si>
  <si>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</si>
  <si>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</si>
  <si>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</si>
  <si>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</si>
  <si>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</si>
  <si>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</si>
  <si>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</si>
  <si>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</si>
  <si>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</si>
  <si>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</si>
  <si>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</si>
  <si>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</si>
  <si>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</si>
  <si>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</si>
  <si>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</si>
  <si>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</si>
  <si>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</si>
  <si>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</si>
  <si>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</si>
  <si>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</si>
  <si>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</si>
  <si>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</si>
  <si>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</si>
  <si>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</si>
  <si>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</si>
  <si>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</si>
  <si>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</si>
  <si>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</si>
  <si>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</si>
  <si>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</si>
  <si>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</si>
  <si>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</si>
  <si>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</si>
  <si>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</si>
  <si>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</si>
  <si>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</si>
  <si>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</si>
  <si>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</si>
  <si>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</si>
  <si>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</si>
  <si>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</si>
  <si>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</si>
  <si>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</si>
  <si>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</si>
  <si>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</si>
  <si>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</si>
  <si>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</si>
  <si>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</si>
  <si>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</si>
  <si>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</si>
  <si>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</si>
  <si>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</si>
  <si>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</si>
  <si>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</si>
  <si>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</si>
  <si>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</si>
  <si>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</si>
  <si>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</si>
  <si>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</si>
  <si>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</si>
  <si>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</si>
  <si>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</si>
  <si>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</si>
  <si>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</si>
  <si>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</si>
  <si>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</si>
  <si>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</si>
  <si>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</si>
  <si>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</si>
  <si>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</si>
  <si>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</si>
  <si>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</si>
  <si>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</si>
  <si>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</si>
  <si>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</si>
  <si>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</si>
  <si>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</si>
  <si>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</si>
  <si>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</si>
  <si>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</si>
  <si>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</si>
  <si>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</si>
  <si>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</si>
  <si>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</si>
  <si>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</si>
  <si>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</si>
  <si>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</si>
  <si>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</si>
  <si>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</si>
  <si>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</si>
  <si>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</si>
  <si>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</si>
  <si>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</si>
  <si>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</si>
  <si>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</si>
  <si>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</si>
  <si>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</si>
  <si>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</si>
  <si>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</si>
  <si>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</si>
  <si>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</si>
  <si>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</si>
  <si>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</si>
  <si>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</si>
  <si>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</si>
  <si>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</si>
  <si>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</si>
  <si>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</si>
  <si>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</si>
  <si>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</si>
  <si>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</si>
  <si>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</si>
  <si>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</si>
  <si>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</si>
  <si>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</si>
  <si>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</si>
  <si>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</si>
  <si>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</si>
  <si>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</si>
  <si>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</si>
  <si>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</si>
  <si>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</si>
  <si>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</si>
  <si>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</si>
  <si>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</si>
  <si>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</si>
  <si>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</si>
  <si>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</si>
  <si>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</si>
  <si>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</si>
  <si>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</si>
  <si>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</si>
  <si>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</si>
  <si>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</si>
  <si>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</si>
  <si>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</si>
  <si>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</si>
  <si>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</si>
  <si>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</si>
  <si>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</si>
  <si>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</si>
  <si>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</si>
  <si>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</si>
  <si>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</si>
  <si>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</si>
  <si>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</si>
  <si>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</si>
  <si>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</si>
  <si>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</si>
  <si>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</si>
  <si>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</si>
  <si>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</si>
  <si>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</si>
  <si>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</si>
  <si>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</si>
  <si>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</si>
  <si>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</si>
  <si>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</si>
  <si>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</si>
  <si>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</si>
  <si>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</si>
  <si>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</si>
  <si>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</si>
  <si>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</si>
  <si>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</si>
  <si>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</si>
  <si>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</si>
  <si>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</si>
  <si>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</si>
  <si>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</si>
  <si>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</si>
  <si>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</si>
  <si>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</si>
  <si>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</si>
  <si>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</si>
  <si>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</si>
  <si>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</si>
  <si>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</si>
  <si>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</si>
  <si>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</si>
  <si>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</si>
  <si>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</si>
  <si>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</si>
  <si>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</si>
  <si>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</si>
  <si>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</si>
  <si>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</si>
  <si>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</si>
  <si>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</si>
  <si>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</si>
  <si>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</si>
  <si>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</si>
  <si>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</si>
  <si>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</si>
  <si>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</si>
  <si>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</si>
  <si>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</si>
  <si>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</si>
  <si>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</si>
  <si>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</si>
  <si>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</si>
  <si>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</si>
  <si>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</si>
  <si>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</si>
  <si>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</si>
  <si>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</si>
  <si>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</si>
  <si>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</si>
  <si>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</si>
  <si>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</si>
  <si>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</si>
  <si>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</si>
  <si>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</si>
  <si>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</si>
  <si>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</si>
  <si>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</si>
  <si>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</si>
  <si>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</si>
  <si>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</si>
  <si>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</si>
  <si>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</si>
  <si>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</si>
  <si>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</si>
  <si>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</si>
  <si>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</si>
  <si>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</si>
  <si>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</si>
  <si>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</si>
  <si>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</si>
  <si>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</si>
  <si>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</si>
  <si>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</si>
  <si>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</si>
  <si>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</si>
  <si>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</si>
  <si>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</si>
  <si>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</si>
  <si>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</si>
  <si>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</si>
  <si>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</si>
  <si>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</si>
  <si>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</si>
  <si>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</si>
  <si>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</si>
  <si>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</si>
  <si>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</si>
  <si>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</si>
  <si>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</si>
  <si>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</si>
  <si>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</si>
  <si>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</si>
  <si>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</si>
  <si>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</si>
  <si>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</si>
  <si>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</si>
  <si>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</si>
  <si>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</si>
  <si>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</si>
  <si>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</si>
  <si>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</si>
  <si>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</si>
  <si>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</si>
  <si>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</si>
  <si>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</si>
  <si>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</si>
  <si>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</si>
  <si>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</si>
  <si>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</si>
  <si>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</si>
  <si>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</si>
  <si>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</si>
  <si>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</si>
  <si>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</si>
  <si>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</si>
  <si>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</si>
  <si>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</si>
  <si>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</si>
  <si>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</si>
  <si>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</si>
  <si>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</si>
  <si>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</si>
  <si>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</si>
  <si>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</si>
  <si>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</si>
  <si>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</si>
  <si>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</si>
  <si>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</si>
  <si>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</si>
  <si>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</si>
  <si>
    <t>PaidInvoiceList</t>
  </si>
  <si>
    <t>Paid Invoices</t>
  </si>
  <si>
    <t>Invoice/PaidInvoiceList</t>
  </si>
  <si>
    <t>PaidInvoices</t>
  </si>
  <si>
    <t>Invoices which are not paid</t>
  </si>
  <si>
    <t>Invoices which are paid</t>
  </si>
  <si>
    <t>Invoice/PaidInvoices</t>
  </si>
  <si>
    <t>PaidInvoiceListAction</t>
  </si>
  <si>
    <t>(Lists) Invoice/PaidInvoiceList</t>
  </si>
  <si>
    <t>OISAssignUsersAction</t>
  </si>
  <si>
    <t>Assign Providers</t>
  </si>
  <si>
    <t>(Forms) OrderItemServiceUser/AssignProviderToOIS</t>
  </si>
  <si>
    <t>OrderItemService/OISAssignUsersAction</t>
  </si>
  <si>
    <t>(Fields) OrderItemServiceUser/AssignProviderToOIS/ois</t>
  </si>
  <si>
    <t>Order/Hub</t>
  </si>
  <si>
    <t>Add Provider to OIS</t>
  </si>
  <si>
    <t>OrderItemHub</t>
  </si>
  <si>
    <t>The hub in which the Item currently resides</t>
  </si>
  <si>
    <t>HubOrderItems</t>
  </si>
  <si>
    <t>The order items in a hub currently</t>
  </si>
  <si>
    <t>OrderItem/Hub</t>
  </si>
  <si>
    <t>Current Hub</t>
  </si>
  <si>
    <t>Employee/MyHubProviderList</t>
  </si>
  <si>
    <t>Employee/RequestorHubServiceProviders</t>
  </si>
  <si>
    <t>OrderItem/UpdateOrderItem/hub</t>
  </si>
  <si>
    <t>name_and_services</t>
  </si>
  <si>
    <t>HubShiftController</t>
  </si>
  <si>
    <t>OwnHubs</t>
  </si>
  <si>
    <t>Only hubs which are assigned to the request user</t>
  </si>
  <si>
    <t>ownHubs</t>
  </si>
  <si>
    <t>OwnHubList</t>
  </si>
  <si>
    <t>Hub/OwnHubList</t>
  </si>
  <si>
    <t>Hub/OwnHubs</t>
  </si>
  <si>
    <t>HubShiftEditData</t>
  </si>
  <si>
    <t>HubShiftUpdateAction</t>
  </si>
  <si>
    <t>(Data) HubShift/HubShiftEditData</t>
  </si>
  <si>
    <t>HubShift/HubShiftUpdateAction</t>
  </si>
  <si>
    <t>OwnHubItems</t>
  </si>
  <si>
    <t>The order items which belongs to the hubs assigned to the requestor</t>
  </si>
  <si>
    <t>ownHubItems</t>
  </si>
  <si>
    <t>OwnHubOrderItems</t>
  </si>
  <si>
    <t>OrderItem/OwnHubOrderItems</t>
  </si>
  <si>
    <t>OrderItem/OwnHubItems</t>
  </si>
  <si>
    <t>ManageHubShiftItems</t>
  </si>
  <si>
    <t>Add/Remove Items</t>
  </si>
  <si>
    <t>HubShift/ManageHubShiftItems</t>
  </si>
  <si>
    <t>ManageShiftItems</t>
  </si>
  <si>
    <t>ManageItems</t>
  </si>
  <si>
    <t>The list of order items which can be managed</t>
  </si>
  <si>
    <t>(Relation) HubShift/ManageItems</t>
  </si>
  <si>
    <t>EmployeeJobServices</t>
  </si>
  <si>
    <t>Tasks</t>
  </si>
  <si>
    <t>The job services assigned to an provider</t>
  </si>
  <si>
    <t>ManageEmployeeJobTasks</t>
  </si>
  <si>
    <t>Manage Tasks</t>
  </si>
  <si>
    <t>(Relation) Employee/Tasks</t>
  </si>
  <si>
    <t>Employee/ManageEmployeeJobTasks</t>
  </si>
  <si>
    <t>ManageServiceEmployees</t>
  </si>
  <si>
    <t>Add/Remove Employees</t>
  </si>
  <si>
    <t>(Relation) OrderItemService/Users</t>
  </si>
  <si>
    <t>OrderItemService/ManageServiceEmployees</t>
  </si>
  <si>
    <t>TaskList</t>
  </si>
  <si>
    <t>The job details assigned to an provider</t>
  </si>
  <si>
    <t>OwnHubOrders</t>
  </si>
  <si>
    <t>Order/OwnHubOrders</t>
  </si>
  <si>
    <t>The orders which are created from within hubs assigned</t>
  </si>
  <si>
    <t>ownHub</t>
  </si>
  <si>
    <t>OwnHubOrdersListAction</t>
  </si>
  <si>
    <t>(Lists) Order/OwnHubOrders</t>
  </si>
  <si>
    <t>OwnHubOrderItemServices</t>
  </si>
  <si>
    <t>The services which are to be performed from within assiged hubs</t>
  </si>
  <si>
    <t>OwnHubOISList</t>
  </si>
  <si>
    <t>OrderItemService/OwnHubOISList</t>
  </si>
  <si>
    <t>OrderItemService/OwnHubOrderItemServices</t>
  </si>
  <si>
    <t>(Lists) OrderItemService/OwnHubOISList</t>
  </si>
  <si>
    <t>JobsListAction</t>
  </si>
  <si>
    <t>Jobs</t>
  </si>
  <si>
    <t>OwnHubOISUs</t>
  </si>
  <si>
    <t>The Jobs which are available within own hub</t>
  </si>
  <si>
    <t>OwnJobs</t>
  </si>
  <si>
    <t>Jobs/Tasks which are assigned to the current user</t>
  </si>
  <si>
    <t>myJobs</t>
  </si>
  <si>
    <t>OwnHubOISUList</t>
  </si>
  <si>
    <t>OrderItemServiceUser/OwnHubOISUList</t>
  </si>
  <si>
    <t>OrderItemServiceUser/OwnHubOISUs</t>
  </si>
  <si>
    <t>Start</t>
  </si>
  <si>
    <t>End</t>
  </si>
  <si>
    <t>Service Time</t>
  </si>
  <si>
    <t>(Lists) OrderItemServiceUser/OwnHubOISUList</t>
  </si>
  <si>
    <t>OwnJobsListAction</t>
  </si>
  <si>
    <t>My Jobs</t>
  </si>
  <si>
    <t>MyJobs</t>
  </si>
  <si>
    <t>OrderItemServiceUser/MyJobs</t>
  </si>
  <si>
    <t>OrderItemServiceUser/OwnJobs</t>
  </si>
  <si>
    <t>Assigned On</t>
  </si>
  <si>
    <t>Started</t>
  </si>
  <si>
    <t>Ended</t>
  </si>
  <si>
    <t>new</t>
  </si>
  <si>
    <t>inService</t>
  </si>
  <si>
    <t>completed</t>
  </si>
  <si>
    <t>NewJobs</t>
  </si>
  <si>
    <t>InServiceJobs</t>
  </si>
  <si>
    <t>Jobs which are assigned but not started</t>
  </si>
  <si>
    <t>Jobs which are started but not finished</t>
  </si>
  <si>
    <t>Jobs which are finished</t>
  </si>
  <si>
    <t>NewJobsListAction</t>
  </si>
  <si>
    <t>New Jobs</t>
  </si>
  <si>
    <t>ServicingJobsListAction</t>
  </si>
  <si>
    <t>In Service Jobs</t>
  </si>
  <si>
    <t>CompletedJobsListAction</t>
  </si>
  <si>
    <t>Completed Jobs</t>
  </si>
  <si>
    <t>OrderItemServiceUser/NewJobs</t>
  </si>
  <si>
    <t>OrderItemServiceUser/InServiceJobs</t>
  </si>
  <si>
    <t>CompletedJobs</t>
  </si>
  <si>
    <t>OrderItemServiceUser/CompletedJobs</t>
  </si>
  <si>
    <t>OrderItemServiceUser/AssignedBy</t>
  </si>
  <si>
    <t>Assigned By</t>
  </si>
  <si>
    <t>Started At</t>
  </si>
  <si>
    <t>Ended At</t>
  </si>
  <si>
    <t>MyCompleted</t>
  </si>
  <si>
    <t>My New Jobs</t>
  </si>
  <si>
    <t>My Servicing Jobs</t>
  </si>
  <si>
    <t>My Completed Jobs</t>
  </si>
  <si>
    <t>OrderItemServiceUser/MyCompleted</t>
  </si>
  <si>
    <t>Servicing Jobs</t>
  </si>
  <si>
    <t>MyNewJobsList</t>
  </si>
  <si>
    <t>CompletedJobsList</t>
  </si>
  <si>
    <t>NewJobsList</t>
  </si>
  <si>
    <t>ServicingJobsList</t>
  </si>
  <si>
    <t>MyInServiceJobs</t>
  </si>
  <si>
    <t>(Lists) OrderItemServiceUser/MyJobs</t>
  </si>
  <si>
    <t>(Lists) OrderItemServiceUser/MyNewJobsList</t>
  </si>
  <si>
    <t>(Lists) OrderItemServiceUser/MyInServiceJobs</t>
  </si>
  <si>
    <t>(Lists) OrderItemServiceUser/MyCompleted</t>
  </si>
  <si>
    <t>OrderItemServiceUser/NewJobsList</t>
  </si>
  <si>
    <t>OrderItemServiceUser/ServicingJobsList</t>
  </si>
  <si>
    <t>OrderItemServiceUser/CompletedJobsList</t>
  </si>
  <si>
    <t>OrderItemServiceUser/MyNewJobsList</t>
  </si>
  <si>
    <t>OrderItemServiceUser/MyInServiceJobs</t>
  </si>
  <si>
    <t>Service Jobs</t>
  </si>
  <si>
    <t>OwnNewJobsListAction</t>
  </si>
  <si>
    <t>OwnServicingJobsListAction</t>
  </si>
  <si>
    <t>OwnCompletedJobsListAction</t>
  </si>
  <si>
    <t>(Lists) OrderItemServiceUser/NewJobsList</t>
  </si>
  <si>
    <t>(Lists) OrderItemServiceUser/ServicingJobsList</t>
  </si>
  <si>
    <t>(Lists) OrderItemServiceUser/CompletedJobsList</t>
  </si>
  <si>
    <t>JobStartForm</t>
  </si>
  <si>
    <t>Start Job</t>
  </si>
  <si>
    <t>OrderItemServiceUser/JobStartForm</t>
  </si>
  <si>
    <t>Start Date and Time</t>
  </si>
  <si>
    <t>OrderItemServiceUser/JobStartForm/start_at</t>
  </si>
  <si>
    <t>FinishJobForm</t>
  </si>
  <si>
    <t>Finish Job</t>
  </si>
  <si>
    <t>Done</t>
  </si>
  <si>
    <t>OrderItemServiceUser/FinishJobForm</t>
  </si>
  <si>
    <t>Finied on Date and Time</t>
  </si>
  <si>
    <t>OrderItemServiceUser/FinishJobForm/end_at</t>
  </si>
  <si>
    <t>StartJobAction</t>
  </si>
  <si>
    <t>(Forms) OrderItemServiceUser/JobStartForm</t>
  </si>
  <si>
    <t>(Forms) OrderItemServiceUser/FinishJobForm</t>
  </si>
  <si>
    <t>FinishJobAction</t>
  </si>
  <si>
    <t>OrderItemServiceData</t>
  </si>
  <si>
    <t>(Data) OrderItemServiceUser/OrderItemServiceData</t>
  </si>
  <si>
    <t>OrderItemServiceUser/StartJobAction</t>
  </si>
  <si>
    <t>Update Start Time</t>
  </si>
  <si>
    <t>Update Finish Time</t>
  </si>
  <si>
    <t>OrderItemServiceUser/FinishJobAction</t>
  </si>
  <si>
    <t>OrderItemServiceUserController</t>
  </si>
  <si>
    <t>currentStartAtDateTime</t>
  </si>
  <si>
    <t>currentEndAtDateTime</t>
  </si>
  <si>
    <t>All Jobs</t>
  </si>
  <si>
    <t>My All Jobs</t>
  </si>
  <si>
    <t>['New','In Service','Service Completed','Ready To Deliver','Delivered']</t>
  </si>
  <si>
    <t>OrderItemDeliveryRecord</t>
  </si>
  <si>
    <t>The record of delivery where this item belongs to</t>
  </si>
  <si>
    <t>DeliveryController</t>
  </si>
  <si>
    <t>ServiceCompletedOrders</t>
  </si>
  <si>
    <t>deliverable</t>
  </si>
  <si>
    <t>Orders which are deliverable</t>
  </si>
  <si>
    <t>DeliverableOrders</t>
  </si>
  <si>
    <t>Order/ServiceCompletedOrders</t>
  </si>
  <si>
    <t>Order/DeliverableOrders</t>
  </si>
  <si>
    <t>Order/OrderEditData</t>
  </si>
  <si>
    <t>Order/EditOrderForm/customer</t>
  </si>
  <si>
    <t>TaskAssignableServices</t>
  </si>
  <si>
    <t>assignable</t>
  </si>
  <si>
    <t>OwnHubAssignableOISList</t>
  </si>
  <si>
    <t>OrderItemService/OwnHubAssignableOISList</t>
  </si>
  <si>
    <t>OrderItemService/TaskAssignableServices</t>
  </si>
  <si>
    <t>(Lists) OrderItemService/OwnHubAssignableOISList</t>
  </si>
  <si>
    <t>UndeliveredOrders</t>
  </si>
  <si>
    <t>Order/Undelivered</t>
  </si>
  <si>
    <t>UndeliveredOwnHubOrders</t>
  </si>
  <si>
    <t>Order/UndeliveredOwnHubOrders</t>
  </si>
  <si>
    <t>All Orders</t>
  </si>
  <si>
    <t>(Lists) Order/UndeliveredOwnHubOrders</t>
  </si>
  <si>
    <t>UndeliveredOrderItems</t>
  </si>
  <si>
    <t>Order Item Services which are available to assign</t>
  </si>
  <si>
    <t>Order items which are undelivered</t>
  </si>
  <si>
    <t>OrderItem/UndeliveredOrderItems</t>
  </si>
  <si>
    <t>UndeliveredOwnHubOrderItems</t>
  </si>
  <si>
    <t>OrderItem/UndeliveredOwnHubOrderItems</t>
  </si>
  <si>
    <t>(Lists) OrderItem/UndeliveredOwnHubOrderItems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</si>
</sst>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97" totalsRowShown="0" headerRowDxfId="348" dataDxfId="347">
  <autoFilter ref="A1:Y97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66" totalsRowShown="0" headerRowDxfId="321" dataDxfId="320">
  <autoFilter ref="AA1:AL6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31" totalsRowShown="0" headerRowDxfId="299" dataDxfId="298">
  <autoFilter ref="A1:K31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9" headerRowDxfId="286" dataDxfId="285">
  <autoFilter ref="M1:BA89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5" totalsRowShown="0" headerRowDxfId="243" dataDxfId="242">
  <autoFilter ref="BC1:BH65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12" totalsRowShown="0" headerRowDxfId="189" dataDxfId="188">
  <autoFilter ref="DB1:DL1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4" dataDxfId="163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1">
  <autoFilter ref="A1:H27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"2019_05_01_"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46" totalsRowShown="0" dataDxfId="132">
  <autoFilter ref="A1:K46">
    <filterColumn colId="1"/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2" totalsRowShown="0" headerRowDxfId="120" dataDxfId="119">
  <autoFilter ref="M1:AD82">
    <filterColumn colId="0"/>
  </autoFilter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76" totalsRowShown="0" headerRowDxfId="85" dataDxfId="84">
  <autoFilter ref="AT1:BE176">
    <filterColumn colId="1"/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5" totalsRowShown="0" dataDxfId="71">
  <autoFilter ref="A1:J15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3" totalsRowShown="0" headerRowDxfId="60" dataDxfId="59">
  <autoFilter ref="L1:AC2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0" dataDxfId="39">
  <autoFilter ref="AE1:AN15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5" totalsRowShown="0" dataDxfId="443">
  <autoFilter ref="A1:K145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1" totalsRowShown="0" headerRowDxfId="28" dataDxfId="27">
  <autoFilter ref="AP1:AW41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01" totalsRowShown="0" dataDxfId="372">
  <autoFilter ref="A1:N101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6" totalsRowShown="0" dataDxfId="357">
  <autoFilter ref="P1:W26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1128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1116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1154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9"/>
  <sheetViews>
    <sheetView topLeftCell="J40" workbookViewId="0">
      <selection activeCell="AP57" sqref="AP57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1394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1123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1142</v>
      </c>
      <c r="H3" s="16"/>
      <c r="I3" s="9" t="s">
        <v>1123</v>
      </c>
      <c r="J3" s="9" t="s">
        <v>1141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1353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1143</v>
      </c>
      <c r="U3" s="83" t="s">
        <v>1144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1355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1199</v>
      </c>
      <c r="BH3" s="104">
        <v>4</v>
      </c>
      <c r="BJ3" s="62" t="s">
        <v>1356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1379</v>
      </c>
      <c r="BP3" s="107" t="s">
        <v>1385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1194</v>
      </c>
      <c r="BW3" s="107" t="s">
        <v>1206</v>
      </c>
      <c r="BX3" s="107" t="s">
        <v>1789</v>
      </c>
      <c r="BY3" s="107" t="s">
        <v>1210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1353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1384</v>
      </c>
      <c r="CT3" s="108"/>
      <c r="CU3" s="108"/>
      <c r="CV3" s="108"/>
      <c r="CW3" s="108"/>
      <c r="CX3" s="108"/>
      <c r="CY3" s="108"/>
      <c r="CZ3" s="108"/>
      <c r="DA3"/>
      <c r="DB3" s="62" t="s">
        <v>1239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1723</v>
      </c>
      <c r="DI3" s="62"/>
      <c r="DJ3" s="62"/>
      <c r="DK3" s="62"/>
      <c r="DL3" s="62" t="s">
        <v>1724</v>
      </c>
      <c r="DY3" s="62" t="s">
        <v>1158</v>
      </c>
      <c r="DZ3" s="62" t="s">
        <v>1560</v>
      </c>
      <c r="EA3" s="62" t="s">
        <v>1341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1168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1343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1352</v>
      </c>
      <c r="H4" s="16"/>
      <c r="I4" s="9" t="s">
        <v>1362</v>
      </c>
      <c r="J4" s="9" t="s">
        <v>1517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1353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1143</v>
      </c>
      <c r="U4" s="83" t="s">
        <v>1145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1356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1199</v>
      </c>
      <c r="BH4" s="104">
        <v>4</v>
      </c>
      <c r="BJ4" s="62" t="s">
        <v>1356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1380</v>
      </c>
      <c r="BP4" s="107" t="s">
        <v>1381</v>
      </c>
      <c r="BQ4" s="107" t="s">
        <v>1382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1221</v>
      </c>
      <c r="BW4" s="107" t="s">
        <v>1224</v>
      </c>
      <c r="BX4" s="107" t="s">
        <v>1226</v>
      </c>
      <c r="BY4" s="107" t="s">
        <v>1227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1389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1375</v>
      </c>
      <c r="CT4" s="108"/>
      <c r="CU4" s="108"/>
      <c r="CV4" s="108"/>
      <c r="CW4" s="108"/>
      <c r="CX4" s="108"/>
      <c r="CY4" s="108"/>
      <c r="CZ4" s="108"/>
      <c r="DA4"/>
      <c r="DB4" s="62" t="s">
        <v>1252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2111150</v>
      </c>
      <c r="DF4" s="63"/>
      <c r="DG4" s="62"/>
      <c r="DH4" s="62"/>
      <c r="DI4" s="62"/>
      <c r="DJ4" s="62" t="s">
        <v>1830</v>
      </c>
      <c r="DK4" s="62"/>
      <c r="DL4" s="62" t="s">
        <v>99</v>
      </c>
      <c r="DY4" s="62" t="s">
        <v>1158</v>
      </c>
      <c r="DZ4" s="62" t="s">
        <v>1560</v>
      </c>
      <c r="EA4" s="62" t="s">
        <v>1340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1168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1343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1388</v>
      </c>
      <c r="H5" s="69"/>
      <c r="I5" s="63" t="s">
        <v>1392</v>
      </c>
      <c r="J5" s="9" t="s">
        <v>1516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1353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1132</v>
      </c>
      <c r="T5" s="83" t="s">
        <v>1132</v>
      </c>
      <c r="U5" s="83" t="s">
        <v>1146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1357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1199</v>
      </c>
      <c r="BH5" s="104">
        <v>4</v>
      </c>
      <c r="BJ5" s="62" t="s">
        <v>1359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1379</v>
      </c>
      <c r="BP5" s="107" t="s">
        <v>1385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1248</v>
      </c>
      <c r="BW5" s="107" t="s">
        <v>1254</v>
      </c>
      <c r="BX5" s="107" t="s">
        <v>1335</v>
      </c>
      <c r="BY5" s="107" t="s">
        <v>1336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1158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1375</v>
      </c>
      <c r="CT5" s="107"/>
      <c r="CU5" s="107"/>
      <c r="CV5" s="107"/>
      <c r="CW5" s="107"/>
      <c r="CX5" s="107"/>
      <c r="CY5" s="107"/>
      <c r="CZ5" s="107"/>
      <c r="DA5"/>
      <c r="DB5" s="62" t="s">
        <v>1283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2111163</v>
      </c>
      <c r="DF5" s="63"/>
      <c r="DG5" s="62"/>
      <c r="DH5" s="62"/>
      <c r="DI5" s="62"/>
      <c r="DJ5" s="62" t="s">
        <v>1830</v>
      </c>
      <c r="DK5" s="62"/>
      <c r="DL5" s="62" t="s">
        <v>99</v>
      </c>
      <c r="DY5" s="62" t="s">
        <v>1214</v>
      </c>
      <c r="DZ5" s="62" t="s">
        <v>1713</v>
      </c>
      <c r="EA5" s="62" t="s">
        <v>1236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1470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1140</v>
      </c>
      <c r="H6" s="16"/>
      <c r="I6" s="9" t="s">
        <v>785</v>
      </c>
      <c r="J6" s="9" t="s">
        <v>1141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1354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1195</v>
      </c>
      <c r="U6" s="98" t="s">
        <v>1374</v>
      </c>
      <c r="V6" s="99" t="s">
        <v>1375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1376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1199</v>
      </c>
      <c r="BH6" s="104">
        <v>4</v>
      </c>
      <c r="BJ6" s="62" t="s">
        <v>1359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1380</v>
      </c>
      <c r="BP6" s="107" t="s">
        <v>1381</v>
      </c>
      <c r="BQ6" s="107" t="s">
        <v>1382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1158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1378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1285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2111165</v>
      </c>
      <c r="DF6" s="63" t="s">
        <v>850</v>
      </c>
      <c r="DG6" s="62"/>
      <c r="DH6" s="62"/>
      <c r="DI6" s="62"/>
      <c r="DJ6" s="62" t="s">
        <v>1831</v>
      </c>
      <c r="DK6" s="62"/>
      <c r="DL6" s="62" t="s">
        <v>1724</v>
      </c>
      <c r="DY6" s="62" t="s">
        <v>1259</v>
      </c>
      <c r="DZ6" s="62" t="s">
        <v>1731</v>
      </c>
      <c r="EA6" s="62" t="s">
        <v>1858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2109194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1854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1184</v>
      </c>
      <c r="H7" s="69"/>
      <c r="I7" s="63" t="s">
        <v>899</v>
      </c>
      <c r="J7" s="9" t="s">
        <v>1141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1354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1143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1358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1199</v>
      </c>
      <c r="BH7" s="104">
        <v>4</v>
      </c>
      <c r="BJ7" s="62" t="s">
        <v>1390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1379</v>
      </c>
      <c r="BP7" s="107" t="s">
        <v>1385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1158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1132</v>
      </c>
      <c r="CL7" s="107" t="s">
        <v>1378</v>
      </c>
      <c r="CM7" s="69" t="str">
        <f>IFERROR(VLOOKUP(FormDefault[[#This Row],[R]],RelationTable[[Display]:[RELID]],2,0),"")</f>
        <v/>
      </c>
      <c r="CN7" s="107" t="s">
        <v>1132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B7" s="62" t="s">
        <v>1264</v>
      </c>
      <c r="DC7" s="63" t="str">
        <f>'Table Seed Map'!$A$18&amp;"-"&amp;COUNTA($DB$2:FieldDepends[[#This Row],[Field for Depend]])</f>
        <v>Field Depends-5</v>
      </c>
      <c r="DD7" s="69">
        <f>IF(FieldDepends[[#This Row],[Field for Depend]]="","id",-1+COUNTA($DB$1:FieldDepends[[#This Row],[Field for Depend]])+VLOOKUP('Table Seed Map'!$A$18,SeedMap[],9,0))</f>
        <v>2117105</v>
      </c>
      <c r="DE7" s="69">
        <f>IFERROR(VLOOKUP(FieldDepends[[#This Row],[Field for Depend]],FormFields[[Field Name]:[ID]],2,0),"form_field")</f>
        <v>2111158</v>
      </c>
      <c r="DF7" s="63" t="s">
        <v>809</v>
      </c>
      <c r="DG7" s="62" t="s">
        <v>809</v>
      </c>
      <c r="DH7" s="62" t="s">
        <v>1723</v>
      </c>
      <c r="DI7" s="62"/>
      <c r="DJ7" s="62"/>
      <c r="DK7" s="62"/>
      <c r="DL7" s="62" t="s">
        <v>1724</v>
      </c>
      <c r="DY7" s="62" t="s">
        <v>1259</v>
      </c>
      <c r="DZ7" s="62" t="s">
        <v>1731</v>
      </c>
      <c r="EA7" s="62" t="s">
        <v>1263</v>
      </c>
      <c r="EB7" s="9" t="str">
        <f>'Table Seed Map'!$A$20&amp;"-"&amp;-1+COUNTA($DY$1:FormDataMapping[[#This Row],[Form for Data Mapping]])</f>
        <v>Form Data Map-5</v>
      </c>
      <c r="EC7" s="9">
        <f>IF(FormDataMapping[[#This Row],[Form for Data Mapping]]="","id",-1+COUNTA($DY$1:FormDataMapping[[#This Row],[Form for Data Mapping]])+VLOOKUP('Table Seed Map'!$A$20,SeedMap[],9,0))</f>
        <v>2119105</v>
      </c>
      <c r="ED7" s="2">
        <f>IF(FormDataMapping[[#This Row],[Form for Data Mapping]]="","resource_form",VLOOKUP([Form for Data Mapping],ResourceForms[[FormName]:[ID]],4,0))</f>
        <v>2110118</v>
      </c>
      <c r="EE7" s="9">
        <f>IF(FormDataMapping[[#This Row],[Form for Data Mapping]]="","resource_data",VLOOKUP([Resource Data],ResourceData[[DataDisplayName]:[ID]],8,0))</f>
        <v>2128106</v>
      </c>
      <c r="EF7" s="9">
        <f>IF(FormDataMapping[[#This Row],[Form for Data Mapping]]="","form_field",VLOOKUP([Form Field],FormFields[[Field Name]:[ID]],2,0))</f>
        <v>2111157</v>
      </c>
      <c r="EG7" s="2" t="s">
        <v>21</v>
      </c>
      <c r="EH7" s="9">
        <f>IF(FormDataMapping[[#This Row],[Form for Data Mapping]]="","relation",IFERROR(VLOOKUP([Relation],RelationTable[[Display]:[RELID]],2,0),""))</f>
        <v>2109154</v>
      </c>
      <c r="EI7" s="9" t="str">
        <f>IF(FormDataMapping[[#This Row],[Form for Data Mapping]]="","nest_relation1",IFERROR(VLOOKUP([Rel1],RelationTable[[Display]:[RELID]],2,0),""))</f>
        <v/>
      </c>
      <c r="EJ7" s="9" t="str">
        <f>IF(FormDataMapping[[#This Row],[Form for Data Mapping]]="","nest_relation2",IFERROR(VLOOKUP([Rel2],RelationTable[[Display]:[RELID]],2,0),""))</f>
        <v/>
      </c>
      <c r="EK7" s="9" t="str">
        <f>IF(FormDataMapping[[#This Row],[Form for Data Mapping]]="","nest_relation3",IFERROR(VLOOKUP([Rel3],RelationTable[[Display]:[RELID]],2,0),""))</f>
        <v/>
      </c>
      <c r="EL7" s="9" t="str">
        <f>IF(FormDataMapping[[#This Row],[Form for Data Mapping]]="","nest_relation4",IFERROR(VLOOKUP([Rel4],RelationTable[[Display]:[RELID]],2,0),""))</f>
        <v/>
      </c>
      <c r="EM7" s="9" t="str">
        <f>IF(FormDataMapping[[#This Row],[Form for Data Mapping]]="","nest_relation5",IFERROR(VLOOKUP([Rel5],RelationTable[[Display]:[RELID]],2,0),""))</f>
        <v/>
      </c>
      <c r="EN7" s="63" t="s">
        <v>1635</v>
      </c>
      <c r="EO7" s="9"/>
      <c r="EP7" s="9"/>
      <c r="EQ7" s="9"/>
      <c r="ER7" s="9"/>
      <c r="ES7" s="9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1190</v>
      </c>
      <c r="H8" s="69"/>
      <c r="I8" s="63" t="s">
        <v>778</v>
      </c>
      <c r="J8" s="9" t="s">
        <v>1141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1354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1143</v>
      </c>
      <c r="U8" s="83" t="s">
        <v>1145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1359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1199</v>
      </c>
      <c r="BH8" s="104">
        <v>4</v>
      </c>
      <c r="BJ8" s="62" t="s">
        <v>1390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1380</v>
      </c>
      <c r="BP8" s="107" t="s">
        <v>1381</v>
      </c>
      <c r="BQ8" s="107" t="s">
        <v>1382</v>
      </c>
      <c r="BR8" s="107"/>
      <c r="BS8" s="107"/>
      <c r="CE8" s="20"/>
      <c r="CH8"/>
      <c r="CI8" s="20"/>
      <c r="CM8"/>
      <c r="CU8" s="20"/>
      <c r="DA8"/>
      <c r="DB8" s="62" t="s">
        <v>1338</v>
      </c>
      <c r="DC8" s="63" t="str">
        <f>'Table Seed Map'!$A$18&amp;"-"&amp;COUNTA($DB$2:FieldDepends[[#This Row],[Field for Depend]])</f>
        <v>Field Depends-6</v>
      </c>
      <c r="DD8" s="69">
        <f>IF(FieldDepends[[#This Row],[Field for Depend]]="","id",-1+COUNTA($DB$1:FieldDepends[[#This Row],[Field for Depend]])+VLOOKUP('Table Seed Map'!$A$18,SeedMap[],9,0))</f>
        <v>2117106</v>
      </c>
      <c r="DE8" s="69">
        <f>IFERROR(VLOOKUP(FieldDepends[[#This Row],[Field for Depend]],FormFields[[Field Name]:[ID]],2,0),"form_field")</f>
        <v>2111171</v>
      </c>
      <c r="DF8" s="63"/>
      <c r="DG8" s="62"/>
      <c r="DH8" s="62"/>
      <c r="DI8" s="62"/>
      <c r="DJ8" s="62" t="s">
        <v>1830</v>
      </c>
      <c r="DK8" s="62"/>
      <c r="DL8" s="62" t="s">
        <v>99</v>
      </c>
      <c r="DY8" s="62" t="s">
        <v>1259</v>
      </c>
      <c r="DZ8" s="62" t="s">
        <v>1731</v>
      </c>
      <c r="EA8" s="62" t="s">
        <v>1264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2109155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1636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1193</v>
      </c>
      <c r="H9" s="69"/>
      <c r="I9" s="63" t="s">
        <v>1326</v>
      </c>
      <c r="J9" s="9" t="s">
        <v>1141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1354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1132</v>
      </c>
      <c r="T9" s="98" t="s">
        <v>1132</v>
      </c>
      <c r="U9" s="83" t="s">
        <v>1146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1395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1199</v>
      </c>
      <c r="BH9" s="104">
        <v>4</v>
      </c>
      <c r="BJ9" s="62" t="s">
        <v>1386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1379</v>
      </c>
      <c r="BP9" s="107" t="s">
        <v>1387</v>
      </c>
      <c r="BQ9" s="107"/>
      <c r="BR9" s="107"/>
      <c r="BS9" s="107"/>
      <c r="CE9" s="20"/>
      <c r="CH9"/>
      <c r="CI9" s="20"/>
      <c r="CM9"/>
      <c r="CU9" s="20"/>
      <c r="DA9"/>
      <c r="DB9" s="62" t="s">
        <v>1984</v>
      </c>
      <c r="DC9" s="63" t="str">
        <f>'Table Seed Map'!$A$18&amp;"-"&amp;COUNTA($DB$2:FieldDepends[[#This Row],[Field for Depend]])</f>
        <v>Field Depends-7</v>
      </c>
      <c r="DD9" s="69">
        <f>IF(FieldDepends[[#This Row],[Field for Depend]]="","id",-1+COUNTA($DB$1:FieldDepends[[#This Row],[Field for Depend]])+VLOOKUP('Table Seed Map'!$A$18,SeedMap[],9,0))</f>
        <v>2117107</v>
      </c>
      <c r="DE9" s="69">
        <f>IFERROR(VLOOKUP(FieldDepends[[#This Row],[Field for Depend]],FormFields[[Field Name]:[ID]],2,0),"form_field")</f>
        <v>2111186</v>
      </c>
      <c r="DF9" s="63"/>
      <c r="DG9" s="62"/>
      <c r="DH9" s="62"/>
      <c r="DI9" s="62"/>
      <c r="DJ9" s="62" t="s">
        <v>2002</v>
      </c>
      <c r="DK9" s="62"/>
      <c r="DL9" s="62" t="s">
        <v>99</v>
      </c>
      <c r="DY9" s="62" t="s">
        <v>1784</v>
      </c>
      <c r="DZ9" s="62" t="s">
        <v>2016</v>
      </c>
      <c r="EA9" s="62" t="s">
        <v>2017</v>
      </c>
      <c r="EB9" s="63" t="str">
        <f>'Table Seed Map'!$A$20&amp;"-"&amp;-1+COUNTA($DY$1:FormDataMapping[[#This Row],[Form for Data Mapping]])</f>
        <v>Form Data Map-7</v>
      </c>
      <c r="EC9" s="63">
        <f>IF(FormDataMapping[[#This Row],[Form for Data Mapping]]="","id",-1+COUNTA($DY$1:FormDataMapping[[#This Row],[Form for Data Mapping]])+VLOOKUP('Table Seed Map'!$A$20,SeedMap[],9,0))</f>
        <v>2119107</v>
      </c>
      <c r="ED9" s="62">
        <f>IF(FormDataMapping[[#This Row],[Form for Data Mapping]]="","resource_form",VLOOKUP([Form for Data Mapping],ResourceForms[[FormName]:[ID]],4,0))</f>
        <v>2110127</v>
      </c>
      <c r="EE9" s="63">
        <f>IF(FormDataMapping[[#This Row],[Form for Data Mapping]]="","resource_data",VLOOKUP([Resource Data],ResourceData[[DataDisplayName]:[ID]],8,0))</f>
        <v>2128111</v>
      </c>
      <c r="EF9" s="63">
        <f>IF(FormDataMapping[[#This Row],[Form for Data Mapping]]="","form_field",VLOOKUP([Form Field],FormFields[[Field Name]:[ID]],2,0))</f>
        <v>2111182</v>
      </c>
      <c r="EG9" s="62" t="s">
        <v>21</v>
      </c>
      <c r="EH9" s="63">
        <f>IF(FormDataMapping[[#This Row],[Form for Data Mapping]]="","relation",IFERROR(VLOOKUP([Relation],RelationTable[[Display]:[RELID]],2,0),""))</f>
        <v>2109147</v>
      </c>
      <c r="EI9" s="63" t="str">
        <f>IF(FormDataMapping[[#This Row],[Form for Data Mapping]]="","nest_relation1",IFERROR(VLOOKUP([Rel1],RelationTable[[Display]:[RELID]],2,0),""))</f>
        <v/>
      </c>
      <c r="EJ9" s="63" t="str">
        <f>IF(FormDataMapping[[#This Row],[Form for Data Mapping]]="","nest_relation2",IFERROR(VLOOKUP([Rel2],RelationTable[[Display]:[RELID]],2,0),""))</f>
        <v/>
      </c>
      <c r="EK9" s="63" t="str">
        <f>IF(FormDataMapping[[#This Row],[Form for Data Mapping]]="","nest_relation3",IFERROR(VLOOKUP([Rel3],RelationTable[[Display]:[RELID]],2,0),""))</f>
        <v/>
      </c>
      <c r="EL9" s="63" t="str">
        <f>IF(FormDataMapping[[#This Row],[Form for Data Mapping]]="","nest_relation4",IFERROR(VLOOKUP([Rel4],RelationTable[[Display]:[RELID]],2,0),""))</f>
        <v/>
      </c>
      <c r="EM9" s="63" t="str">
        <f>IF(FormDataMapping[[#This Row],[Form for Data Mapping]]="","nest_relation5",IFERROR(VLOOKUP([Rel5],RelationTable[[Display]:[RELID]],2,0),""))</f>
        <v/>
      </c>
      <c r="EN9" s="63" t="s">
        <v>1478</v>
      </c>
      <c r="EO9" s="63"/>
      <c r="EP9" s="63"/>
      <c r="EQ9" s="63"/>
      <c r="ER9" s="63"/>
      <c r="ES9" s="63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1205</v>
      </c>
      <c r="H10" s="69"/>
      <c r="I10" s="63" t="s">
        <v>1591</v>
      </c>
      <c r="J10" s="63" t="s">
        <v>1141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1389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1143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1390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1199</v>
      </c>
      <c r="BH10" s="104">
        <v>4</v>
      </c>
      <c r="BJ10" s="62" t="s">
        <v>1198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1379</v>
      </c>
      <c r="BP10" s="107" t="s">
        <v>1387</v>
      </c>
      <c r="BQ10" s="107"/>
      <c r="BR10" s="107"/>
      <c r="BS10" s="107"/>
      <c r="CE10" s="20"/>
      <c r="CH10"/>
      <c r="CI10" s="20"/>
      <c r="CM10"/>
      <c r="CU10" s="20"/>
      <c r="DA10"/>
      <c r="DB10" s="62" t="s">
        <v>1990</v>
      </c>
      <c r="DC10" s="63" t="str">
        <f>'Table Seed Map'!$A$18&amp;"-"&amp;COUNTA($DB$2:FieldDepends[[#This Row],[Field for Depend]])</f>
        <v>Field Depends-8</v>
      </c>
      <c r="DD10" s="69">
        <f>IF(FieldDepends[[#This Row],[Field for Depend]]="","id",-1+COUNTA($DB$1:FieldDepends[[#This Row],[Field for Depend]])+VLOOKUP('Table Seed Map'!$A$18,SeedMap[],9,0))</f>
        <v>2117108</v>
      </c>
      <c r="DE10" s="69">
        <f>IFERROR(VLOOKUP(FieldDepends[[#This Row],[Field for Depend]],FormFields[[Field Name]:[ID]],2,0),"form_field")</f>
        <v>2111187</v>
      </c>
      <c r="DF10" s="63"/>
      <c r="DG10" s="62"/>
      <c r="DH10" s="62"/>
      <c r="DI10" s="62"/>
      <c r="DJ10" s="62" t="s">
        <v>2003</v>
      </c>
      <c r="DK10" s="62"/>
      <c r="DL10" s="62" t="s">
        <v>99</v>
      </c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1267</v>
      </c>
      <c r="H11" s="69"/>
      <c r="I11" s="63" t="s">
        <v>1591</v>
      </c>
      <c r="J11" s="63" t="s">
        <v>1141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1389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1143</v>
      </c>
      <c r="U11" s="98" t="s">
        <v>1188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1396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1199</v>
      </c>
      <c r="BH11" s="104">
        <v>4</v>
      </c>
      <c r="BJ11" s="62" t="s">
        <v>1202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1379</v>
      </c>
      <c r="BP11" s="107" t="s">
        <v>1387</v>
      </c>
      <c r="BQ11" s="107"/>
      <c r="BR11" s="107"/>
      <c r="BS11" s="107"/>
      <c r="CE11" s="20"/>
      <c r="CH11"/>
      <c r="CI11" s="20"/>
      <c r="CM11"/>
      <c r="CU11" s="20"/>
      <c r="DA11"/>
      <c r="DB11" s="62" t="s">
        <v>1289</v>
      </c>
      <c r="DC11" s="63" t="str">
        <f>'Table Seed Map'!$A$18&amp;"-"&amp;COUNTA($DB$2:FieldDepends[[#This Row],[Field for Depend]])</f>
        <v>Field Depends-9</v>
      </c>
      <c r="DD11" s="69">
        <f>IF(FieldDepends[[#This Row],[Field for Depend]]="","id",-1+COUNTA($DB$1:FieldDepends[[#This Row],[Field for Depend]])+VLOOKUP('Table Seed Map'!$A$18,SeedMap[],9,0))</f>
        <v>2117109</v>
      </c>
      <c r="DE11" s="69">
        <f>IFERROR(VLOOKUP(FieldDepends[[#This Row],[Field for Depend]],FormFields[[Field Name]:[ID]],2,0),"form_field")</f>
        <v>2111166</v>
      </c>
      <c r="DF11" s="63"/>
      <c r="DG11" s="62"/>
      <c r="DH11" s="62"/>
      <c r="DI11" s="62"/>
      <c r="DJ11" s="62" t="s">
        <v>1830</v>
      </c>
      <c r="DK11" s="62"/>
      <c r="DL11" s="62" t="s">
        <v>99</v>
      </c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1213</v>
      </c>
      <c r="H12" s="69"/>
      <c r="I12" s="63" t="s">
        <v>1033</v>
      </c>
      <c r="J12" s="63" t="s">
        <v>1141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1389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1132</v>
      </c>
      <c r="T12" s="98" t="s">
        <v>1132</v>
      </c>
      <c r="U12" s="98" t="s">
        <v>1146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1360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1199</v>
      </c>
      <c r="BH12" s="104">
        <v>4</v>
      </c>
      <c r="BJ12" s="62" t="s">
        <v>1377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1379</v>
      </c>
      <c r="BP12" s="107" t="s">
        <v>1387</v>
      </c>
      <c r="BQ12" s="107"/>
      <c r="BR12" s="107"/>
      <c r="BS12" s="107"/>
      <c r="CE12" s="20"/>
      <c r="CH12"/>
      <c r="CI12" s="20"/>
      <c r="CM12"/>
      <c r="CU12" s="20"/>
      <c r="DA12"/>
      <c r="DB12" s="62" t="s">
        <v>1300</v>
      </c>
      <c r="DC12" s="63" t="str">
        <f>'Table Seed Map'!$A$18&amp;"-"&amp;COUNTA($DB$2:FieldDepends[[#This Row],[Field for Depend]])</f>
        <v>Field Depends-10</v>
      </c>
      <c r="DD12" s="69">
        <f>IF(FieldDepends[[#This Row],[Field for Depend]]="","id",-1+COUNTA($DB$1:FieldDepends[[#This Row],[Field for Depend]])+VLOOKUP('Table Seed Map'!$A$18,SeedMap[],9,0))</f>
        <v>2117110</v>
      </c>
      <c r="DE12" s="69">
        <f>IFERROR(VLOOKUP(FieldDepends[[#This Row],[Field for Depend]],FormFields[[Field Name]:[ID]],2,0),"form_field")</f>
        <v>2111168</v>
      </c>
      <c r="DF12" s="63" t="s">
        <v>837</v>
      </c>
      <c r="DG12" s="62" t="s">
        <v>837</v>
      </c>
      <c r="DH12" s="62" t="s">
        <v>1723</v>
      </c>
      <c r="DI12" s="62"/>
      <c r="DJ12" s="62"/>
      <c r="DK12" s="62"/>
      <c r="DL12" s="62" t="s">
        <v>1724</v>
      </c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1216</v>
      </c>
      <c r="H13" s="69"/>
      <c r="I13" s="63" t="s">
        <v>1217</v>
      </c>
      <c r="J13" s="63" t="s">
        <v>1141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1158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1143</v>
      </c>
      <c r="U13" s="98" t="s">
        <v>1160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1339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1199</v>
      </c>
      <c r="BH13" s="104">
        <v>4</v>
      </c>
      <c r="BJ13" s="62" t="s">
        <v>1240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1379</v>
      </c>
      <c r="BP13" s="107" t="s">
        <v>1387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1220</v>
      </c>
      <c r="H14" s="69"/>
      <c r="I14" s="63" t="s">
        <v>905</v>
      </c>
      <c r="J14" s="63" t="s">
        <v>1141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1158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1143</v>
      </c>
      <c r="U14" s="98" t="s">
        <v>1397</v>
      </c>
      <c r="V14" s="99" t="s">
        <v>1168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1340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1199</v>
      </c>
      <c r="BH14" s="104">
        <v>4</v>
      </c>
      <c r="BJ14" s="62" t="s">
        <v>1245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1379</v>
      </c>
      <c r="BP14" s="107" t="s">
        <v>1387</v>
      </c>
      <c r="BQ14" s="107"/>
      <c r="BR14" s="107"/>
      <c r="BS14" s="107"/>
      <c r="CE14" s="20"/>
      <c r="CH14"/>
      <c r="CI14" s="20"/>
      <c r="CM14"/>
      <c r="CU14" s="20"/>
      <c r="DA14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1223</v>
      </c>
      <c r="H15" s="69"/>
      <c r="I15" s="63" t="s">
        <v>906</v>
      </c>
      <c r="J15" s="63" t="s">
        <v>1141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1158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1159</v>
      </c>
      <c r="U15" s="98" t="s">
        <v>1162</v>
      </c>
      <c r="V15" s="99" t="s">
        <v>1168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1341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1199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1228</v>
      </c>
      <c r="H16" s="69"/>
      <c r="I16" s="63" t="s">
        <v>1229</v>
      </c>
      <c r="J16" s="63" t="s">
        <v>1141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1185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1143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1198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1199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1232</v>
      </c>
      <c r="H17" s="69"/>
      <c r="I17" s="63" t="s">
        <v>1233</v>
      </c>
      <c r="J17" s="63" t="s">
        <v>1141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1185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1143</v>
      </c>
      <c r="U17" s="98" t="s">
        <v>1161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1200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1199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1247</v>
      </c>
      <c r="H18" s="69"/>
      <c r="I18" s="63" t="s">
        <v>787</v>
      </c>
      <c r="J18" s="63" t="s">
        <v>1141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1185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1195</v>
      </c>
      <c r="U18" s="98" t="s">
        <v>1196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1197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1201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1199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1253</v>
      </c>
      <c r="H19" s="69"/>
      <c r="I19" s="63" t="s">
        <v>910</v>
      </c>
      <c r="J19" s="63" t="s">
        <v>1141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1185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1159</v>
      </c>
      <c r="U19" s="98" t="s">
        <v>1162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1202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1199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1258</v>
      </c>
      <c r="H20" s="69"/>
      <c r="I20" s="63" t="s">
        <v>910</v>
      </c>
      <c r="J20" s="63" t="s">
        <v>1141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1185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1186</v>
      </c>
      <c r="U20" s="98" t="s">
        <v>1187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1203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1199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1273</v>
      </c>
      <c r="H21" s="69"/>
      <c r="I21" s="63" t="s">
        <v>1849</v>
      </c>
      <c r="J21" s="63" t="s">
        <v>1141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1185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1143</v>
      </c>
      <c r="U21" s="98" t="s">
        <v>1188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1204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1199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1279</v>
      </c>
      <c r="H22" s="69"/>
      <c r="I22" s="63" t="s">
        <v>791</v>
      </c>
      <c r="J22" s="63" t="s">
        <v>1141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1185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1143</v>
      </c>
      <c r="U22" s="98" t="s">
        <v>1189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1270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1199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1286</v>
      </c>
      <c r="H23" s="69"/>
      <c r="I23" s="63" t="s">
        <v>1287</v>
      </c>
      <c r="J23" s="63" t="s">
        <v>1141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1191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1143</v>
      </c>
      <c r="U23" s="98" t="s">
        <v>1192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1271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1199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1290</v>
      </c>
      <c r="H24" s="69"/>
      <c r="I24" s="63" t="s">
        <v>1291</v>
      </c>
      <c r="J24" s="63" t="s">
        <v>1141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1191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1159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1272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1199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1293</v>
      </c>
      <c r="H25" s="69"/>
      <c r="I25" s="63" t="s">
        <v>918</v>
      </c>
      <c r="J25" s="63" t="s">
        <v>1141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1191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1195</v>
      </c>
      <c r="U25" s="98" t="s">
        <v>1196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1197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1236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1199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1343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1515</v>
      </c>
      <c r="H26" s="69"/>
      <c r="I26" s="63" t="s">
        <v>1518</v>
      </c>
      <c r="J26" s="63" t="s">
        <v>1519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1194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1143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1377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1199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1755</v>
      </c>
      <c r="H27" s="69"/>
      <c r="I27" s="63" t="s">
        <v>1752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1194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1159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1237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1199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1769</v>
      </c>
      <c r="H28" s="69"/>
      <c r="I28" s="63" t="s">
        <v>1770</v>
      </c>
      <c r="J28" s="63" t="s">
        <v>1771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1194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1195</v>
      </c>
      <c r="U28" s="98" t="s">
        <v>1196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1197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1238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1199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1781</v>
      </c>
      <c r="H29" s="69"/>
      <c r="I29" s="63" t="s">
        <v>1782</v>
      </c>
      <c r="J29" s="63" t="s">
        <v>1783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1206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1195</v>
      </c>
      <c r="U29" s="98" t="s">
        <v>1207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1239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1199</v>
      </c>
      <c r="BH29" s="104">
        <v>4</v>
      </c>
    </row>
    <row r="30" spans="1:60">
      <c r="A30" s="69" t="str">
        <f>'Table Seed Map'!$A$11&amp;"-"&amp;(COUNTA($F$1:ResourceForms[[#This Row],[Resource]])-2)</f>
        <v>Resource Forms-28</v>
      </c>
      <c r="B30" s="69" t="str">
        <f>ResourceForms[[#This Row],[Resource Name]]&amp;"/"&amp;ResourceForms[[#This Row],[Name]]</f>
        <v>OrderItemServiceUser/JobStartForm</v>
      </c>
      <c r="C30" s="69">
        <f>COUNTA($A$1:ResourceForms[[#This Row],[Primary]])-2</f>
        <v>28</v>
      </c>
      <c r="D30" s="107" t="s">
        <v>790</v>
      </c>
      <c r="E30" s="69">
        <f>IF(ResourceForms[[#This Row],[No]]=0,"id",ResourceForms[[#This Row],[No]]+IF(ISNUMBER(VLOOKUP('Table Seed Map'!$A$11,SeedMap[],9,0)),VLOOKUP('Table Seed Map'!$A$11,SeedMap[],9,0),0))</f>
        <v>2110128</v>
      </c>
      <c r="F30" s="69">
        <f>IFERROR(VLOOKUP(ResourceForms[[#This Row],[Resource Name]],ResourceTable[[RName]:[No]],3,0),"resource")</f>
        <v>2106123</v>
      </c>
      <c r="G30" s="63" t="s">
        <v>1980</v>
      </c>
      <c r="H30" s="69"/>
      <c r="I30" s="63" t="s">
        <v>1981</v>
      </c>
      <c r="J30" s="63" t="s">
        <v>1919</v>
      </c>
      <c r="K30" s="67">
        <f>[ID]</f>
        <v>2110128</v>
      </c>
      <c r="M30" s="95" t="str">
        <f>'Table Seed Map'!$A$12&amp;"-"&amp;FormFields[[#This Row],[No]]</f>
        <v>Form Fields-28</v>
      </c>
      <c r="N30" s="81" t="s">
        <v>1206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1195</v>
      </c>
      <c r="U30" s="98" t="s">
        <v>1209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1240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1199</v>
      </c>
      <c r="BH30" s="104">
        <v>4</v>
      </c>
    </row>
    <row r="31" spans="1:60">
      <c r="A31" s="69" t="str">
        <f>'Table Seed Map'!$A$11&amp;"-"&amp;(COUNTA($F$1:ResourceForms[[#This Row],[Resource]])-2)</f>
        <v>Resource Forms-29</v>
      </c>
      <c r="B31" s="69" t="str">
        <f>ResourceForms[[#This Row],[Resource Name]]&amp;"/"&amp;ResourceForms[[#This Row],[Name]]</f>
        <v>OrderItemServiceUser/FinishJobForm</v>
      </c>
      <c r="C31" s="69">
        <f>COUNTA($A$1:ResourceForms[[#This Row],[Primary]])-2</f>
        <v>29</v>
      </c>
      <c r="D31" s="107" t="s">
        <v>790</v>
      </c>
      <c r="E31" s="69">
        <f>IF(ResourceForms[[#This Row],[No]]=0,"id",ResourceForms[[#This Row],[No]]+IF(ISNUMBER(VLOOKUP('Table Seed Map'!$A$11,SeedMap[],9,0)),VLOOKUP('Table Seed Map'!$A$11,SeedMap[],9,0),0))</f>
        <v>2110129</v>
      </c>
      <c r="F31" s="69">
        <f>IFERROR(VLOOKUP(ResourceForms[[#This Row],[Resource Name]],ResourceTable[[RName]:[No]],3,0),"resource")</f>
        <v>2106123</v>
      </c>
      <c r="G31" s="63" t="s">
        <v>1985</v>
      </c>
      <c r="H31" s="69"/>
      <c r="I31" s="63" t="s">
        <v>1986</v>
      </c>
      <c r="J31" s="63" t="s">
        <v>1987</v>
      </c>
      <c r="K31" s="67">
        <f>[ID]</f>
        <v>2110129</v>
      </c>
      <c r="M31" s="95" t="str">
        <f>'Table Seed Map'!$A$12&amp;"-"&amp;FormFields[[#This Row],[No]]</f>
        <v>Form Fields-29</v>
      </c>
      <c r="N31" s="81" t="s">
        <v>1206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1143</v>
      </c>
      <c r="U31" s="98" t="s">
        <v>1208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1241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1199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1268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1143</v>
      </c>
      <c r="U32" s="98" t="s">
        <v>1269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1242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1199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1268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1195</v>
      </c>
      <c r="U33" s="98" t="s">
        <v>1209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1243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1199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1268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1195</v>
      </c>
      <c r="U34" s="98" t="s">
        <v>1196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1197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1244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1199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1214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1195</v>
      </c>
      <c r="U35" s="98" t="s">
        <v>1215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1749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1199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1214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1143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1245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1199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1214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1195</v>
      </c>
      <c r="U37" s="98" t="s">
        <v>1196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1197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1246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1199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1218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1195</v>
      </c>
      <c r="U38" s="98" t="s">
        <v>1215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1251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1199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1218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1195</v>
      </c>
      <c r="U39" s="98" t="s">
        <v>1219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1252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1199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1221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1143</v>
      </c>
      <c r="U40" s="98" t="s">
        <v>1222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1266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1199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1221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1159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1858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1199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1221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1195</v>
      </c>
      <c r="U42" s="98" t="s">
        <v>1196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1197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1263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1199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1224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1195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1264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1199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1224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1195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1265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1199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1224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1143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1277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2111161</v>
      </c>
      <c r="BG45" s="104" t="s">
        <v>1199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1230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1143</v>
      </c>
      <c r="U46" s="98" t="s">
        <v>1231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1278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1199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1230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1195</v>
      </c>
      <c r="U47" s="98" t="s">
        <v>1196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1197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1283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1199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1234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1195</v>
      </c>
      <c r="U48" s="83" t="s">
        <v>1215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1284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1199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1234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1143</v>
      </c>
      <c r="U49" s="98" t="s">
        <v>1235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1285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1199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1234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1195</v>
      </c>
      <c r="U50" s="98" t="s">
        <v>1196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1197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1289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1199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1248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1195</v>
      </c>
      <c r="U51" s="98" t="s">
        <v>1249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1301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1199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1248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1143</v>
      </c>
      <c r="U52" s="98" t="s">
        <v>1250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1300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1199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1248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1195</v>
      </c>
      <c r="U53" s="98" t="s">
        <v>1225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1297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1199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1254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1195</v>
      </c>
      <c r="U54" s="98" t="s">
        <v>1255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1298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1199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1254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1195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1338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1199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1254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1256</v>
      </c>
      <c r="U56" s="98" t="s">
        <v>778</v>
      </c>
      <c r="V56" s="99" t="s">
        <v>1257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1299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1199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1254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1195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1521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1199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1259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OrderItem/UpdateOrderItem/hub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809</v>
      </c>
      <c r="T58" s="98" t="s">
        <v>1195</v>
      </c>
      <c r="U58" s="98" t="s">
        <v>1855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hub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1522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1199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1259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1195</v>
      </c>
      <c r="U59" s="98" t="s">
        <v>1260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122</v>
      </c>
      <c r="AP59" s="105">
        <v>2123113</v>
      </c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1523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1199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1259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1019</v>
      </c>
      <c r="T60" s="98" t="s">
        <v>1195</v>
      </c>
      <c r="U60" s="98" t="s">
        <v>1261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1729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2111160</v>
      </c>
      <c r="BG60" s="104" t="s">
        <v>1199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1259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856</v>
      </c>
      <c r="T61" s="98" t="s">
        <v>1143</v>
      </c>
      <c r="U61" s="98" t="s">
        <v>1728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Options-26</v>
      </c>
      <c r="AL61" s="96">
        <f>COUNTIF($AJ$2:FormFields[[#This Row],[Exists FO]],1)</f>
        <v>26</v>
      </c>
      <c r="AM61" s="96">
        <f>IF(FormFields[[#This Row],[NO4]]=0,"id",FormFields[[#This Row],[NO4]]+IF(ISNUMBER(VLOOKUP('Table Seed Map'!$A$14,SeedMap[],9,0)),VLOOKUP('Table Seed Map'!$A$14,SeedMap[],9,0),0))</f>
        <v>2113126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1757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2111176</v>
      </c>
      <c r="BG61" s="104" t="s">
        <v>1199</v>
      </c>
      <c r="BH61" s="104">
        <v>4</v>
      </c>
    </row>
    <row r="62" spans="13:60">
      <c r="M62" s="80" t="str">
        <f>'Table Seed Map'!$A$12&amp;"-"&amp;FormFields[[#This Row],[No]]</f>
        <v>Form Fields-60</v>
      </c>
      <c r="N62" s="81" t="s">
        <v>1259</v>
      </c>
      <c r="O62" s="38">
        <f>COUNTA($N$1:FormFields[[#This Row],[Form Name]])-1</f>
        <v>60</v>
      </c>
      <c r="P62" s="80" t="str">
        <f>FormFields[[#This Row],[Form Name]]&amp;"/"&amp;FormFields[[#This Row],[Name]]</f>
        <v>OrderItem/UpdateOrderItem/status</v>
      </c>
      <c r="Q62" s="38">
        <f>IF(FormFields[[#This Row],[No]]=0,"id",FormFields[[#This Row],[No]]+IF(ISNUMBER(VLOOKUP('Table Seed Map'!$A$12,SeedMap[],9,0)),VLOOKUP('Table Seed Map'!$A$12,SeedMap[],9,0),0))</f>
        <v>2111160</v>
      </c>
      <c r="R62" s="82">
        <f>IFERROR(VLOOKUP(FormFields[[#This Row],[Form Name]],ResourceForms[[FormName]:[ID]],4,0),"resource_form")</f>
        <v>2110118</v>
      </c>
      <c r="S62" s="83" t="s">
        <v>804</v>
      </c>
      <c r="T62" s="83" t="s">
        <v>1195</v>
      </c>
      <c r="U62" s="83" t="s">
        <v>1196</v>
      </c>
      <c r="V62" s="84"/>
      <c r="W62" s="84"/>
      <c r="X62" s="84"/>
      <c r="Y62" s="84"/>
      <c r="Z62" s="85" t="str">
        <f>'Table Seed Map'!$A$13&amp;"-"&amp;FormFields[[#This Row],[NO2]]</f>
        <v>Field Data-60</v>
      </c>
      <c r="AA62" s="86">
        <f>COUNTIFS($AB$1:FormFields[[#This Row],[Exists]],1)-1</f>
        <v>60</v>
      </c>
      <c r="AB62" s="86">
        <f>IF(AND(FormFields[[#This Row],[Attribute]]="",FormFields[[#This Row],[Rel]]=""),0,1)</f>
        <v>1</v>
      </c>
      <c r="AC62" s="86">
        <f>IF(FormFields[[#This Row],[NO2]]=0,"id",FormFields[[#This Row],[NO2]]+IF(ISNUMBER(VLOOKUP('Table Seed Map'!$A$13,SeedMap[],9,0)),VLOOKUP('Table Seed Map'!$A$13,SeedMap[],9,0),0))</f>
        <v>2112160</v>
      </c>
      <c r="AD62" s="87">
        <f>IF(FormFields[[#This Row],[ID]]="id","form_field",FormFields[[#This Row],[ID]])</f>
        <v>2111160</v>
      </c>
      <c r="AE62" s="86" t="str">
        <f>IF(FormFields[[#This Row],[No]]=0,"attribute",FormFields[[#This Row],[Name]])</f>
        <v>status</v>
      </c>
      <c r="AF62" s="55" t="str">
        <f>IF(FormFields[[#This Row],[NO2]]=0,"relation",IF(FormFields[[#This Row],[Rel]]="","",VLOOKUP(FormFields[[#This Row],[Rel]],RelationTable[[Display]:[RELID]],2,0)))</f>
        <v/>
      </c>
      <c r="AG62" s="55" t="str">
        <f>IF(FormFields[[#This Row],[NO2]]=0,"nest_relation1",IF(FormFields[[#This Row],[Rel1]]="","",VLOOKUP(FormFields[[#This Row],[Rel1]],RelationTable[[Display]:[RELID]],2,0)))</f>
        <v/>
      </c>
      <c r="AH62" s="55" t="str">
        <f>IF(FormFields[[#This Row],[NO2]]=0,"nest_relation2",IF(FormFields[[#This Row],[Rel2]]="","",VLOOKUP(FormFields[[#This Row],[Rel2]],RelationTable[[Display]:[RELID]],2,0)))</f>
        <v/>
      </c>
      <c r="AI62" s="55" t="str">
        <f>IF(FormFields[[#This Row],[NO2]]=0,"nest_relation3",IF(FormFields[[#This Row],[Rel3]]="","",VLOOKUP(FormFields[[#This Row],[Rel3]],RelationTable[[Display]:[RELID]],2,0)))</f>
        <v/>
      </c>
      <c r="AJ62" s="38">
        <f>IF(OR(FormFields[[#This Row],[Option Type]]="",FormFields[[#This Row],[Option Type]]="type"),0,1)</f>
        <v>1</v>
      </c>
      <c r="AK62" s="38" t="str">
        <f>'Table Seed Map'!$A$14&amp;"-"&amp;FormFields[[#This Row],[NO4]]</f>
        <v>Field Options-27</v>
      </c>
      <c r="AL62" s="38">
        <f>COUNTIF($AJ$2:FormFields[[#This Row],[Exists FO]],1)</f>
        <v>27</v>
      </c>
      <c r="AM62" s="38">
        <f>IF(FormFields[[#This Row],[NO4]]=0,"id",FormFields[[#This Row],[NO4]]+IF(ISNUMBER(VLOOKUP('Table Seed Map'!$A$14,SeedMap[],9,0)),VLOOKUP('Table Seed Map'!$A$14,SeedMap[],9,0),0))</f>
        <v>2113127</v>
      </c>
      <c r="AN62" s="88">
        <f>IF(FormFields[[#This Row],[ID]]="id","form_field",FormFields[[#This Row],[ID]])</f>
        <v>2111160</v>
      </c>
      <c r="AO62" s="89" t="s">
        <v>1197</v>
      </c>
      <c r="AP62" s="89"/>
      <c r="AQ62" s="89"/>
      <c r="AR62" s="89"/>
      <c r="AS62" s="89"/>
      <c r="AT62" s="38">
        <f>IF(OR(FormFields[[#This Row],[Colspan]]="",FormFields[[#This Row],[Colspan]]="colspan"),0,1)</f>
        <v>0</v>
      </c>
      <c r="AU62" s="38" t="str">
        <f>'Table Seed Map'!$A$19&amp;"-"&amp;FormFields[[#This Row],[NO8]]</f>
        <v>Form Layout-7</v>
      </c>
      <c r="AV62" s="38">
        <f>COUNTIF($AT$1:FormFields[[#This Row],[Exists FL]],1)</f>
        <v>7</v>
      </c>
      <c r="AW62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38">
        <f>[Form]</f>
        <v>2110118</v>
      </c>
      <c r="AY62" s="38">
        <f>IF(FormFields[[#This Row],[ID]]="id","form_field",FormFields[[#This Row],[ID]])</f>
        <v>2111160</v>
      </c>
      <c r="AZ62" s="90"/>
      <c r="BA62" s="88">
        <f>FormFields[[#This Row],[ID]]</f>
        <v>2111160</v>
      </c>
      <c r="BC62" s="62" t="s">
        <v>1758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1199</v>
      </c>
      <c r="BH62" s="104">
        <v>4</v>
      </c>
    </row>
    <row r="63" spans="13:60">
      <c r="M63" s="95" t="str">
        <f>'Table Seed Map'!$A$12&amp;"-"&amp;FormFields[[#This Row],[No]]</f>
        <v>Form Fields-61</v>
      </c>
      <c r="N63" s="81" t="s">
        <v>1274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OrderItemServiceUser/AssignProviderToOIS/ois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845</v>
      </c>
      <c r="T63" s="98" t="s">
        <v>1195</v>
      </c>
      <c r="U63" s="98" t="s">
        <v>1275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ois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Options-28</v>
      </c>
      <c r="AL63" s="96">
        <f>COUNTIF($AJ$2:FormFields[[#This Row],[Exists FO]],1)</f>
        <v>28</v>
      </c>
      <c r="AM63" s="96">
        <f>IF(FormFields[[#This Row],[NO4]]=0,"id",FormFields[[#This Row],[NO4]]+IF(ISNUMBER(VLOOKUP('Table Seed Map'!$A$14,SeedMap[],9,0)),VLOOKUP('Table Seed Map'!$A$14,SeedMap[],9,0),0))</f>
        <v>2113128</v>
      </c>
      <c r="AN63" s="104">
        <f>IF(FormFields[[#This Row],[ID]]="id","form_field",FormFields[[#This Row],[ID]])</f>
        <v>2111161</v>
      </c>
      <c r="AO63" s="105" t="s">
        <v>122</v>
      </c>
      <c r="AP63" s="105">
        <v>2123122</v>
      </c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  <c r="BC63" s="62" t="s">
        <v>1759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1199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1274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OrderItemServiceUser/AssignProviderToOIS/user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64</v>
      </c>
      <c r="T64" s="98" t="s">
        <v>1195</v>
      </c>
      <c r="U64" s="98" t="s">
        <v>1276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user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122</v>
      </c>
      <c r="AP64" s="105">
        <v>2123106</v>
      </c>
      <c r="AQ64" s="105" t="s">
        <v>21</v>
      </c>
      <c r="AR64" s="105" t="s">
        <v>1859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1984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2111186</v>
      </c>
      <c r="BG64" s="104" t="s">
        <v>1199</v>
      </c>
      <c r="BH64" s="104">
        <v>4</v>
      </c>
    </row>
    <row r="65" spans="13:60">
      <c r="M65" s="95" t="str">
        <f>'Table Seed Map'!$A$12&amp;"-"&amp;FormFields[[#This Row],[No]]</f>
        <v>Form Fields-63</v>
      </c>
      <c r="N65" s="81" t="s">
        <v>1280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Receipt/NewReceiptForm/date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827</v>
      </c>
      <c r="T65" s="98" t="s">
        <v>1143</v>
      </c>
      <c r="U65" s="98" t="s">
        <v>1250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date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0</v>
      </c>
      <c r="AK65" s="96" t="str">
        <f>'Table Seed Map'!$A$14&amp;"-"&amp;FormFields[[#This Row],[NO4]]</f>
        <v>Field Options-29</v>
      </c>
      <c r="AL65" s="96">
        <f>COUNTIF($AJ$2:FormFields[[#This Row],[Exists FO]],1)</f>
        <v>29</v>
      </c>
      <c r="AM65" s="96">
        <f>IF(FormFields[[#This Row],[NO4]]=0,"id",FormFields[[#This Row],[NO4]]+IF(ISNUMBER(VLOOKUP('Table Seed Map'!$A$14,SeedMap[],9,0)),VLOOKUP('Table Seed Map'!$A$14,SeedMap[],9,0),0))</f>
        <v>2113129</v>
      </c>
      <c r="AN65" s="104">
        <f>IF(FormFields[[#This Row],[ID]]="id","form_field",FormFields[[#This Row],[ID]])</f>
        <v>2111163</v>
      </c>
      <c r="AO65" s="105"/>
      <c r="AP65" s="105"/>
      <c r="AQ65" s="105"/>
      <c r="AR65" s="105"/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  <c r="BC65" s="62" t="s">
        <v>1990</v>
      </c>
      <c r="BD65" s="63" t="str">
        <f>'Table Seed Map'!$A$15&amp;"-"&amp;(-1+COUNTA($BC$1:FieldAttrs[[#This Row],[ATTR Field]]))</f>
        <v>Field Attrs-63</v>
      </c>
      <c r="BE65" s="69">
        <f>IF(FieldAttrs[[#This Row],[ATTR Field]]="","id",-1+COUNTA($BC$1:FieldAttrs[[#This Row],[ATTR Field]])+VLOOKUP('Table Seed Map'!$A$15,SeedMap[],9,0))</f>
        <v>2114163</v>
      </c>
      <c r="BF65" s="104">
        <f>IFERROR(VLOOKUP([ATTR Field],FormFields[[Field Name]:[ID]],2,0),"form_field")</f>
        <v>2111187</v>
      </c>
      <c r="BG65" s="104" t="s">
        <v>1199</v>
      </c>
      <c r="BH65" s="104">
        <v>4</v>
      </c>
    </row>
    <row r="66" spans="13:60">
      <c r="M66" s="95" t="str">
        <f>'Table Seed Map'!$A$12&amp;"-"&amp;FormFields[[#This Row],[No]]</f>
        <v>Form Fields-64</v>
      </c>
      <c r="N66" s="81" t="s">
        <v>1280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Receipt/NewReceiptForm/invoice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850</v>
      </c>
      <c r="T66" s="98" t="s">
        <v>1195</v>
      </c>
      <c r="U66" s="98" t="s">
        <v>1281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invoice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1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 t="s">
        <v>122</v>
      </c>
      <c r="AP66" s="105">
        <v>2123127</v>
      </c>
      <c r="AQ66" s="105" t="s">
        <v>21</v>
      </c>
      <c r="AR66" s="105" t="s">
        <v>23</v>
      </c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60">
      <c r="M67" s="95" t="str">
        <f>'Table Seed Map'!$A$12&amp;"-"&amp;FormFields[[#This Row],[No]]</f>
        <v>Form Fields-65</v>
      </c>
      <c r="N67" s="81" t="s">
        <v>1280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Receipt/NewReceiptForm/amount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875</v>
      </c>
      <c r="T67" s="98" t="s">
        <v>1143</v>
      </c>
      <c r="U67" s="98" t="s">
        <v>1282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amount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Options-30</v>
      </c>
      <c r="AL67" s="96">
        <f>COUNTIF($AJ$2:FormFields[[#This Row],[Exists FO]],1)</f>
        <v>30</v>
      </c>
      <c r="AM67" s="96">
        <f>IF(FormFields[[#This Row],[NO4]]=0,"id",FormFields[[#This Row],[NO4]]+IF(ISNUMBER(VLOOKUP('Table Seed Map'!$A$14,SeedMap[],9,0)),VLOOKUP('Table Seed Map'!$A$14,SeedMap[],9,0),0))</f>
        <v>2113130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60">
      <c r="M68" s="95" t="str">
        <f>'Table Seed Map'!$A$12&amp;"-"&amp;FormFields[[#This Row],[No]]</f>
        <v>Form Fields-66</v>
      </c>
      <c r="N68" s="81" t="s">
        <v>1288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Delivery/NewOrderDeliveryForm/date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827</v>
      </c>
      <c r="T68" s="98" t="s">
        <v>1143</v>
      </c>
      <c r="U68" s="98" t="s">
        <v>1250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date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Options-30</v>
      </c>
      <c r="AL68" s="96">
        <f>COUNTIF($AJ$2:FormFields[[#This Row],[Exists FO]],1)</f>
        <v>30</v>
      </c>
      <c r="AM68" s="96">
        <f>IF(FormFields[[#This Row],[NO4]]=0,"id",FormFields[[#This Row],[NO4]]+IF(ISNUMBER(VLOOKUP('Table Seed Map'!$A$14,SeedMap[],9,0)),VLOOKUP('Table Seed Map'!$A$14,SeedMap[],9,0),0))</f>
        <v>2113130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60">
      <c r="M69" s="95" t="str">
        <f>'Table Seed Map'!$A$12&amp;"-"&amp;FormFields[[#This Row],[No]]</f>
        <v>Form Fields-67</v>
      </c>
      <c r="N69" s="81" t="s">
        <v>1288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Delivery/NewOrderDeliveryForm/order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837</v>
      </c>
      <c r="T69" s="98" t="s">
        <v>1195</v>
      </c>
      <c r="U69" s="98" t="s">
        <v>1255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order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 t="s">
        <v>122</v>
      </c>
      <c r="AP69" s="105">
        <v>2123141</v>
      </c>
      <c r="AQ69" s="105" t="s">
        <v>21</v>
      </c>
      <c r="AR69" s="105" t="s">
        <v>23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60">
      <c r="M70" s="95" t="str">
        <f>'Table Seed Map'!$A$12&amp;"-"&amp;FormFields[[#This Row],[No]]</f>
        <v>Form Fields-68</v>
      </c>
      <c r="N70" s="81" t="s">
        <v>1288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Delivery/NewOrderDeliveryForm/oi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842</v>
      </c>
      <c r="T70" s="98" t="s">
        <v>1256</v>
      </c>
      <c r="U70" s="98" t="s">
        <v>1292</v>
      </c>
      <c r="V70" s="99"/>
      <c r="W70" s="99"/>
      <c r="X70" s="99"/>
      <c r="Y70" s="99"/>
      <c r="Z70" s="100"/>
      <c r="AA70" s="101"/>
      <c r="AB70" s="101"/>
      <c r="AC70" s="101"/>
      <c r="AD70" s="102"/>
      <c r="AE70" s="101"/>
      <c r="AF70" s="103" t="str">
        <f>IF(FormFields[[#This Row],[NO2]]=0,"relation",IF(FormFields[[#This Row],[Rel]]="","",VLOOKUP(FormFields[[#This Row],[Rel]],RelationTable[[Display]:[RELID]],2,0)))</f>
        <v>relation</v>
      </c>
      <c r="AG70" s="103" t="str">
        <f>IF(FormFields[[#This Row],[NO2]]=0,"nest_relation1",IF(FormFields[[#This Row],[Rel1]]="","",VLOOKUP(FormFields[[#This Row],[Rel1]],RelationTable[[Display]:[RELID]],2,0)))</f>
        <v>nest_relation1</v>
      </c>
      <c r="AH70" s="103" t="str">
        <f>IF(FormFields[[#This Row],[NO2]]=0,"nest_relation2",IF(FormFields[[#This Row],[Rel2]]="","",VLOOKUP(FormFields[[#This Row],[Rel2]],RelationTable[[Display]:[RELID]],2,0)))</f>
        <v>nest_relation2</v>
      </c>
      <c r="AI70" s="103" t="str">
        <f>IF(FormFields[[#This Row],[NO2]]=0,"nest_relation3",IF(FormFields[[#This Row],[Rel3]]="","",VLOOKUP(FormFields[[#This Row],[Rel3]],RelationTable[[Display]:[RELID]],2,0)))</f>
        <v>nest_relation3</v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122</v>
      </c>
      <c r="AP70" s="105">
        <v>2123130</v>
      </c>
      <c r="AQ70" s="105" t="s">
        <v>21</v>
      </c>
      <c r="AR70" s="105" t="s">
        <v>23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60">
      <c r="M71" s="95" t="str">
        <f>'Table Seed Map'!$A$12&amp;"-"&amp;FormFields[[#This Row],[No]]</f>
        <v>Form Fields-69</v>
      </c>
      <c r="N71" s="81" t="s">
        <v>1294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HubShift/NewHubShiftProcessForm/source_hub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878</v>
      </c>
      <c r="T71" s="98" t="s">
        <v>1195</v>
      </c>
      <c r="U71" s="98" t="s">
        <v>1295</v>
      </c>
      <c r="V71" s="99"/>
      <c r="W71" s="99"/>
      <c r="X71" s="99"/>
      <c r="Y71" s="99"/>
      <c r="Z71" s="100" t="str">
        <f>'Table Seed Map'!$A$13&amp;"-"&amp;FormFields[[#This Row],[NO2]]</f>
        <v>Field Data-68</v>
      </c>
      <c r="AA71" s="101">
        <f>COUNTIFS($AB$1:FormFields[[#This Row],[Exists]],1)-1</f>
        <v>68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2112168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source_hub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122</v>
      </c>
      <c r="AP71" s="105">
        <v>2123129</v>
      </c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60">
      <c r="M72" s="95" t="str">
        <f>'Table Seed Map'!$A$12&amp;"-"&amp;FormFields[[#This Row],[No]]</f>
        <v>Form Fields-70</v>
      </c>
      <c r="N72" s="81" t="s">
        <v>1294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HubShift/NewHubShiftProcessForm/destination_hub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879</v>
      </c>
      <c r="T72" s="98" t="s">
        <v>1195</v>
      </c>
      <c r="U72" s="98" t="s">
        <v>1296</v>
      </c>
      <c r="V72" s="99"/>
      <c r="W72" s="99"/>
      <c r="X72" s="99"/>
      <c r="Y72" s="99"/>
      <c r="Z72" s="100" t="str">
        <f>'Table Seed Map'!$A$13&amp;"-"&amp;FormFields[[#This Row],[NO2]]</f>
        <v>Field Data-69</v>
      </c>
      <c r="AA72" s="101">
        <f>COUNTIFS($AB$1:FormFields[[#This Row],[Exists]],1)-1</f>
        <v>69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2112169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destination_hub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60">
      <c r="M73" s="95" t="str">
        <f>'Table Seed Map'!$A$12&amp;"-"&amp;FormFields[[#This Row],[No]]</f>
        <v>Form Fields-71</v>
      </c>
      <c r="N73" s="81" t="s">
        <v>1294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HubShift/NewHubShiftProcessForm/date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827</v>
      </c>
      <c r="T73" s="98" t="s">
        <v>1143</v>
      </c>
      <c r="U73" s="98" t="s">
        <v>1337</v>
      </c>
      <c r="V73" s="99"/>
      <c r="W73" s="99"/>
      <c r="X73" s="99"/>
      <c r="Y73" s="99"/>
      <c r="Z73" s="100" t="str">
        <f>'Table Seed Map'!$A$13&amp;"-"&amp;FormFields[[#This Row],[NO2]]</f>
        <v>Field Data-70</v>
      </c>
      <c r="AA73" s="101">
        <f>COUNTIFS($AB$1:FormFields[[#This Row],[Exists]],1)-1</f>
        <v>70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2112170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date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0</v>
      </c>
      <c r="AK73" s="96" t="str">
        <f>'Table Seed Map'!$A$14&amp;"-"&amp;FormFields[[#This Row],[NO4]]</f>
        <v>Field Options-34</v>
      </c>
      <c r="AL73" s="96">
        <f>COUNTIF($AJ$2:FormFields[[#This Row],[Exists FO]],1)</f>
        <v>34</v>
      </c>
      <c r="AM73" s="96">
        <f>IF(FormFields[[#This Row],[NO4]]=0,"id",FormFields[[#This Row],[NO4]]+IF(ISNUMBER(VLOOKUP('Table Seed Map'!$A$14,SeedMap[],9,0)),VLOOKUP('Table Seed Map'!$A$14,SeedMap[],9,0),0))</f>
        <v>2113134</v>
      </c>
      <c r="AN73" s="104">
        <f>IF(FormFields[[#This Row],[ID]]="id","form_field",FormFields[[#This Row],[ID]])</f>
        <v>2111171</v>
      </c>
      <c r="AO73" s="105"/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60">
      <c r="M74" s="95" t="str">
        <f>'Table Seed Map'!$A$12&amp;"-"&amp;FormFields[[#This Row],[No]]</f>
        <v>Form Fields-72</v>
      </c>
      <c r="N74" s="81" t="s">
        <v>1294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HubShift/NewHubShiftProcessForm/status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804</v>
      </c>
      <c r="T74" s="98" t="s">
        <v>1195</v>
      </c>
      <c r="U74" s="98" t="s">
        <v>1196</v>
      </c>
      <c r="V74" s="99"/>
      <c r="W74" s="99"/>
      <c r="X74" s="99"/>
      <c r="Y74" s="99"/>
      <c r="Z74" s="100" t="str">
        <f>'Table Seed Map'!$A$13&amp;"-"&amp;FormFields[[#This Row],[NO2]]</f>
        <v>Field Data-71</v>
      </c>
      <c r="AA74" s="101">
        <f>COUNTIFS($AB$1:FormFields[[#This Row],[Exists]],1)-1</f>
        <v>71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2112171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status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1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 t="s">
        <v>1197</v>
      </c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60">
      <c r="M75" s="95" t="str">
        <f>'Table Seed Map'!$A$12&amp;"-"&amp;FormFields[[#This Row],[No]]</f>
        <v>Form Fields-73</v>
      </c>
      <c r="N75" s="81" t="s">
        <v>1520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Employee/UpdateEmployeeDetails/name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23</v>
      </c>
      <c r="T75" s="98" t="s">
        <v>1143</v>
      </c>
      <c r="U75" s="98" t="s">
        <v>1</v>
      </c>
      <c r="V75" s="99"/>
      <c r="W75" s="99"/>
      <c r="X75" s="99"/>
      <c r="Y75" s="99"/>
      <c r="Z75" s="100" t="str">
        <f>'Table Seed Map'!$A$13&amp;"-"&amp;FormFields[[#This Row],[NO2]]</f>
        <v>Field Data-72</v>
      </c>
      <c r="AA75" s="101">
        <f>COUNTIFS($AB$1:FormFields[[#This Row],[Exists]],1)-1</f>
        <v>72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2112172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name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Options-35</v>
      </c>
      <c r="AL75" s="96">
        <f>COUNTIF($AJ$2:FormFields[[#This Row],[Exists FO]],1)</f>
        <v>35</v>
      </c>
      <c r="AM75" s="96">
        <f>IF(FormFields[[#This Row],[NO4]]=0,"id",FormFields[[#This Row],[NO4]]+IF(ISNUMBER(VLOOKUP('Table Seed Map'!$A$14,SeedMap[],9,0)),VLOOKUP('Table Seed Map'!$A$14,SeedMap[],9,0),0))</f>
        <v>2113135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60">
      <c r="M76" s="95" t="str">
        <f>'Table Seed Map'!$A$12&amp;"-"&amp;FormFields[[#This Row],[No]]</f>
        <v>Form Fields-74</v>
      </c>
      <c r="N76" s="81" t="s">
        <v>1520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Employee/UpdateEmployeeDetails/email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800</v>
      </c>
      <c r="T76" s="98" t="s">
        <v>1143</v>
      </c>
      <c r="U76" s="98" t="s">
        <v>1188</v>
      </c>
      <c r="V76" s="99"/>
      <c r="W76" s="99"/>
      <c r="X76" s="99"/>
      <c r="Y76" s="99"/>
      <c r="Z76" s="100" t="str">
        <f>'Table Seed Map'!$A$13&amp;"-"&amp;FormFields[[#This Row],[NO2]]</f>
        <v>Field Data-73</v>
      </c>
      <c r="AA76" s="101">
        <f>COUNTIFS($AB$1:FormFields[[#This Row],[Exists]],1)-1</f>
        <v>73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2112173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email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Options-35</v>
      </c>
      <c r="AL76" s="96">
        <f>COUNTIF($AJ$2:FormFields[[#This Row],[Exists FO]],1)</f>
        <v>35</v>
      </c>
      <c r="AM76" s="96">
        <f>IF(FormFields[[#This Row],[NO4]]=0,"id",FormFields[[#This Row],[NO4]]+IF(ISNUMBER(VLOOKUP('Table Seed Map'!$A$14,SeedMap[],9,0)),VLOOKUP('Table Seed Map'!$A$14,SeedMap[],9,0),0))</f>
        <v>2113135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60">
      <c r="M77" s="95" t="str">
        <f>'Table Seed Map'!$A$12&amp;"-"&amp;FormFields[[#This Row],[No]]</f>
        <v>Form Fields-75</v>
      </c>
      <c r="N77" s="81" t="s">
        <v>1520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Employee/UpdateEmployeeDetails/password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1132</v>
      </c>
      <c r="T77" s="98" t="s">
        <v>1132</v>
      </c>
      <c r="U77" s="98" t="s">
        <v>1146</v>
      </c>
      <c r="V77" s="99"/>
      <c r="W77" s="99"/>
      <c r="X77" s="99"/>
      <c r="Y77" s="99"/>
      <c r="Z77" s="100" t="str">
        <f>'Table Seed Map'!$A$13&amp;"-"&amp;FormFields[[#This Row],[NO2]]</f>
        <v>Field Data-74</v>
      </c>
      <c r="AA77" s="101">
        <f>COUNTIFS($AB$1:FormFields[[#This Row],[Exists]],1)-1</f>
        <v>74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2112174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password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Options-35</v>
      </c>
      <c r="AL77" s="96">
        <f>COUNTIF($AJ$2:FormFields[[#This Row],[Exists FO]],1)</f>
        <v>35</v>
      </c>
      <c r="AM77" s="96">
        <f>IF(FormFields[[#This Row],[NO4]]=0,"id",FormFields[[#This Row],[NO4]]+IF(ISNUMBER(VLOOKUP('Table Seed Map'!$A$14,SeedMap[],9,0)),VLOOKUP('Table Seed Map'!$A$14,SeedMap[],9,0),0))</f>
        <v>2113135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60">
      <c r="M78" s="95" t="str">
        <f>'Table Seed Map'!$A$12&amp;"-"&amp;FormFields[[#This Row],[No]]</f>
        <v>Form Fields-76</v>
      </c>
      <c r="N78" s="81" t="s">
        <v>1756</v>
      </c>
      <c r="O78" s="96">
        <f>COUNTA($N$1:FormFields[[#This Row],[Form Name]])-1</f>
        <v>76</v>
      </c>
      <c r="P78" s="95" t="str">
        <f>FormFields[[#This Row],[Form Name]]&amp;"/"&amp;FormFields[[#This Row],[Name]]</f>
        <v>Pricelist/EditPricelistForm/name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2110125</v>
      </c>
      <c r="S78" s="98" t="s">
        <v>23</v>
      </c>
      <c r="T78" s="98" t="s">
        <v>1143</v>
      </c>
      <c r="U78" s="98" t="s">
        <v>1</v>
      </c>
      <c r="V78" s="99"/>
      <c r="W78" s="99"/>
      <c r="X78" s="99"/>
      <c r="Y78" s="99"/>
      <c r="Z78" s="100" t="str">
        <f>'Table Seed Map'!$A$13&amp;"-"&amp;FormFields[[#This Row],[NO2]]</f>
        <v>Field Data-75</v>
      </c>
      <c r="AA78" s="101">
        <f>COUNTIFS($AB$1:FormFields[[#This Row],[Exists]],1)-1</f>
        <v>75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2112175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name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Options-35</v>
      </c>
      <c r="AL78" s="96">
        <f>COUNTIF($AJ$2:FormFields[[#This Row],[Exists FO]],1)</f>
        <v>35</v>
      </c>
      <c r="AM78" s="96">
        <f>IF(FormFields[[#This Row],[NO4]]=0,"id",FormFields[[#This Row],[NO4]]+IF(ISNUMBER(VLOOKUP('Table Seed Map'!$A$14,SeedMap[],9,0)),VLOOKUP('Table Seed Map'!$A$14,SeedMap[],9,0),0))</f>
        <v>2113135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2110125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60">
      <c r="M79" s="95" t="str">
        <f>'Table Seed Map'!$A$12&amp;"-"&amp;FormFields[[#This Row],[No]]</f>
        <v>Form Fields-77</v>
      </c>
      <c r="N79" s="81" t="s">
        <v>1756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Pricelist/EditPricelistForm/description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24</v>
      </c>
      <c r="T79" s="98" t="s">
        <v>1159</v>
      </c>
      <c r="U79" s="98" t="s">
        <v>102</v>
      </c>
      <c r="V79" s="99"/>
      <c r="W79" s="99"/>
      <c r="X79" s="99"/>
      <c r="Y79" s="99"/>
      <c r="Z79" s="100" t="str">
        <f>'Table Seed Map'!$A$13&amp;"-"&amp;FormFields[[#This Row],[NO2]]</f>
        <v>Field Data-76</v>
      </c>
      <c r="AA79" s="101">
        <f>COUNTIFS($AB$1:FormFields[[#This Row],[Exists]],1)-1</f>
        <v>76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2112176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description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Options-35</v>
      </c>
      <c r="AL79" s="96">
        <f>COUNTIF($AJ$2:FormFields[[#This Row],[Exists FO]],1)</f>
        <v>35</v>
      </c>
      <c r="AM79" s="96">
        <f>IF(FormFields[[#This Row],[NO4]]=0,"id",FormFields[[#This Row],[NO4]]+IF(ISNUMBER(VLOOKUP('Table Seed Map'!$A$14,SeedMap[],9,0)),VLOOKUP('Table Seed Map'!$A$14,SeedMap[],9,0),0))</f>
        <v>2113135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60">
      <c r="M80" s="95" t="str">
        <f>'Table Seed Map'!$A$12&amp;"-"&amp;FormFields[[#This Row],[No]]</f>
        <v>Form Fields-78</v>
      </c>
      <c r="N80" s="81" t="s">
        <v>1756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Pricelist/EditPricelistForm/status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804</v>
      </c>
      <c r="T80" s="98" t="s">
        <v>1195</v>
      </c>
      <c r="U80" s="98" t="s">
        <v>1196</v>
      </c>
      <c r="V80" s="99"/>
      <c r="W80" s="99"/>
      <c r="X80" s="99"/>
      <c r="Y80" s="99"/>
      <c r="Z80" s="100" t="str">
        <f>'Table Seed Map'!$A$13&amp;"-"&amp;FormFields[[#This Row],[NO2]]</f>
        <v>Field Data-77</v>
      </c>
      <c r="AA80" s="101">
        <f>COUNTIFS($AB$1:FormFields[[#This Row],[Exists]],1)-1</f>
        <v>77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2112177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status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1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 t="s">
        <v>1197</v>
      </c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1772</v>
      </c>
      <c r="O81" s="96">
        <f>COUNTA($N$1:FormFields[[#This Row],[Form Name]])-1</f>
        <v>79</v>
      </c>
      <c r="P81" s="95" t="str">
        <f>FormFields[[#This Row],[Form Name]]&amp;"/"&amp;FormFields[[#This Row],[Name]]</f>
        <v>Item/EditItemForm/name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2110126</v>
      </c>
      <c r="S81" s="98" t="s">
        <v>23</v>
      </c>
      <c r="T81" s="98" t="s">
        <v>1143</v>
      </c>
      <c r="U81" s="98" t="s">
        <v>1</v>
      </c>
      <c r="V81" s="99"/>
      <c r="W81" s="99"/>
      <c r="X81" s="99"/>
      <c r="Y81" s="99"/>
      <c r="Z81" s="100" t="str">
        <f>'Table Seed Map'!$A$13&amp;"-"&amp;FormFields[[#This Row],[NO2]]</f>
        <v>Field Data-78</v>
      </c>
      <c r="AA81" s="101">
        <f>COUNTIFS($AB$1:FormFields[[#This Row],[Exists]],1)-1</f>
        <v>78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2112178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name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0</v>
      </c>
      <c r="AK81" s="96" t="str">
        <f>'Table Seed Map'!$A$14&amp;"-"&amp;FormFields[[#This Row],[NO4]]</f>
        <v>Field Options-36</v>
      </c>
      <c r="AL81" s="96">
        <f>COUNTIF($AJ$2:FormFields[[#This Row],[Exists FO]],1)</f>
        <v>36</v>
      </c>
      <c r="AM81" s="96">
        <f>IF(FormFields[[#This Row],[NO4]]=0,"id",FormFields[[#This Row],[NO4]]+IF(ISNUMBER(VLOOKUP('Table Seed Map'!$A$14,SeedMap[],9,0)),VLOOKUP('Table Seed Map'!$A$14,SeedMap[],9,0),0))</f>
        <v>2113136</v>
      </c>
      <c r="AN81" s="104">
        <f>IF(FormFields[[#This Row],[ID]]="id","form_field",FormFields[[#This Row],[ID]])</f>
        <v>2111179</v>
      </c>
      <c r="AO81" s="105"/>
      <c r="AP81" s="105"/>
      <c r="AQ81" s="105"/>
      <c r="AR81" s="105"/>
      <c r="AS81" s="105"/>
      <c r="AT81" s="96">
        <f>IF(OR(FormFields[[#This Row],[Colspan]]="",FormFields[[#This Row],[Colspan]]="colspan"),0,1)</f>
        <v>1</v>
      </c>
      <c r="AU81" s="96" t="str">
        <f>'Table Seed Map'!$A$19&amp;"-"&amp;FormFields[[#This Row],[NO8]]</f>
        <v>Form Layout-8</v>
      </c>
      <c r="AV81" s="96">
        <f>COUNTIF($AT$1:FormFields[[#This Row],[Exists FL]],1)</f>
        <v>8</v>
      </c>
      <c r="AW81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1" s="96">
        <f>[Form]</f>
        <v>2110126</v>
      </c>
      <c r="AY81" s="96">
        <f>IF(FormFields[[#This Row],[ID]]="id","form_field",FormFields[[#This Row],[ID]])</f>
        <v>2111179</v>
      </c>
      <c r="AZ81" s="106">
        <v>7</v>
      </c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1772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Item/EditItemForm/status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804</v>
      </c>
      <c r="T82" s="98" t="s">
        <v>1195</v>
      </c>
      <c r="U82" s="98" t="s">
        <v>1196</v>
      </c>
      <c r="V82" s="99"/>
      <c r="W82" s="99"/>
      <c r="X82" s="99"/>
      <c r="Y82" s="99"/>
      <c r="Z82" s="100" t="str">
        <f>'Table Seed Map'!$A$13&amp;"-"&amp;FormFields[[#This Row],[NO2]]</f>
        <v>Field Data-79</v>
      </c>
      <c r="AA82" s="101">
        <f>COUNTIFS($AB$1:FormFields[[#This Row],[Exists]],1)-1</f>
        <v>79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2112179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status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1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 t="s">
        <v>1197</v>
      </c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Layout-9</v>
      </c>
      <c r="AV82" s="96">
        <f>COUNTIF($AT$1:FormFields[[#This Row],[Exists FL]],1)</f>
        <v>9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5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1772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Item/EditItemForm/description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24</v>
      </c>
      <c r="T83" s="98" t="s">
        <v>1159</v>
      </c>
      <c r="U83" s="98" t="s">
        <v>102</v>
      </c>
      <c r="V83" s="99"/>
      <c r="W83" s="99"/>
      <c r="X83" s="99"/>
      <c r="Y83" s="99"/>
      <c r="Z83" s="100" t="str">
        <f>'Table Seed Map'!$A$13&amp;"-"&amp;FormFields[[#This Row],[NO2]]</f>
        <v>Field Data-80</v>
      </c>
      <c r="AA83" s="101">
        <f>COUNTIFS($AB$1:FormFields[[#This Row],[Exists]],1)-1</f>
        <v>80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2112180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description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0</v>
      </c>
      <c r="AK83" s="96" t="str">
        <f>'Table Seed Map'!$A$14&amp;"-"&amp;FormFields[[#This Row],[NO4]]</f>
        <v>Field Options-37</v>
      </c>
      <c r="AL83" s="96">
        <f>COUNTIF($AJ$2:FormFields[[#This Row],[Exists FO]],1)</f>
        <v>37</v>
      </c>
      <c r="AM83" s="96">
        <f>IF(FormFields[[#This Row],[NO4]]=0,"id",FormFields[[#This Row],[NO4]]+IF(ISNUMBER(VLOOKUP('Table Seed Map'!$A$14,SeedMap[],9,0)),VLOOKUP('Table Seed Map'!$A$14,SeedMap[],9,0),0))</f>
        <v>2113137</v>
      </c>
      <c r="AN83" s="104">
        <f>IF(FormFields[[#This Row],[ID]]="id","form_field",FormFields[[#This Row],[ID]])</f>
        <v>2111181</v>
      </c>
      <c r="AO83" s="105"/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Layout-10</v>
      </c>
      <c r="AV83" s="96">
        <f>COUNTIF($AT$1:FormFields[[#This Row],[Exists FL]],1)</f>
        <v>10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12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1784</v>
      </c>
      <c r="O84" s="96">
        <f>COUNTA($N$1:FormFields[[#This Row],[Form Name]])-1</f>
        <v>82</v>
      </c>
      <c r="P84" s="95" t="str">
        <f>FormFields[[#This Row],[Form Name]]&amp;"/"&amp;FormFields[[#This Row],[Name]]</f>
        <v>Order/EditOrderForm/customer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2110127</v>
      </c>
      <c r="S84" s="98" t="s">
        <v>830</v>
      </c>
      <c r="T84" s="98" t="s">
        <v>1195</v>
      </c>
      <c r="U84" s="98" t="s">
        <v>785</v>
      </c>
      <c r="V84" s="99"/>
      <c r="W84" s="99"/>
      <c r="X84" s="99"/>
      <c r="Y84" s="99"/>
      <c r="Z84" s="100" t="str">
        <f>'Table Seed Map'!$A$13&amp;"-"&amp;FormFields[[#This Row],[NO2]]</f>
        <v>Field Data-81</v>
      </c>
      <c r="AA84" s="101">
        <f>COUNTIFS($AB$1:FormFields[[#This Row],[Exists]],1)-1</f>
        <v>81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2112181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customer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1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 t="s">
        <v>122</v>
      </c>
      <c r="AP84" s="105">
        <v>2123107</v>
      </c>
      <c r="AQ84" s="105" t="s">
        <v>21</v>
      </c>
      <c r="AR84" s="105" t="s">
        <v>23</v>
      </c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Layout-11</v>
      </c>
      <c r="AV84" s="96">
        <f>COUNTIF($AT$1:FormFields[[#This Row],[Exists FL]],1)</f>
        <v>11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4" s="96">
        <f>[Form]</f>
        <v>2110127</v>
      </c>
      <c r="AY84" s="96">
        <f>IF(FormFields[[#This Row],[ID]]="id","form_field",FormFields[[#This Row],[ID]])</f>
        <v>2111182</v>
      </c>
      <c r="AZ84" s="106">
        <v>7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1784</v>
      </c>
      <c r="O85" s="96">
        <f>COUNTA($N$1:FormFields[[#This Row],[Form Name]])-1</f>
        <v>83</v>
      </c>
      <c r="P85" s="95" t="str">
        <f>FormFields[[#This Row],[Form Name]]&amp;"/"&amp;FormFields[[#This Row],[Name]]</f>
        <v>Order/EditOrderForm/date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827</v>
      </c>
      <c r="T85" s="98" t="s">
        <v>1143</v>
      </c>
      <c r="U85" s="98" t="s">
        <v>1337</v>
      </c>
      <c r="V85" s="99"/>
      <c r="W85" s="99"/>
      <c r="X85" s="99"/>
      <c r="Y85" s="99"/>
      <c r="Z85" s="100" t="str">
        <f>'Table Seed Map'!$A$13&amp;"-"&amp;FormFields[[#This Row],[NO2]]</f>
        <v>Field Data-82</v>
      </c>
      <c r="AA85" s="101">
        <f>COUNTIFS($AB$1:FormFields[[#This Row],[Exists]],1)-1</f>
        <v>82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2112182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date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0</v>
      </c>
      <c r="AK85" s="96" t="str">
        <f>'Table Seed Map'!$A$14&amp;"-"&amp;FormFields[[#This Row],[NO4]]</f>
        <v>Field Options-38</v>
      </c>
      <c r="AL85" s="96">
        <f>COUNTIF($AJ$2:FormFields[[#This Row],[Exists FO]],1)</f>
        <v>38</v>
      </c>
      <c r="AM85" s="96">
        <f>IF(FormFields[[#This Row],[NO4]]=0,"id",FormFields[[#This Row],[NO4]]+IF(ISNUMBER(VLOOKUP('Table Seed Map'!$A$14,SeedMap[],9,0)),VLOOKUP('Table Seed Map'!$A$14,SeedMap[],9,0),0))</f>
        <v>2113138</v>
      </c>
      <c r="AN85" s="104">
        <f>IF(FormFields[[#This Row],[ID]]="id","form_field",FormFields[[#This Row],[ID]])</f>
        <v>2111183</v>
      </c>
      <c r="AO85" s="105"/>
      <c r="AP85" s="105"/>
      <c r="AQ85" s="105"/>
      <c r="AR85" s="105"/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Layout-12</v>
      </c>
      <c r="AV85" s="96">
        <f>COUNTIF($AT$1:FormFields[[#This Row],[Exists FL]],1)</f>
        <v>12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5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1784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Order/EditOrderForm/pl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820</v>
      </c>
      <c r="T86" s="98" t="s">
        <v>1195</v>
      </c>
      <c r="U86" s="98" t="s">
        <v>905</v>
      </c>
      <c r="V86" s="99"/>
      <c r="W86" s="99"/>
      <c r="X86" s="99"/>
      <c r="Y86" s="99"/>
      <c r="Z86" s="100" t="str">
        <f>'Table Seed Map'!$A$13&amp;"-"&amp;FormFields[[#This Row],[NO2]]</f>
        <v>Field Data-83</v>
      </c>
      <c r="AA86" s="101">
        <f>COUNTIFS($AB$1:FormFields[[#This Row],[Exists]],1)-1</f>
        <v>83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2112183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pl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1</v>
      </c>
      <c r="AK86" s="96" t="str">
        <f>'Table Seed Map'!$A$14&amp;"-"&amp;FormFields[[#This Row],[NO4]]</f>
        <v>Field Options-39</v>
      </c>
      <c r="AL86" s="96">
        <f>COUNTIF($AJ$2:FormFields[[#This Row],[Exists FO]],1)</f>
        <v>39</v>
      </c>
      <c r="AM86" s="96">
        <f>IF(FormFields[[#This Row],[NO4]]=0,"id",FormFields[[#This Row],[NO4]]+IF(ISNUMBER(VLOOKUP('Table Seed Map'!$A$14,SeedMap[],9,0)),VLOOKUP('Table Seed Map'!$A$14,SeedMap[],9,0),0))</f>
        <v>2113139</v>
      </c>
      <c r="AN86" s="104">
        <f>IF(FormFields[[#This Row],[ID]]="id","form_field",FormFields[[#This Row],[ID]])</f>
        <v>2111184</v>
      </c>
      <c r="AO86" s="105" t="s">
        <v>278</v>
      </c>
      <c r="AP86" s="105"/>
      <c r="AQ86" s="105" t="s">
        <v>21</v>
      </c>
      <c r="AR86" s="105" t="s">
        <v>23</v>
      </c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Layout-13</v>
      </c>
      <c r="AV86" s="96">
        <f>COUNTIF($AT$1:FormFields[[#This Row],[Exists FL]],1)</f>
        <v>13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6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1784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Order/EditOrderForm/hub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809</v>
      </c>
      <c r="T87" s="98" t="s">
        <v>1195</v>
      </c>
      <c r="U87" s="98" t="s">
        <v>777</v>
      </c>
      <c r="V87" s="99"/>
      <c r="W87" s="99"/>
      <c r="X87" s="99"/>
      <c r="Y87" s="99"/>
      <c r="Z87" s="100" t="str">
        <f>'Table Seed Map'!$A$13&amp;"-"&amp;FormFields[[#This Row],[NO2]]</f>
        <v>Field Data-84</v>
      </c>
      <c r="AA87" s="101">
        <f>COUNTIFS($AB$1:FormFields[[#This Row],[Exists]],1)-1</f>
        <v>84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2112184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hub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Options-40</v>
      </c>
      <c r="AL87" s="96">
        <f>COUNTIF($AJ$2:FormFields[[#This Row],[Exists FO]],1)</f>
        <v>40</v>
      </c>
      <c r="AM87" s="96">
        <f>IF(FormFields[[#This Row],[NO4]]=0,"id",FormFields[[#This Row],[NO4]]+IF(ISNUMBER(VLOOKUP('Table Seed Map'!$A$14,SeedMap[],9,0)),VLOOKUP('Table Seed Map'!$A$14,SeedMap[],9,0),0))</f>
        <v>2113140</v>
      </c>
      <c r="AN87" s="104">
        <f>IF(FormFields[[#This Row],[ID]]="id","form_field",FormFields[[#This Row],[ID]])</f>
        <v>2111185</v>
      </c>
      <c r="AO87" s="105" t="s">
        <v>278</v>
      </c>
      <c r="AP87" s="105"/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Layout-14</v>
      </c>
      <c r="AV87" s="96">
        <f>COUNTIF($AT$1:FormFields[[#This Row],[Exists FL]],1)</f>
        <v>14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6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1982</v>
      </c>
      <c r="O88" s="96">
        <f>COUNTA($N$1:FormFields[[#This Row],[Form Name]])-1</f>
        <v>86</v>
      </c>
      <c r="P88" s="95" t="str">
        <f>FormFields[[#This Row],[Form Name]]&amp;"/"&amp;FormFields[[#This Row],[Name]]</f>
        <v>OrderItemServiceUser/JobStartForm/start_at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2110128</v>
      </c>
      <c r="S88" s="98" t="s">
        <v>867</v>
      </c>
      <c r="T88" s="98" t="s">
        <v>1143</v>
      </c>
      <c r="U88" s="98" t="s">
        <v>1983</v>
      </c>
      <c r="V88" s="99"/>
      <c r="W88" s="99"/>
      <c r="X88" s="99"/>
      <c r="Y88" s="99"/>
      <c r="Z88" s="100" t="str">
        <f>'Table Seed Map'!$A$13&amp;"-"&amp;FormFields[[#This Row],[NO2]]</f>
        <v>Field Data-85</v>
      </c>
      <c r="AA88" s="101">
        <f>COUNTIFS($AB$1:FormFields[[#This Row],[Exists]],1)-1</f>
        <v>85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2112185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start_at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0</v>
      </c>
      <c r="AK88" s="96" t="str">
        <f>'Table Seed Map'!$A$14&amp;"-"&amp;FormFields[[#This Row],[NO4]]</f>
        <v>Field Options-40</v>
      </c>
      <c r="AL88" s="96">
        <f>COUNTIF($AJ$2:FormFields[[#This Row],[Exists FO]],1)</f>
        <v>40</v>
      </c>
      <c r="AM88" s="96">
        <f>IF(FormFields[[#This Row],[NO4]]=0,"id",FormFields[[#This Row],[NO4]]+IF(ISNUMBER(VLOOKUP('Table Seed Map'!$A$14,SeedMap[],9,0)),VLOOKUP('Table Seed Map'!$A$14,SeedMap[],9,0),0))</f>
        <v>2113140</v>
      </c>
      <c r="AN88" s="104">
        <f>IF(FormFields[[#This Row],[ID]]="id","form_field",FormFields[[#This Row],[ID]])</f>
        <v>2111186</v>
      </c>
      <c r="AO88" s="105"/>
      <c r="AP88" s="105"/>
      <c r="AQ88" s="105"/>
      <c r="AR88" s="105"/>
      <c r="AS88" s="105"/>
      <c r="AT88" s="96">
        <f>IF(OR(FormFields[[#This Row],[Colspan]]="",FormFields[[#This Row],[Colspan]]="colspan"),0,1)</f>
        <v>0</v>
      </c>
      <c r="AU88" s="96" t="str">
        <f>'Table Seed Map'!$A$19&amp;"-"&amp;FormFields[[#This Row],[NO8]]</f>
        <v>Form Layout-14</v>
      </c>
      <c r="AV88" s="96">
        <f>COUNTIF($AT$1:FormFields[[#This Row],[Exists FL]],1)</f>
        <v>14</v>
      </c>
      <c r="AW8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8" s="96">
        <f>[Form]</f>
        <v>2110128</v>
      </c>
      <c r="AY88" s="96">
        <f>IF(FormFields[[#This Row],[ID]]="id","form_field",FormFields[[#This Row],[ID]])</f>
        <v>2111186</v>
      </c>
      <c r="AZ88" s="106"/>
      <c r="BA88" s="104">
        <f>FormFields[[#This Row],[ID]]</f>
        <v>2111186</v>
      </c>
    </row>
    <row r="89" spans="13:53">
      <c r="M89" s="95" t="str">
        <f>'Table Seed Map'!$A$12&amp;"-"&amp;FormFields[[#This Row],[No]]</f>
        <v>Form Fields-87</v>
      </c>
      <c r="N89" s="81" t="s">
        <v>1988</v>
      </c>
      <c r="O89" s="96">
        <f>COUNTA($N$1:FormFields[[#This Row],[Form Name]])-1</f>
        <v>87</v>
      </c>
      <c r="P89" s="95" t="str">
        <f>FormFields[[#This Row],[Form Name]]&amp;"/"&amp;FormFields[[#This Row],[Name]]</f>
        <v>OrderItemServiceUser/FinishJobForm/end_at</v>
      </c>
      <c r="Q89" s="96">
        <f>IF(FormFields[[#This Row],[No]]=0,"id",FormFields[[#This Row],[No]]+IF(ISNUMBER(VLOOKUP('Table Seed Map'!$A$12,SeedMap[],9,0)),VLOOKUP('Table Seed Map'!$A$12,SeedMap[],9,0),0))</f>
        <v>2111187</v>
      </c>
      <c r="R89" s="97">
        <f>IFERROR(VLOOKUP(FormFields[[#This Row],[Form Name]],ResourceForms[[FormName]:[ID]],4,0),"resource_form")</f>
        <v>2110129</v>
      </c>
      <c r="S89" s="98" t="s">
        <v>869</v>
      </c>
      <c r="T89" s="98" t="s">
        <v>1143</v>
      </c>
      <c r="U89" s="98" t="s">
        <v>1989</v>
      </c>
      <c r="V89" s="99"/>
      <c r="W89" s="99"/>
      <c r="X89" s="99"/>
      <c r="Y89" s="99"/>
      <c r="Z89" s="100" t="str">
        <f>'Table Seed Map'!$A$13&amp;"-"&amp;FormFields[[#This Row],[NO2]]</f>
        <v>Field Data-86</v>
      </c>
      <c r="AA89" s="101">
        <f>COUNTIFS($AB$1:FormFields[[#This Row],[Exists]],1)-1</f>
        <v>86</v>
      </c>
      <c r="AB89" s="101">
        <f>IF(AND(FormFields[[#This Row],[Attribute]]="",FormFields[[#This Row],[Rel]]=""),0,1)</f>
        <v>1</v>
      </c>
      <c r="AC89" s="101">
        <f>IF(FormFields[[#This Row],[NO2]]=0,"id",FormFields[[#This Row],[NO2]]+IF(ISNUMBER(VLOOKUP('Table Seed Map'!$A$13,SeedMap[],9,0)),VLOOKUP('Table Seed Map'!$A$13,SeedMap[],9,0),0))</f>
        <v>2112186</v>
      </c>
      <c r="AD89" s="102">
        <f>IF(FormFields[[#This Row],[ID]]="id","form_field",FormFields[[#This Row],[ID]])</f>
        <v>2111187</v>
      </c>
      <c r="AE89" s="101" t="str">
        <f>IF(FormFields[[#This Row],[No]]=0,"attribute",FormFields[[#This Row],[Name]])</f>
        <v>end_at</v>
      </c>
      <c r="AF89" s="103" t="str">
        <f>IF(FormFields[[#This Row],[NO2]]=0,"relation",IF(FormFields[[#This Row],[Rel]]="","",VLOOKUP(FormFields[[#This Row],[Rel]],RelationTable[[Display]:[RELID]],2,0)))</f>
        <v/>
      </c>
      <c r="AG89" s="103" t="str">
        <f>IF(FormFields[[#This Row],[NO2]]=0,"nest_relation1",IF(FormFields[[#This Row],[Rel1]]="","",VLOOKUP(FormFields[[#This Row],[Rel1]],RelationTable[[Display]:[RELID]],2,0)))</f>
        <v/>
      </c>
      <c r="AH89" s="103" t="str">
        <f>IF(FormFields[[#This Row],[NO2]]=0,"nest_relation2",IF(FormFields[[#This Row],[Rel2]]="","",VLOOKUP(FormFields[[#This Row],[Rel2]],RelationTable[[Display]:[RELID]],2,0)))</f>
        <v/>
      </c>
      <c r="AI89" s="103" t="str">
        <f>IF(FormFields[[#This Row],[NO2]]=0,"nest_relation3",IF(FormFields[[#This Row],[Rel3]]="","",VLOOKUP(FormFields[[#This Row],[Rel3]],RelationTable[[Display]:[RELID]],2,0)))</f>
        <v/>
      </c>
      <c r="AJ89" s="96">
        <f>IF(OR(FormFields[[#This Row],[Option Type]]="",FormFields[[#This Row],[Option Type]]="type"),0,1)</f>
        <v>0</v>
      </c>
      <c r="AK89" s="96" t="str">
        <f>'Table Seed Map'!$A$14&amp;"-"&amp;FormFields[[#This Row],[NO4]]</f>
        <v>Field Options-40</v>
      </c>
      <c r="AL89" s="96">
        <f>COUNTIF($AJ$2:FormFields[[#This Row],[Exists FO]],1)</f>
        <v>40</v>
      </c>
      <c r="AM89" s="96">
        <f>IF(FormFields[[#This Row],[NO4]]=0,"id",FormFields[[#This Row],[NO4]]+IF(ISNUMBER(VLOOKUP('Table Seed Map'!$A$14,SeedMap[],9,0)),VLOOKUP('Table Seed Map'!$A$14,SeedMap[],9,0),0))</f>
        <v>2113140</v>
      </c>
      <c r="AN89" s="104">
        <f>IF(FormFields[[#This Row],[ID]]="id","form_field",FormFields[[#This Row],[ID]])</f>
        <v>2111187</v>
      </c>
      <c r="AO89" s="105"/>
      <c r="AP89" s="105"/>
      <c r="AQ89" s="105"/>
      <c r="AR89" s="105"/>
      <c r="AS89" s="105"/>
      <c r="AT89" s="96">
        <f>IF(OR(FormFields[[#This Row],[Colspan]]="",FormFields[[#This Row],[Colspan]]="colspan"),0,1)</f>
        <v>0</v>
      </c>
      <c r="AU89" s="96" t="str">
        <f>'Table Seed Map'!$A$19&amp;"-"&amp;FormFields[[#This Row],[NO8]]</f>
        <v>Form Layout-14</v>
      </c>
      <c r="AV89" s="96">
        <f>COUNTIF($AT$1:FormFields[[#This Row],[Exists FL]],1)</f>
        <v>14</v>
      </c>
      <c r="AW8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9" s="96">
        <f>[Form]</f>
        <v>2110129</v>
      </c>
      <c r="AY89" s="96">
        <f>IF(FormFields[[#This Row],[ID]]="id","form_field",FormFields[[#This Row],[ID]])</f>
        <v>2111187</v>
      </c>
      <c r="AZ89" s="106"/>
      <c r="BA89" s="104">
        <f>FormFields[[#This Row],[ID]]</f>
        <v>2111187</v>
      </c>
    </row>
  </sheetData>
  <dataValidations count="9">
    <dataValidation type="list" allowBlank="1" showInputMessage="1" showErrorMessage="1" sqref="CS2:CY7 V2:Y89 BX2:BX5 EN2:ES9">
      <formula1>Relations</formula1>
    </dataValidation>
    <dataValidation type="list" allowBlank="1" showInputMessage="1" showErrorMessage="1" sqref="CH2:CH7 N2:N89 DY2:DY9 BV2:BW5">
      <formula1>FormNames</formula1>
    </dataValidation>
    <dataValidation type="list" allowBlank="1" showInputMessage="1" showErrorMessage="1" sqref="BJ2:BJ14 DB2:DB12 BC2:BC65 BY2:BY5 DN2 EA2:EA9">
      <formula1>FieldDisplayNames</formula1>
    </dataValidation>
    <dataValidation type="list" allowBlank="1" showInputMessage="1" showErrorMessage="1" sqref="DW2 DH2:DH1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12">
      <formula1>"ignore_null,Yes,No"</formula1>
    </dataValidation>
    <dataValidation type="list" allowBlank="1" showInputMessage="1" showErrorMessage="1" sqref="D2:D3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1166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1167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1349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1169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1170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1171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1172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1173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1174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1175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1176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1177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1178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1179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1180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1350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1351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76"/>
  <sheetViews>
    <sheetView topLeftCell="AO1" workbookViewId="0">
      <selection activeCell="AU171" sqref="AU171:AU17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1367</v>
      </c>
      <c r="G3" s="107" t="s">
        <v>1368</v>
      </c>
      <c r="H3" s="107" t="s">
        <v>1369</v>
      </c>
      <c r="I3" s="107" t="s">
        <v>25</v>
      </c>
      <c r="J3" s="107">
        <v>10</v>
      </c>
      <c r="K3" s="67">
        <f>[No]</f>
        <v>2123101</v>
      </c>
      <c r="M3" s="62" t="s">
        <v>1370</v>
      </c>
      <c r="N3" s="63">
        <f>VLOOKUP(ListExtras[[#This Row],[List Name]],ResourceList[[ListDisplayName]:[No]],2,0)</f>
        <v>2123101</v>
      </c>
      <c r="O3" s="62" t="s">
        <v>1370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1457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1123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1398</v>
      </c>
      <c r="G4" s="107"/>
      <c r="H4" s="107" t="s">
        <v>1121</v>
      </c>
      <c r="I4" s="107" t="s">
        <v>23</v>
      </c>
      <c r="J4" s="107">
        <v>10</v>
      </c>
      <c r="K4" s="67">
        <f>[No]</f>
        <v>2123102</v>
      </c>
      <c r="M4" s="62" t="s">
        <v>1458</v>
      </c>
      <c r="N4" s="63">
        <f>VLOOKUP(ListExtras[[#This Row],[List Name]],ResourceList[[ListDisplayName]:[No]],2,0)</f>
        <v>2123103</v>
      </c>
      <c r="O4" s="62"/>
      <c r="P4" s="62" t="s">
        <v>1504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1457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1343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1399</v>
      </c>
      <c r="G5" s="107"/>
      <c r="H5" s="107" t="s">
        <v>1118</v>
      </c>
      <c r="I5" s="107" t="s">
        <v>23</v>
      </c>
      <c r="J5" s="107">
        <v>30</v>
      </c>
      <c r="K5" s="67">
        <f>[No]</f>
        <v>2123103</v>
      </c>
      <c r="M5" s="62" t="s">
        <v>1458</v>
      </c>
      <c r="N5" s="63">
        <f>VLOOKUP(ListExtras[[#This Row],[List Name]],ResourceList[[ListDisplayName]:[No]],2,0)</f>
        <v>2123103</v>
      </c>
      <c r="O5" s="62"/>
      <c r="P5" s="62" t="s">
        <v>1460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1457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1188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1343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1400</v>
      </c>
      <c r="G6" s="107"/>
      <c r="H6" s="107" t="s">
        <v>1102</v>
      </c>
      <c r="I6" s="107" t="s">
        <v>23</v>
      </c>
      <c r="J6" s="107">
        <v>30</v>
      </c>
      <c r="K6" s="67">
        <f>[No]</f>
        <v>2123104</v>
      </c>
      <c r="M6" s="62" t="s">
        <v>1401</v>
      </c>
      <c r="N6" s="63">
        <f>VLOOKUP(ListExtras[[#This Row],[List Name]],ResourceList[[ListDisplayName]:[No]],2,0)</f>
        <v>2123104</v>
      </c>
      <c r="O6" s="62" t="s">
        <v>1402</v>
      </c>
      <c r="P6" s="62" t="s">
        <v>1460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1458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1343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1403</v>
      </c>
      <c r="G7" s="107"/>
      <c r="H7" s="107" t="s">
        <v>1103</v>
      </c>
      <c r="I7" s="107" t="s">
        <v>23</v>
      </c>
      <c r="J7" s="107">
        <v>30</v>
      </c>
      <c r="K7" s="67">
        <f>[No]</f>
        <v>2123105</v>
      </c>
      <c r="M7" s="62" t="s">
        <v>1454</v>
      </c>
      <c r="N7" s="63">
        <f>VLOOKUP(ListExtras[[#This Row],[List Name]],ResourceList[[ListDisplayName]:[No]],2,0)</f>
        <v>2123105</v>
      </c>
      <c r="O7" s="62" t="s">
        <v>1456</v>
      </c>
      <c r="P7" s="62" t="s">
        <v>1460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1458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1343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1404</v>
      </c>
      <c r="G8" s="107"/>
      <c r="H8" s="107" t="s">
        <v>1103</v>
      </c>
      <c r="I8" s="107" t="s">
        <v>23</v>
      </c>
      <c r="J8" s="107">
        <v>30</v>
      </c>
      <c r="K8" s="67">
        <f>[No]</f>
        <v>2123106</v>
      </c>
      <c r="M8" s="62" t="s">
        <v>1454</v>
      </c>
      <c r="N8" s="63">
        <f>VLOOKUP(ListExtras[[#This Row],[List Name]],ResourceList[[ListDisplayName]:[No]],2,0)</f>
        <v>2123105</v>
      </c>
      <c r="O8" s="62"/>
      <c r="P8" s="62" t="s">
        <v>1459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1458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1504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1409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1464</v>
      </c>
      <c r="N9" s="63">
        <f>VLOOKUP(ListExtras[[#This Row],[List Name]],ResourceList[[ListDisplayName]:[No]],2,0)</f>
        <v>2123109</v>
      </c>
      <c r="O9" s="62"/>
      <c r="P9" s="62" t="s">
        <v>1466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1458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1460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1410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1467</v>
      </c>
      <c r="N10" s="63">
        <f>VLOOKUP(ListExtras[[#This Row],[List Name]],ResourceList[[ListDisplayName]:[No]],2,0)</f>
        <v>2123110</v>
      </c>
      <c r="O10" s="62"/>
      <c r="P10" s="62" t="s">
        <v>1211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1401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1411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1469</v>
      </c>
      <c r="N11" s="63">
        <f>VLOOKUP(ListExtras[[#This Row],[List Name]],ResourceList[[ListDisplayName]:[No]],2,0)</f>
        <v>2123111</v>
      </c>
      <c r="O11" s="62"/>
      <c r="P11" s="62" t="s">
        <v>1470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1401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1412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1469</v>
      </c>
      <c r="N12" s="63">
        <f>VLOOKUP(ListExtras[[#This Row],[List Name]],ResourceList[[ListDisplayName]:[No]],2,0)</f>
        <v>2123111</v>
      </c>
      <c r="O12" s="62"/>
      <c r="P12" s="62" t="s">
        <v>1546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1401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1460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1413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1476</v>
      </c>
      <c r="N13" s="63">
        <f>VLOOKUP(ListExtras[[#This Row],[List Name]],ResourceList[[ListDisplayName]:[No]],2,0)</f>
        <v>2123114</v>
      </c>
      <c r="O13" s="62"/>
      <c r="P13" s="62" t="s">
        <v>1478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1454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1414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1479</v>
      </c>
      <c r="N14" s="63">
        <f>VLOOKUP(ListExtras[[#This Row],[List Name]],ResourceList[[ListDisplayName]:[No]],2,0)</f>
        <v>2123115</v>
      </c>
      <c r="O14" s="62"/>
      <c r="P14" s="62" t="s">
        <v>1480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1454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1415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1479</v>
      </c>
      <c r="N15" s="63">
        <f>VLOOKUP(ListExtras[[#This Row],[List Name]],ResourceList[[ListDisplayName]:[No]],2,0)</f>
        <v>2123115</v>
      </c>
      <c r="O15" s="62"/>
      <c r="P15" s="62" t="s">
        <v>1481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1454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1459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1416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1482</v>
      </c>
      <c r="N16" s="63">
        <f>VLOOKUP(ListExtras[[#This Row],[List Name]],ResourceList[[ListDisplayName]:[No]],2,0)</f>
        <v>2123116</v>
      </c>
      <c r="O16" s="62"/>
      <c r="P16" s="62" t="s">
        <v>1483</v>
      </c>
      <c r="Q16" s="62" t="s">
        <v>1480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1454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1460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1417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1485</v>
      </c>
      <c r="N17" s="63">
        <f>VLOOKUP(ListExtras[[#This Row],[List Name]],ResourceList[[ListDisplayName]:[No]],2,0)</f>
        <v>2123117</v>
      </c>
      <c r="O17" s="62"/>
      <c r="P17" s="62" t="s">
        <v>1492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1461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1418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1485</v>
      </c>
      <c r="N18" s="63">
        <f>VLOOKUP(ListExtras[[#This Row],[List Name]],ResourceList[[ListDisplayName]:[No]],2,0)</f>
        <v>2123117</v>
      </c>
      <c r="O18" s="62"/>
      <c r="P18" s="62" t="s">
        <v>1486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1461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1419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1487</v>
      </c>
      <c r="N19" s="63">
        <f>VLOOKUP(ListExtras[[#This Row],[List Name]],ResourceList[[ListDisplayName]:[No]],2,0)</f>
        <v>2123118</v>
      </c>
      <c r="O19" s="62"/>
      <c r="P19" s="62" t="s">
        <v>1490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1461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1462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1168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1420</v>
      </c>
      <c r="G20" s="107"/>
      <c r="H20" s="107" t="s">
        <v>1421</v>
      </c>
      <c r="I20" s="107" t="s">
        <v>21</v>
      </c>
      <c r="J20" s="107">
        <v>30</v>
      </c>
      <c r="K20" s="67">
        <f>[No]</f>
        <v>2123118</v>
      </c>
      <c r="M20" s="62" t="s">
        <v>1487</v>
      </c>
      <c r="N20" s="63">
        <f>VLOOKUP(ListExtras[[#This Row],[List Name]],ResourceList[[ListDisplayName]:[No]],2,0)</f>
        <v>2123118</v>
      </c>
      <c r="O20" s="62"/>
      <c r="P20" s="62" t="s">
        <v>1491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1463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1607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1608</v>
      </c>
      <c r="N21" s="63">
        <f>VLOOKUP(ListExtras[[#This Row],[List Name]],ResourceList[[ListDisplayName]:[No]],2,0)</f>
        <v>2123119</v>
      </c>
      <c r="O21" s="62"/>
      <c r="P21" s="62" t="s">
        <v>1609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1463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1618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1608</v>
      </c>
      <c r="N22" s="63">
        <f>VLOOKUP(ListExtras[[#This Row],[List Name]],ResourceList[[ListDisplayName]:[No]],2,0)</f>
        <v>2123119</v>
      </c>
      <c r="O22" s="62"/>
      <c r="P22" s="62" t="s">
        <v>1586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1463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1462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1632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1619</v>
      </c>
      <c r="N23" s="63">
        <f>VLOOKUP(ListExtras[[#This Row],[List Name]],ResourceList[[ListDisplayName]:[No]],2,0)</f>
        <v>2123120</v>
      </c>
      <c r="O23" s="62"/>
      <c r="P23" s="62" t="s">
        <v>1620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1463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1196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1645</v>
      </c>
      <c r="G24" s="107"/>
      <c r="H24" s="107" t="s">
        <v>1646</v>
      </c>
      <c r="I24" s="107" t="s">
        <v>23</v>
      </c>
      <c r="J24" s="107">
        <v>30</v>
      </c>
      <c r="K24" s="67">
        <f>[No]</f>
        <v>2123122</v>
      </c>
      <c r="M24" s="62" t="s">
        <v>1619</v>
      </c>
      <c r="N24" s="63">
        <f>VLOOKUP(ListExtras[[#This Row],[List Name]],ResourceList[[ListDisplayName]:[No]],2,0)</f>
        <v>2123120</v>
      </c>
      <c r="O24" s="62"/>
      <c r="P24" s="62" t="s">
        <v>1468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1464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1660</v>
      </c>
      <c r="G25" s="107"/>
      <c r="H25" s="107" t="s">
        <v>1678</v>
      </c>
      <c r="I25" s="107" t="s">
        <v>23</v>
      </c>
      <c r="J25" s="107">
        <v>30</v>
      </c>
      <c r="K25" s="67">
        <f>[No]</f>
        <v>2123123</v>
      </c>
      <c r="M25" s="62" t="s">
        <v>1619</v>
      </c>
      <c r="N25" s="63">
        <f>VLOOKUP(ListExtras[[#This Row],[List Name]],ResourceList[[ListDisplayName]:[No]],2,0)</f>
        <v>2123120</v>
      </c>
      <c r="O25" s="62"/>
      <c r="P25" s="62" t="s">
        <v>1621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1464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1686</v>
      </c>
      <c r="G26" s="107"/>
      <c r="H26" s="107" t="s">
        <v>1685</v>
      </c>
      <c r="I26" s="107" t="s">
        <v>854</v>
      </c>
      <c r="J26" s="107">
        <v>30</v>
      </c>
      <c r="K26" s="67">
        <f>[No]</f>
        <v>2123124</v>
      </c>
      <c r="M26" s="62" t="s">
        <v>1472</v>
      </c>
      <c r="N26" s="63">
        <f>VLOOKUP(ListExtras[[#This Row],[List Name]],ResourceList[[ListDisplayName]:[No]],2,0)</f>
        <v>2123113</v>
      </c>
      <c r="O26" s="62"/>
      <c r="P26" s="62" t="s">
        <v>1475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1464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1465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1466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1696</v>
      </c>
      <c r="G27" s="107"/>
      <c r="H27" s="107" t="s">
        <v>1705</v>
      </c>
      <c r="I27" s="107" t="s">
        <v>21</v>
      </c>
      <c r="J27" s="107">
        <v>30</v>
      </c>
      <c r="K27" s="67">
        <f>[No]</f>
        <v>2123125</v>
      </c>
      <c r="M27" s="62" t="s">
        <v>1633</v>
      </c>
      <c r="N27" s="63">
        <f>VLOOKUP(ListExtras[[#This Row],[List Name]],ResourceList[[ListDisplayName]:[No]],2,0)</f>
        <v>2123121</v>
      </c>
      <c r="O27" s="62"/>
      <c r="P27" s="62" t="s">
        <v>1634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1464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1196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A28" s="63" t="str">
        <f>'Table Seed Map'!$A$24&amp;"-"&amp;COUNTA($B$1:ResourceList[[#This Row],[Resource Name]])-1</f>
        <v>Resource Lists-26</v>
      </c>
      <c r="B28" s="62" t="s">
        <v>898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1798</v>
      </c>
      <c r="G28" s="107"/>
      <c r="H28" s="107" t="s">
        <v>913</v>
      </c>
      <c r="I28" s="107" t="s">
        <v>850</v>
      </c>
      <c r="J28" s="107">
        <v>30</v>
      </c>
      <c r="K28" s="67">
        <f>[No]</f>
        <v>2123126</v>
      </c>
      <c r="M28" s="62" t="s">
        <v>1633</v>
      </c>
      <c r="N28" s="63">
        <f>VLOOKUP(ListExtras[[#This Row],[List Name]],ResourceList[[ListDisplayName]:[No]],2,0)</f>
        <v>2123121</v>
      </c>
      <c r="O28" s="62"/>
      <c r="P28" s="62" t="s">
        <v>1635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1467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A29" s="63" t="str">
        <f>'Table Seed Map'!$A$24&amp;"-"&amp;COUNTA($B$1:ResourceList[[#This Row],[Resource Name]])-1</f>
        <v>Resource Lists-27</v>
      </c>
      <c r="B29" s="62" t="s">
        <v>897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1810</v>
      </c>
      <c r="G29" s="107"/>
      <c r="H29" s="107" t="s">
        <v>1814</v>
      </c>
      <c r="I29" s="107" t="s">
        <v>21</v>
      </c>
      <c r="J29" s="107">
        <v>30</v>
      </c>
      <c r="K29" s="67">
        <f>[No]</f>
        <v>2123127</v>
      </c>
      <c r="M29" s="62" t="s">
        <v>1633</v>
      </c>
      <c r="N29" s="63">
        <f>VLOOKUP(ListExtras[[#This Row],[List Name]],ResourceList[[ListDisplayName]:[No]],2,0)</f>
        <v>2123121</v>
      </c>
      <c r="O29" s="62"/>
      <c r="P29" s="62" t="s">
        <v>1636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1467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A30" s="63" t="str">
        <f>'Table Seed Map'!$A$24&amp;"-"&amp;COUNTA($B$1:ResourceList[[#This Row],[Resource Name]])-1</f>
        <v>Resource Lists-28</v>
      </c>
      <c r="B30" s="62" t="s">
        <v>897</v>
      </c>
      <c r="C30" s="63" t="str">
        <f>ResourceList[[#This Row],[Resource Name]]&amp;"/"&amp;ResourceList[[#This Row],[Name]]</f>
        <v>Invoice/PaidInvoiceList</v>
      </c>
      <c r="D30" s="69">
        <f>IF(ResourceList[[#This Row],[Resource Name]]="","id",COUNTA($B$2:ResourceList[[#This Row],[Resource Name]])+IF(ISNUMBER(VLOOKUP('Table Seed Map'!$A$24,SeedMap[],9,0)),VLOOKUP('Table Seed Map'!$A$24,SeedMap[],9,0),0))</f>
        <v>2123128</v>
      </c>
      <c r="E30" s="69">
        <f>IFERROR(VLOOKUP(ResourceList[[#This Row],[Resource Name]],ResourceTable[[RName]:[No]],3,0),"resource")</f>
        <v>2106121</v>
      </c>
      <c r="F30" s="107" t="s">
        <v>1834</v>
      </c>
      <c r="G30" s="107"/>
      <c r="H30" s="107" t="s">
        <v>1835</v>
      </c>
      <c r="I30" s="107" t="s">
        <v>21</v>
      </c>
      <c r="J30" s="107">
        <v>30</v>
      </c>
      <c r="K30" s="67">
        <f>[No]</f>
        <v>2123128</v>
      </c>
      <c r="M30" s="62" t="s">
        <v>1647</v>
      </c>
      <c r="N30" s="63">
        <f>VLOOKUP(ListExtras[[#This Row],[List Name]],ResourceList[[ListDisplayName]:[No]],2,0)</f>
        <v>2123122</v>
      </c>
      <c r="O30" s="62"/>
      <c r="P30" s="62" t="s">
        <v>1648</v>
      </c>
      <c r="Q30" s="62" t="s">
        <v>1854</v>
      </c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2123122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2123122</v>
      </c>
      <c r="AA30" s="69">
        <f>IFERROR(VLOOKUP(ListExtras[[#This Row],[Relation Name]],RelationTable[[Display]:[RELID]],2,0),IF(ListExtras[[#This Row],[LID]]=0,"relation",""))</f>
        <v>2109158</v>
      </c>
      <c r="AB30" s="69">
        <f>IFERROR(VLOOKUP(ListExtras[[#This Row],[R1 Name]],RelationTable[[Display]:[RELID]],2,0),IF(ListExtras[[#This Row],[LID]]=0,"nest_relation1",""))</f>
        <v>2109194</v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1467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1196</v>
      </c>
      <c r="AY30" s="107" t="s">
        <v>804</v>
      </c>
      <c r="AZ30" s="69" t="str">
        <f>IF(ListLayout[[#This Row],[List Name for Layout]]="","relation",IFERROR(VLOOKUP(ListLayout[[#This Row],[Relation]],RelationTable[[Display]:[RELID]],2,0),""))</f>
        <v/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/>
      <c r="BD30" s="107"/>
      <c r="BE30" s="107"/>
    </row>
    <row r="31" spans="1:57">
      <c r="A31" s="63" t="str">
        <f>'Table Seed Map'!$A$24&amp;"-"&amp;COUNTA($B$1:ResourceList[[#This Row],[Resource Name]])-1</f>
        <v>Resource Lists-29</v>
      </c>
      <c r="B31" s="62" t="s">
        <v>777</v>
      </c>
      <c r="C31" s="63" t="str">
        <f>ResourceList[[#This Row],[Resource Name]]&amp;"/"&amp;ResourceList[[#This Row],[Name]]</f>
        <v>Hub/OwnHubList</v>
      </c>
      <c r="D31" s="69">
        <f>IF(ResourceList[[#This Row],[Resource Name]]="","id",COUNTA($B$2:ResourceList[[#This Row],[Resource Name]])+IF(ISNUMBER(VLOOKUP('Table Seed Map'!$A$24,SeedMap[],9,0)),VLOOKUP('Table Seed Map'!$A$24,SeedMap[],9,0),0))</f>
        <v>2123129</v>
      </c>
      <c r="E31" s="69">
        <f>IFERROR(VLOOKUP(ResourceList[[#This Row],[Resource Name]],ResourceTable[[RName]:[No]],3,0),"resource")</f>
        <v>2106107</v>
      </c>
      <c r="F31" s="107" t="s">
        <v>1864</v>
      </c>
      <c r="G31" s="107"/>
      <c r="H31" s="107" t="s">
        <v>899</v>
      </c>
      <c r="I31" s="107" t="s">
        <v>23</v>
      </c>
      <c r="J31" s="107">
        <v>30</v>
      </c>
      <c r="K31" s="67">
        <f>[No]</f>
        <v>2123129</v>
      </c>
      <c r="M31" s="62" t="s">
        <v>1647</v>
      </c>
      <c r="N31" s="63">
        <f>VLOOKUP(ListExtras[[#This Row],[List Name]],ResourceList[[ListDisplayName]:[No]],2,0)</f>
        <v>2123122</v>
      </c>
      <c r="O31" s="62"/>
      <c r="P31" s="62" t="s">
        <v>1650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2109159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1469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2123111</v>
      </c>
      <c r="AX31" s="69" t="s">
        <v>307</v>
      </c>
      <c r="AY31" s="107" t="s">
        <v>21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A32" s="63" t="str">
        <f>'Table Seed Map'!$A$24&amp;"-"&amp;COUNTA($B$1:ResourceList[[#This Row],[Resource Name]])-1</f>
        <v>Resource Lists-30</v>
      </c>
      <c r="B32" s="62" t="s">
        <v>788</v>
      </c>
      <c r="C32" s="63" t="str">
        <f>ResourceList[[#This Row],[Resource Name]]&amp;"/"&amp;ResourceList[[#This Row],[Name]]</f>
        <v>OrderItem/OwnHubOrderItems</v>
      </c>
      <c r="D32" s="69">
        <f>IF(ResourceList[[#This Row],[Resource Name]]="","id",COUNTA($B$2:ResourceList[[#This Row],[Resource Name]])+IF(ISNUMBER(VLOOKUP('Table Seed Map'!$A$24,SeedMap[],9,0)),VLOOKUP('Table Seed Map'!$A$24,SeedMap[],9,0),0))</f>
        <v>2123130</v>
      </c>
      <c r="E32" s="69">
        <f>IFERROR(VLOOKUP(ResourceList[[#This Row],[Resource Name]],ResourceTable[[RName]:[No]],3,0),"resource")</f>
        <v>2106119</v>
      </c>
      <c r="F32" s="107" t="s">
        <v>1874</v>
      </c>
      <c r="G32" s="107"/>
      <c r="H32" s="107" t="s">
        <v>910</v>
      </c>
      <c r="I32" s="107" t="s">
        <v>23</v>
      </c>
      <c r="J32" s="107">
        <v>100</v>
      </c>
      <c r="K32" s="67">
        <f>[No]</f>
        <v>2123130</v>
      </c>
      <c r="M32" s="62" t="s">
        <v>1647</v>
      </c>
      <c r="N32" s="63">
        <f>VLOOKUP(ListExtras[[#This Row],[List Name]],ResourceList[[ListDisplayName]:[No]],2,0)</f>
        <v>2123122</v>
      </c>
      <c r="O32" s="62"/>
      <c r="P32" s="62" t="s">
        <v>1651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2109189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1469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777</v>
      </c>
      <c r="AY32" s="107" t="s">
        <v>23</v>
      </c>
      <c r="AZ32" s="69">
        <f>IF(ListLayout[[#This Row],[List Name for Layout]]="","relation",IFERROR(VLOOKUP(ListLayout[[#This Row],[Relation]],RelationTable[[Display]:[RELID]],2,0),""))</f>
        <v>2109138</v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 t="s">
        <v>1470</v>
      </c>
      <c r="BD32" s="107"/>
      <c r="BE32" s="107"/>
    </row>
    <row r="33" spans="1:57">
      <c r="A33" s="63" t="str">
        <f>'Table Seed Map'!$A$24&amp;"-"&amp;COUNTA($B$1:ResourceList[[#This Row],[Resource Name]])-1</f>
        <v>Resource Lists-31</v>
      </c>
      <c r="B33" s="62" t="s">
        <v>787</v>
      </c>
      <c r="C33" s="63" t="str">
        <f>ResourceList[[#This Row],[Resource Name]]&amp;"/"&amp;ResourceList[[#This Row],[Name]]</f>
        <v>Order/OwnHubOrders</v>
      </c>
      <c r="D33" s="69">
        <f>IF(ResourceList[[#This Row],[Resource Name]]="","id",COUNTA($B$2:ResourceList[[#This Row],[Resource Name]])+IF(ISNUMBER(VLOOKUP('Table Seed Map'!$A$24,SeedMap[],9,0)),VLOOKUP('Table Seed Map'!$A$24,SeedMap[],9,0),0))</f>
        <v>2123131</v>
      </c>
      <c r="E33" s="69">
        <f>IFERROR(VLOOKUP(ResourceList[[#This Row],[Resource Name]],ResourceTable[[RName]:[No]],3,0),"resource")</f>
        <v>2106118</v>
      </c>
      <c r="F33" s="107" t="s">
        <v>1897</v>
      </c>
      <c r="G33" s="107"/>
      <c r="H33" s="107" t="s">
        <v>909</v>
      </c>
      <c r="I33" s="107" t="s">
        <v>21</v>
      </c>
      <c r="J33" s="107">
        <v>30</v>
      </c>
      <c r="K33" s="67">
        <f>[No]</f>
        <v>2123131</v>
      </c>
      <c r="M33" s="62" t="s">
        <v>1661</v>
      </c>
      <c r="N33" s="63">
        <f>VLOOKUP(ListExtras[[#This Row],[List Name]],ResourceList[[ListDisplayName]:[No]],2,0)</f>
        <v>2123123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2123123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2123123</v>
      </c>
      <c r="AA33" s="69">
        <f>IFERROR(VLOOKUP(ListExtras[[#This Row],[Relation Name]],RelationTable[[Display]:[RELID]],2,0),IF(ListExtras[[#This Row],[LID]]=0,"relation",""))</f>
        <v>2109168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1469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1</v>
      </c>
      <c r="AY33" s="107" t="s">
        <v>23</v>
      </c>
      <c r="AZ33" s="69" t="str">
        <f>IF(ListLayout[[#This Row],[List Name for Layout]]="","relation",IFERROR(VLOOKUP(ListLayout[[#This Row],[Relation]],RelationTable[[Display]:[RELID]],2,0),""))</f>
        <v/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/>
      <c r="BD33" s="107"/>
      <c r="BE33" s="107"/>
    </row>
    <row r="34" spans="1:57">
      <c r="A34" s="63" t="str">
        <f>'Table Seed Map'!$A$24&amp;"-"&amp;COUNTA($B$1:ResourceList[[#This Row],[Resource Name]])-1</f>
        <v>Resource Lists-32</v>
      </c>
      <c r="B34" s="62" t="s">
        <v>789</v>
      </c>
      <c r="C34" s="63" t="str">
        <f>ResourceList[[#This Row],[Resource Name]]&amp;"/"&amp;ResourceList[[#This Row],[Name]]</f>
        <v>OrderItemService/OwnHubOISList</v>
      </c>
      <c r="D34" s="69">
        <f>IF(ResourceList[[#This Row],[Resource Name]]="","id",COUNTA($B$2:ResourceList[[#This Row],[Resource Name]])+IF(ISNUMBER(VLOOKUP('Table Seed Map'!$A$24,SeedMap[],9,0)),VLOOKUP('Table Seed Map'!$A$24,SeedMap[],9,0),0))</f>
        <v>2123132</v>
      </c>
      <c r="E34" s="69">
        <f>IFERROR(VLOOKUP(ResourceList[[#This Row],[Resource Name]],ResourceTable[[RName]:[No]],3,0),"resource")</f>
        <v>2106120</v>
      </c>
      <c r="F34" s="107" t="s">
        <v>1905</v>
      </c>
      <c r="G34" s="107"/>
      <c r="H34" s="107" t="s">
        <v>902</v>
      </c>
      <c r="I34" s="107" t="s">
        <v>23</v>
      </c>
      <c r="J34" s="107">
        <v>30</v>
      </c>
      <c r="K34" s="67">
        <f>[No]</f>
        <v>2123132</v>
      </c>
      <c r="M34" s="62" t="s">
        <v>1661</v>
      </c>
      <c r="N34" s="63">
        <f>VLOOKUP(ListExtras[[#This Row],[List Name]],ResourceList[[ListDisplayName]:[No]],2,0)</f>
        <v>2123123</v>
      </c>
      <c r="O34" s="62"/>
      <c r="P34" s="62" t="s">
        <v>1663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2123123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2123123</v>
      </c>
      <c r="AA34" s="69">
        <f>IFERROR(VLOOKUP(ListExtras[[#This Row],[Relation Name]],RelationTable[[Display]:[RELID]],2,0),IF(ListExtras[[#This Row],[LID]]=0,"relation",""))</f>
        <v>2109169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1469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1196</v>
      </c>
      <c r="AY34" s="107" t="s">
        <v>804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:57">
      <c r="A35" s="63" t="str">
        <f>'Table Seed Map'!$A$24&amp;"-"&amp;COUNTA($B$1:ResourceList[[#This Row],[Resource Name]])-1</f>
        <v>Resource Lists-33</v>
      </c>
      <c r="B35" s="62" t="s">
        <v>790</v>
      </c>
      <c r="C35" s="63" t="str">
        <f>ResourceList[[#This Row],[Resource Name]]&amp;"/"&amp;ResourceList[[#This Row],[Name]]</f>
        <v>OrderItemServiceUser/OwnHubOISUList</v>
      </c>
      <c r="D35" s="69">
        <f>IF(ResourceList[[#This Row],[Resource Name]]="","id",COUNTA($B$2:ResourceList[[#This Row],[Resource Name]])+IF(ISNUMBER(VLOOKUP('Table Seed Map'!$A$24,SeedMap[],9,0)),VLOOKUP('Table Seed Map'!$A$24,SeedMap[],9,0),0))</f>
        <v>2123133</v>
      </c>
      <c r="E35" s="69">
        <f>IFERROR(VLOOKUP(ResourceList[[#This Row],[Resource Name]],ResourceTable[[RName]:[No]],3,0),"resource")</f>
        <v>2106123</v>
      </c>
      <c r="F35" s="107" t="s">
        <v>1916</v>
      </c>
      <c r="G35" s="107"/>
      <c r="H35" s="107" t="s">
        <v>1910</v>
      </c>
      <c r="I35" s="107" t="s">
        <v>23</v>
      </c>
      <c r="J35" s="107">
        <v>100</v>
      </c>
      <c r="K35" s="67">
        <f>[No]</f>
        <v>2123133</v>
      </c>
      <c r="M35" s="62" t="s">
        <v>1687</v>
      </c>
      <c r="N35" s="63">
        <f>VLOOKUP(ListExtras[[#This Row],[List Name]],ResourceList[[ListDisplayName]:[No]],2,0)</f>
        <v>2123124</v>
      </c>
      <c r="O35" s="62" t="s">
        <v>1688</v>
      </c>
      <c r="P35" s="62"/>
      <c r="Q35" s="62"/>
      <c r="R35" s="62"/>
      <c r="S35" s="62"/>
      <c r="T35" s="63" t="str">
        <f>'Table Seed Map'!$A$25&amp;"-"&amp;COUNT($W$1:ListExtras[[#This Row],[Scope ID]])</f>
        <v>List Scopes-4</v>
      </c>
      <c r="U3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5" s="69">
        <f>IF(ListExtras[[#This Row],[LID]]=0,"resource_list",ListExtras[[#This Row],[LID]])</f>
        <v>2123124</v>
      </c>
      <c r="W35" s="69">
        <f>IFERROR(VLOOKUP(ListExtras[[#This Row],[Scope Name]],ResourceScopes[[ScopesDisplayNames]:[No]],2,0),IF(ListExtras[[#This Row],[LID]]=0,"scope",""))</f>
        <v>2108105</v>
      </c>
      <c r="X35" s="63" t="str">
        <f>'Table Seed Map'!$A$26&amp;"-"&amp;COUNT($AA$1:ListExtras[[#This Row],[Relation]])</f>
        <v>List Relation-31</v>
      </c>
      <c r="Y35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5" s="69">
        <f>IF(ListExtras[[#This Row],[LID]]=0,"resource_list",ListExtras[[#This Row],[LID]])</f>
        <v>2123124</v>
      </c>
      <c r="AA35" s="69" t="str">
        <f>IFERROR(VLOOKUP(ListExtras[[#This Row],[Relation Name]],RelationTable[[Display]:[RELID]],2,0),IF(ListExtras[[#This Row],[LID]]=0,"relation",""))</f>
        <v/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1469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1715</v>
      </c>
      <c r="AY35" s="107" t="s">
        <v>23</v>
      </c>
      <c r="AZ35" s="69">
        <f>IF(ListLayout[[#This Row],[List Name for Layout]]="","relation",IFERROR(VLOOKUP(ListLayout[[#This Row],[Relation]],RelationTable[[Display]:[RELID]],2,0),""))</f>
        <v>2109139</v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 t="s">
        <v>1546</v>
      </c>
      <c r="BD35" s="107"/>
      <c r="BE35" s="107"/>
    </row>
    <row r="36" spans="1:57">
      <c r="A36" s="63" t="str">
        <f>'Table Seed Map'!$A$24&amp;"-"&amp;COUNTA($B$1:ResourceList[[#This Row],[Resource Name]])-1</f>
        <v>Resource Lists-34</v>
      </c>
      <c r="B36" s="62" t="s">
        <v>790</v>
      </c>
      <c r="C36" s="63" t="str">
        <f>ResourceList[[#This Row],[Resource Name]]&amp;"/"&amp;ResourceList[[#This Row],[Name]]</f>
        <v>OrderItemServiceUser/MyJobs</v>
      </c>
      <c r="D36" s="69">
        <f>IF(ResourceList[[#This Row],[Resource Name]]="","id",COUNTA($B$2:ResourceList[[#This Row],[Resource Name]])+IF(ISNUMBER(VLOOKUP('Table Seed Map'!$A$24,SeedMap[],9,0)),VLOOKUP('Table Seed Map'!$A$24,SeedMap[],9,0),0))</f>
        <v>2123134</v>
      </c>
      <c r="E36" s="69">
        <f>IFERROR(VLOOKUP(ResourceList[[#This Row],[Resource Name]],ResourceTable[[RName]:[No]],3,0),"resource")</f>
        <v>2106123</v>
      </c>
      <c r="F36" s="107" t="s">
        <v>1925</v>
      </c>
      <c r="G36" s="107"/>
      <c r="H36" s="107" t="s">
        <v>1924</v>
      </c>
      <c r="I36" s="107" t="s">
        <v>23</v>
      </c>
      <c r="J36" s="107">
        <v>100</v>
      </c>
      <c r="K36" s="67">
        <f>[No]</f>
        <v>2123134</v>
      </c>
      <c r="M36" s="62" t="s">
        <v>1687</v>
      </c>
      <c r="N36" s="63">
        <f>VLOOKUP(ListExtras[[#This Row],[List Name]],ResourceList[[ListDisplayName]:[No]],2,0)</f>
        <v>2123124</v>
      </c>
      <c r="O36" s="62" t="s">
        <v>1689</v>
      </c>
      <c r="P36" s="62"/>
      <c r="Q36" s="62"/>
      <c r="R36" s="62"/>
      <c r="S36" s="62"/>
      <c r="T36" s="63" t="str">
        <f>'Table Seed Map'!$A$25&amp;"-"&amp;COUNT($W$1:ListExtras[[#This Row],[Scope ID]])</f>
        <v>List Scopes-5</v>
      </c>
      <c r="U3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6" s="69">
        <f>IF(ListExtras[[#This Row],[LID]]=0,"resource_list",ListExtras[[#This Row],[LID]])</f>
        <v>2123124</v>
      </c>
      <c r="W36" s="69">
        <f>IFERROR(VLOOKUP(ListExtras[[#This Row],[Scope Name]],ResourceScopes[[ScopesDisplayNames]:[No]],2,0),IF(ListExtras[[#This Row],[LID]]=0,"scope",""))</f>
        <v>2108106</v>
      </c>
      <c r="X36" s="63" t="str">
        <f>'Table Seed Map'!$A$26&amp;"-"&amp;COUNT($AA$1:ListExtras[[#This Row],[Relation]])</f>
        <v>List Relation-31</v>
      </c>
      <c r="Y36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6" s="69">
        <f>IF(ListExtras[[#This Row],[LID]]=0,"resource_list",ListExtras[[#This Row],[LID]])</f>
        <v>2123124</v>
      </c>
      <c r="AA36" s="69" t="str">
        <f>IFERROR(VLOOKUP(ListExtras[[#This Row],[Relation Name]],RelationTable[[Display]:[RELID]],2,0),IF(ListExtras[[#This Row],[LID]]=0,"relation",""))</f>
        <v/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1471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2123112</v>
      </c>
      <c r="AX36" s="69" t="s">
        <v>307</v>
      </c>
      <c r="AY36" s="107" t="s">
        <v>21</v>
      </c>
      <c r="AZ36" s="69" t="str">
        <f>IF(ListLayout[[#This Row],[List Name for Layout]]="","relation",IFERROR(VLOOKUP(ListLayout[[#This Row],[Relation]],RelationTable[[Display]:[RELID]],2,0),""))</f>
        <v/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/>
      <c r="BD36" s="107"/>
      <c r="BE36" s="107"/>
    </row>
    <row r="37" spans="1:57">
      <c r="A37" s="63" t="str">
        <f>'Table Seed Map'!$A$24&amp;"-"&amp;COUNTA($B$1:ResourceList[[#This Row],[Resource Name]])-1</f>
        <v>Resource Lists-35</v>
      </c>
      <c r="B37" s="62" t="s">
        <v>790</v>
      </c>
      <c r="C37" s="63" t="str">
        <f>ResourceList[[#This Row],[Resource Name]]&amp;"/"&amp;ResourceList[[#This Row],[Name]]</f>
        <v>OrderItemServiceUser/NewJobsList</v>
      </c>
      <c r="D37" s="69">
        <f>IF(ResourceList[[#This Row],[Resource Name]]="","id",COUNTA($B$2:ResourceList[[#This Row],[Resource Name]])+IF(ISNUMBER(VLOOKUP('Table Seed Map'!$A$24,SeedMap[],9,0)),VLOOKUP('Table Seed Map'!$A$24,SeedMap[],9,0),0))</f>
        <v>2123135</v>
      </c>
      <c r="E37" s="69">
        <f>IFERROR(VLOOKUP(ResourceList[[#This Row],[Resource Name]],ResourceTable[[RName]:[No]],3,0),"resource")</f>
        <v>2106123</v>
      </c>
      <c r="F37" s="14" t="s">
        <v>1961</v>
      </c>
      <c r="G37" s="107"/>
      <c r="H37" s="107" t="s">
        <v>1940</v>
      </c>
      <c r="I37" s="107" t="s">
        <v>23</v>
      </c>
      <c r="J37" s="107">
        <v>100</v>
      </c>
      <c r="K37" s="67">
        <f>[No]</f>
        <v>2123135</v>
      </c>
      <c r="M37" s="62" t="s">
        <v>1706</v>
      </c>
      <c r="N37" s="63">
        <f>VLOOKUP(ListExtras[[#This Row],[List Name]],ResourceList[[ListDisplayName]:[No]],2,0)</f>
        <v>2123125</v>
      </c>
      <c r="O37" s="62" t="s">
        <v>1707</v>
      </c>
      <c r="P37" s="62" t="s">
        <v>1478</v>
      </c>
      <c r="Q37" s="62"/>
      <c r="R37" s="62"/>
      <c r="S37" s="62"/>
      <c r="T37" s="63" t="str">
        <f>'Table Seed Map'!$A$25&amp;"-"&amp;COUNT($W$1:ListExtras[[#This Row],[Scope ID]])</f>
        <v>List Scopes-6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7" s="69">
        <f>IF(ListExtras[[#This Row],[LID]]=0,"resource_list",ListExtras[[#This Row],[LID]])</f>
        <v>2123125</v>
      </c>
      <c r="W37" s="69">
        <f>IFERROR(VLOOKUP(ListExtras[[#This Row],[Scope Name]],ResourceScopes[[ScopesDisplayNames]:[No]],2,0),IF(ListExtras[[#This Row],[LID]]=0,"scope",""))</f>
        <v>2108107</v>
      </c>
      <c r="X37" s="63" t="str">
        <f>'Table Seed Map'!$A$26&amp;"-"&amp;COUNT($AA$1:ListExtras[[#This Row],[Relation]])</f>
        <v>List Relation-32</v>
      </c>
      <c r="Y3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7" s="69">
        <f>IF(ListExtras[[#This Row],[LID]]=0,"resource_list",ListExtras[[#This Row],[LID]])</f>
        <v>2123125</v>
      </c>
      <c r="AA37" s="69">
        <f>IFERROR(VLOOKUP(ListExtras[[#This Row],[Relation Name]],RelationTable[[Display]:[RELID]],2,0),IF(ListExtras[[#This Row],[LID]]=0,"relation",""))</f>
        <v>2109147</v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1471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1</v>
      </c>
      <c r="AY37" s="107" t="s">
        <v>23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:57">
      <c r="A38" s="63" t="str">
        <f>'Table Seed Map'!$A$24&amp;"-"&amp;COUNTA($B$1:ResourceList[[#This Row],[Resource Name]])-1</f>
        <v>Resource Lists-36</v>
      </c>
      <c r="B38" s="62" t="s">
        <v>790</v>
      </c>
      <c r="C38" s="63" t="str">
        <f>ResourceList[[#This Row],[Resource Name]]&amp;"/"&amp;ResourceList[[#This Row],[Name]]</f>
        <v>OrderItemServiceUser/ServicingJobsList</v>
      </c>
      <c r="D38" s="69">
        <f>IF(ResourceList[[#This Row],[Resource Name]]="","id",COUNTA($B$2:ResourceList[[#This Row],[Resource Name]])+IF(ISNUMBER(VLOOKUP('Table Seed Map'!$A$24,SeedMap[],9,0)),VLOOKUP('Table Seed Map'!$A$24,SeedMap[],9,0),0))</f>
        <v>2123136</v>
      </c>
      <c r="E38" s="69">
        <f>IFERROR(VLOOKUP(ResourceList[[#This Row],[Resource Name]],ResourceTable[[RName]:[No]],3,0),"resource")</f>
        <v>2106123</v>
      </c>
      <c r="F38" s="14" t="s">
        <v>1962</v>
      </c>
      <c r="G38" s="107"/>
      <c r="H38" s="107" t="s">
        <v>1942</v>
      </c>
      <c r="I38" s="107" t="s">
        <v>23</v>
      </c>
      <c r="J38" s="107">
        <v>100</v>
      </c>
      <c r="K38" s="67">
        <f>[No]</f>
        <v>2123136</v>
      </c>
      <c r="M38" s="62" t="s">
        <v>1472</v>
      </c>
      <c r="N38" s="63">
        <f>VLOOKUP(ListExtras[[#This Row],[List Name]],ResourceList[[ListDisplayName]:[No]],2,0)</f>
        <v>2123113</v>
      </c>
      <c r="O38" s="62"/>
      <c r="P38" s="62" t="s">
        <v>1779</v>
      </c>
      <c r="Q38" s="62"/>
      <c r="R38" s="62"/>
      <c r="S38" s="62"/>
      <c r="T38" s="63" t="str">
        <f>'Table Seed Map'!$A$25&amp;"-"&amp;COUNT($W$1:ListExtras[[#This Row],[Scope ID]])</f>
        <v>List Scopes-6</v>
      </c>
      <c r="U3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8" s="69">
        <f>IF(ListExtras[[#This Row],[LID]]=0,"resource_list",ListExtras[[#This Row],[LID]])</f>
        <v>2123113</v>
      </c>
      <c r="W38" s="69" t="str">
        <f>IFERROR(VLOOKUP(ListExtras[[#This Row],[Scope Name]],ResourceScopes[[ScopesDisplayNames]:[No]],2,0),IF(ListExtras[[#This Row],[LID]]=0,"scope",""))</f>
        <v/>
      </c>
      <c r="X38" s="63" t="str">
        <f>'Table Seed Map'!$A$26&amp;"-"&amp;COUNT($AA$1:ListExtras[[#This Row],[Relation]])</f>
        <v>List Relation-33</v>
      </c>
      <c r="Y3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8" s="69">
        <f>IF(ListExtras[[#This Row],[LID]]=0,"resource_list",ListExtras[[#This Row],[LID]])</f>
        <v>2123113</v>
      </c>
      <c r="AA38" s="69">
        <f>IFERROR(VLOOKUP(ListExtras[[#This Row],[Relation Name]],RelationTable[[Display]:[RELID]],2,0),IF(ListExtras[[#This Row],[LID]]=0,"relation",""))</f>
        <v>2109192</v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1471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1196</v>
      </c>
      <c r="AY38" s="107" t="s">
        <v>804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:57">
      <c r="A39" s="63" t="str">
        <f>'Table Seed Map'!$A$24&amp;"-"&amp;COUNTA($B$1:ResourceList[[#This Row],[Resource Name]])-1</f>
        <v>Resource Lists-37</v>
      </c>
      <c r="B39" s="62" t="s">
        <v>790</v>
      </c>
      <c r="C39" s="63" t="str">
        <f>ResourceList[[#This Row],[Resource Name]]&amp;"/"&amp;ResourceList[[#This Row],[Name]]</f>
        <v>OrderItemServiceUser/CompletedJobsList</v>
      </c>
      <c r="D39" s="69">
        <f>IF(ResourceList[[#This Row],[Resource Name]]="","id",COUNTA($B$2:ResourceList[[#This Row],[Resource Name]])+IF(ISNUMBER(VLOOKUP('Table Seed Map'!$A$24,SeedMap[],9,0)),VLOOKUP('Table Seed Map'!$A$24,SeedMap[],9,0),0))</f>
        <v>2123137</v>
      </c>
      <c r="E39" s="69">
        <f>IFERROR(VLOOKUP(ResourceList[[#This Row],[Resource Name]],ResourceTable[[RName]:[No]],3,0),"resource")</f>
        <v>2106123</v>
      </c>
      <c r="F39" s="14" t="s">
        <v>1960</v>
      </c>
      <c r="G39" s="107"/>
      <c r="H39" s="107" t="s">
        <v>1944</v>
      </c>
      <c r="I39" s="107" t="s">
        <v>23</v>
      </c>
      <c r="J39" s="107">
        <v>100</v>
      </c>
      <c r="K39" s="67">
        <f>[No]</f>
        <v>2123137</v>
      </c>
      <c r="M39" s="62" t="s">
        <v>1799</v>
      </c>
      <c r="N39" s="63">
        <f>VLOOKUP(ListExtras[[#This Row],[List Name]],ResourceList[[ListDisplayName]:[No]],2,0)</f>
        <v>2123126</v>
      </c>
      <c r="O39" s="62"/>
      <c r="P39" s="62" t="s">
        <v>1800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9" s="69">
        <f>IF(ListExtras[[#This Row],[LID]]=0,"resource_list",ListExtras[[#This Row],[LID]])</f>
        <v>2123126</v>
      </c>
      <c r="W39" s="69" t="str">
        <f>IFERROR(VLOOKUP(ListExtras[[#This Row],[Scope Name]],ResourceScopes[[ScopesDisplayNames]:[No]],2,0),IF(ListExtras[[#This Row],[LID]]=0,"scope",""))</f>
        <v/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2123126</v>
      </c>
      <c r="AA39" s="69">
        <f>IFERROR(VLOOKUP(ListExtras[[#This Row],[Relation Name]],RelationTable[[Display]:[RELID]],2,0),IF(ListExtras[[#This Row],[LID]]=0,"relation",""))</f>
        <v>2109166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1472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2123113</v>
      </c>
      <c r="AX39" s="69" t="s">
        <v>307</v>
      </c>
      <c r="AY39" s="107" t="s">
        <v>21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:57">
      <c r="A40" s="9" t="str">
        <f>'Table Seed Map'!$A$24&amp;"-"&amp;COUNTA($B$1:ResourceList[[#This Row],[Resource Name]])-1</f>
        <v>Resource Lists-38</v>
      </c>
      <c r="B40" s="62" t="s">
        <v>790</v>
      </c>
      <c r="C40" s="9" t="str">
        <f>ResourceList[[#This Row],[Resource Name]]&amp;"/"&amp;ResourceList[[#This Row],[Name]]</f>
        <v>OrderItemServiceUser/MyNewJobsList</v>
      </c>
      <c r="D40" s="16">
        <f>IF(ResourceList[[#This Row],[Resource Name]]="","id",COUNTA($B$2:ResourceList[[#This Row],[Resource Name]])+IF(ISNUMBER(VLOOKUP('Table Seed Map'!$A$24,SeedMap[],9,0)),VLOOKUP('Table Seed Map'!$A$24,SeedMap[],9,0),0))</f>
        <v>2123138</v>
      </c>
      <c r="E40" s="16">
        <f>IFERROR(VLOOKUP(ResourceList[[#This Row],[Resource Name]],ResourceTable[[RName]:[No]],3,0),"resource")</f>
        <v>2106123</v>
      </c>
      <c r="F40" s="14" t="s">
        <v>1959</v>
      </c>
      <c r="G40" s="14"/>
      <c r="H40" s="14" t="s">
        <v>1954</v>
      </c>
      <c r="I40" s="107" t="s">
        <v>23</v>
      </c>
      <c r="J40" s="107">
        <v>100</v>
      </c>
      <c r="K40" s="77">
        <f>[No]</f>
        <v>2123138</v>
      </c>
      <c r="M40" s="62" t="s">
        <v>1799</v>
      </c>
      <c r="N40" s="63">
        <f>VLOOKUP(ListExtras[[#This Row],[List Name]],ResourceList[[ListDisplayName]:[No]],2,0)</f>
        <v>2123126</v>
      </c>
      <c r="O40" s="62"/>
      <c r="P40" s="62" t="s">
        <v>1801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2123126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2123126</v>
      </c>
      <c r="AA40" s="69">
        <f>IFERROR(VLOOKUP(ListExtras[[#This Row],[Relation Name]],RelationTable[[Display]:[RELID]],2,0),IF(ListExtras[[#This Row],[LID]]=0,"relation",""))</f>
        <v>2109167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1472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777</v>
      </c>
      <c r="AY40" s="107" t="s">
        <v>23</v>
      </c>
      <c r="AZ40" s="69">
        <f>IF(ListLayout[[#This Row],[List Name for Layout]]="","relation",IFERROR(VLOOKUP(ListLayout[[#This Row],[Relation]],RelationTable[[Display]:[RELID]],2,0),""))</f>
        <v>2109192</v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 t="s">
        <v>1779</v>
      </c>
      <c r="BD40" s="107"/>
      <c r="BE40" s="107"/>
    </row>
    <row r="41" spans="1:57">
      <c r="A41" s="9" t="str">
        <f>'Table Seed Map'!$A$24&amp;"-"&amp;COUNTA($B$1:ResourceList[[#This Row],[Resource Name]])-1</f>
        <v>Resource Lists-39</v>
      </c>
      <c r="B41" s="62" t="s">
        <v>790</v>
      </c>
      <c r="C41" s="9" t="str">
        <f>ResourceList[[#This Row],[Resource Name]]&amp;"/"&amp;ResourceList[[#This Row],[Name]]</f>
        <v>OrderItemServiceUser/MyInServiceJobs</v>
      </c>
      <c r="D41" s="16">
        <f>IF(ResourceList[[#This Row],[Resource Name]]="","id",COUNTA($B$2:ResourceList[[#This Row],[Resource Name]])+IF(ISNUMBER(VLOOKUP('Table Seed Map'!$A$24,SeedMap[],9,0)),VLOOKUP('Table Seed Map'!$A$24,SeedMap[],9,0),0))</f>
        <v>2123139</v>
      </c>
      <c r="E41" s="16">
        <f>IFERROR(VLOOKUP(ResourceList[[#This Row],[Resource Name]],ResourceTable[[RName]:[No]],3,0),"resource")</f>
        <v>2106123</v>
      </c>
      <c r="F41" s="14" t="s">
        <v>1963</v>
      </c>
      <c r="G41" s="14"/>
      <c r="H41" s="14" t="s">
        <v>1955</v>
      </c>
      <c r="I41" s="107" t="s">
        <v>23</v>
      </c>
      <c r="J41" s="107">
        <v>100</v>
      </c>
      <c r="K41" s="77">
        <f>[No]</f>
        <v>2123139</v>
      </c>
      <c r="M41" s="62" t="s">
        <v>1811</v>
      </c>
      <c r="N41" s="63">
        <f>VLOOKUP(ListExtras[[#This Row],[List Name]],ResourceList[[ListDisplayName]:[No]],2,0)</f>
        <v>2123127</v>
      </c>
      <c r="O41" s="62" t="s">
        <v>1812</v>
      </c>
      <c r="P41" s="62" t="s">
        <v>1480</v>
      </c>
      <c r="Q41" s="62"/>
      <c r="R41" s="62"/>
      <c r="S41" s="62"/>
      <c r="T41" s="63" t="str">
        <f>'Table Seed Map'!$A$25&amp;"-"&amp;COUNT($W$1:ListExtras[[#This Row],[Scope ID]])</f>
        <v>List Scopes-7</v>
      </c>
      <c r="U4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1" s="69">
        <f>IF(ListExtras[[#This Row],[LID]]=0,"resource_list",ListExtras[[#This Row],[LID]])</f>
        <v>2123127</v>
      </c>
      <c r="W41" s="69">
        <f>IFERROR(VLOOKUP(ListExtras[[#This Row],[Scope Name]],ResourceScopes[[ScopesDisplayNames]:[No]],2,0),IF(ListExtras[[#This Row],[LID]]=0,"scope",""))</f>
        <v>2108111</v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2123127</v>
      </c>
      <c r="AA41" s="69">
        <f>IFERROR(VLOOKUP(ListExtras[[#This Row],[Relation Name]],RelationTable[[Display]:[RELID]],2,0),IF(ListExtras[[#This Row],[LID]]=0,"relation",""))</f>
        <v>2109162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1472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1474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:57">
      <c r="A42" s="9" t="str">
        <f>'Table Seed Map'!$A$24&amp;"-"&amp;COUNTA($B$1:ResourceList[[#This Row],[Resource Name]])-1</f>
        <v>Resource Lists-40</v>
      </c>
      <c r="B42" s="62" t="s">
        <v>790</v>
      </c>
      <c r="C42" s="9" t="str">
        <f>ResourceList[[#This Row],[Resource Name]]&amp;"/"&amp;ResourceList[[#This Row],[Name]]</f>
        <v>OrderItemServiceUser/MyCompleted</v>
      </c>
      <c r="D42" s="16">
        <f>IF(ResourceList[[#This Row],[Resource Name]]="","id",COUNTA($B$2:ResourceList[[#This Row],[Resource Name]])+IF(ISNUMBER(VLOOKUP('Table Seed Map'!$A$24,SeedMap[],9,0)),VLOOKUP('Table Seed Map'!$A$24,SeedMap[],9,0),0))</f>
        <v>2123140</v>
      </c>
      <c r="E42" s="16">
        <f>IFERROR(VLOOKUP(ResourceList[[#This Row],[Resource Name]],ResourceTable[[RName]:[No]],3,0),"resource")</f>
        <v>2106123</v>
      </c>
      <c r="F42" s="14" t="s">
        <v>1953</v>
      </c>
      <c r="G42" s="14"/>
      <c r="H42" s="14" t="s">
        <v>1956</v>
      </c>
      <c r="I42" s="107" t="s">
        <v>23</v>
      </c>
      <c r="J42" s="107">
        <v>100</v>
      </c>
      <c r="K42" s="77">
        <f>[No]</f>
        <v>2123140</v>
      </c>
      <c r="M42" s="62" t="s">
        <v>1811</v>
      </c>
      <c r="N42" s="61">
        <f>VLOOKUP(ListExtras[[#This Row],[List Name]],ResourceList[[ListDisplayName]:[No]],2,0)</f>
        <v>2123127</v>
      </c>
      <c r="O42" s="60"/>
      <c r="P42" s="62" t="s">
        <v>1481</v>
      </c>
      <c r="Q42" s="60"/>
      <c r="R42" s="60"/>
      <c r="S42" s="60"/>
      <c r="T42" s="61" t="str">
        <f>'Table Seed Map'!$A$25&amp;"-"&amp;COUNT($W$1:ListExtras[[#This Row],[Scope ID]])</f>
        <v>List Scopes-7</v>
      </c>
      <c r="U4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2" s="68">
        <f>IF(ListExtras[[#This Row],[LID]]=0,"resource_list",ListExtras[[#This Row],[LID]])</f>
        <v>2123127</v>
      </c>
      <c r="W42" s="68" t="str">
        <f>IFERROR(VLOOKUP(ListExtras[[#This Row],[Scope Name]],ResourceScopes[[ScopesDisplayNames]:[No]],2,0),IF(ListExtras[[#This Row],[LID]]=0,"scope",""))</f>
        <v/>
      </c>
      <c r="X42" s="61" t="str">
        <f>'Table Seed Map'!$A$26&amp;"-"&amp;COUNT($AA$1:ListExtras[[#This Row],[Relation]])</f>
        <v>List Relation-37</v>
      </c>
      <c r="Y4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8">
        <f>IF(ListExtras[[#This Row],[LID]]=0,"resource_list",ListExtras[[#This Row],[LID]])</f>
        <v>2123127</v>
      </c>
      <c r="AA42" s="68">
        <f>IFERROR(VLOOKUP(ListExtras[[#This Row],[Relation Name]],RelationTable[[Display]:[RELID]],2,0),IF(ListExtras[[#This Row],[LID]]=0,"relation",""))</f>
        <v>2109161</v>
      </c>
      <c r="AB42" s="68" t="str">
        <f>IFERROR(VLOOKUP(ListExtras[[#This Row],[R1 Name]],RelationTable[[Display]:[RELID]],2,0),IF(ListExtras[[#This Row],[LID]]=0,"nest_relation1",""))</f>
        <v/>
      </c>
      <c r="AC42" s="68" t="str">
        <f>IFERROR(VLOOKUP(ListExtras[[#This Row],[R2 Name]],RelationTable[[Display]:[RELID]],2,0),IF(ListExtras[[#This Row],[LID]]=0,"nest_relation2",""))</f>
        <v/>
      </c>
      <c r="AD42" s="68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1472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1473</v>
      </c>
      <c r="AY42" s="107" t="s">
        <v>1595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1475</v>
      </c>
      <c r="BD42" s="107"/>
      <c r="BE42" s="107"/>
    </row>
    <row r="43" spans="1:57">
      <c r="A43" s="63" t="str">
        <f>'Table Seed Map'!$A$24&amp;"-"&amp;COUNTA($B$1:ResourceList[[#This Row],[Resource Name]])-1</f>
        <v>Resource Lists-41</v>
      </c>
      <c r="B43" s="62" t="s">
        <v>787</v>
      </c>
      <c r="C43" s="63" t="str">
        <f>ResourceList[[#This Row],[Resource Name]]&amp;"/"&amp;ResourceList[[#This Row],[Name]]</f>
        <v>Order/ServiceCompletedOrders</v>
      </c>
      <c r="D43" s="69">
        <f>IF(ResourceList[[#This Row],[Resource Name]]="","id",COUNTA($B$2:ResourceList[[#This Row],[Resource Name]])+IF(ISNUMBER(VLOOKUP('Table Seed Map'!$A$24,SeedMap[],9,0)),VLOOKUP('Table Seed Map'!$A$24,SeedMap[],9,0),0))</f>
        <v>2123141</v>
      </c>
      <c r="E43" s="69">
        <f>IFERROR(VLOOKUP(ResourceList[[#This Row],[Resource Name]],ResourceTable[[RName]:[No]],3,0),"resource")</f>
        <v>2106118</v>
      </c>
      <c r="F43" s="107" t="s">
        <v>2010</v>
      </c>
      <c r="G43" s="107"/>
      <c r="H43" s="107" t="s">
        <v>909</v>
      </c>
      <c r="I43" s="107" t="s">
        <v>23</v>
      </c>
      <c r="J43" s="107">
        <v>30</v>
      </c>
      <c r="K43" s="67">
        <f>[No]</f>
        <v>2123141</v>
      </c>
      <c r="M43" s="62" t="s">
        <v>1836</v>
      </c>
      <c r="N43" s="63">
        <f>VLOOKUP(ListExtras[[#This Row],[List Name]],ResourceList[[ListDisplayName]:[No]],2,0)</f>
        <v>2123128</v>
      </c>
      <c r="O43" s="62" t="s">
        <v>1840</v>
      </c>
      <c r="P43" s="62" t="s">
        <v>1480</v>
      </c>
      <c r="Q43" s="62"/>
      <c r="R43" s="62"/>
      <c r="S43" s="62"/>
      <c r="T43" s="63" t="str">
        <f>'Table Seed Map'!$A$25&amp;"-"&amp;COUNT($W$1:ListExtras[[#This Row],[Scope ID]])</f>
        <v>List Scopes-8</v>
      </c>
      <c r="U4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2124108</v>
      </c>
      <c r="V43" s="69">
        <f>IF(ListExtras[[#This Row],[LID]]=0,"resource_list",ListExtras[[#This Row],[LID]])</f>
        <v>2123128</v>
      </c>
      <c r="W43" s="69">
        <f>IFERROR(VLOOKUP(ListExtras[[#This Row],[Scope Name]],ResourceScopes[[ScopesDisplayNames]:[No]],2,0),IF(ListExtras[[#This Row],[LID]]=0,"scope",""))</f>
        <v>2108112</v>
      </c>
      <c r="X43" s="63" t="str">
        <f>'Table Seed Map'!$A$26&amp;"-"&amp;COUNT($AA$1:ListExtras[[#This Row],[Relation]])</f>
        <v>List Relation-38</v>
      </c>
      <c r="Y4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9">
        <f>IF(ListExtras[[#This Row],[LID]]=0,"resource_list",ListExtras[[#This Row],[LID]])</f>
        <v>2123128</v>
      </c>
      <c r="AA43" s="69">
        <f>IFERROR(VLOOKUP(ListExtras[[#This Row],[Relation Name]],RelationTable[[Display]:[RELID]],2,0),IF(ListExtras[[#This Row],[LID]]=0,"relation",""))</f>
        <v>2109162</v>
      </c>
      <c r="AB43" s="69" t="str">
        <f>IFERROR(VLOOKUP(ListExtras[[#This Row],[R1 Name]],RelationTable[[Display]:[RELID]],2,0),IF(ListExtras[[#This Row],[LID]]=0,"nest_relation1",""))</f>
        <v/>
      </c>
      <c r="AC43" s="69" t="str">
        <f>IFERROR(VLOOKUP(ListExtras[[#This Row],[R2 Name]],RelationTable[[Display]:[RELID]],2,0),IF(ListExtras[[#This Row],[LID]]=0,"nest_relation2",""))</f>
        <v/>
      </c>
      <c r="AD43" s="69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1472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1196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:57">
      <c r="A44" s="63" t="str">
        <f>'Table Seed Map'!$A$24&amp;"-"&amp;COUNTA($B$1:ResourceList[[#This Row],[Resource Name]])-1</f>
        <v>Resource Lists-42</v>
      </c>
      <c r="B44" s="62" t="s">
        <v>789</v>
      </c>
      <c r="C44" s="63" t="str">
        <f>ResourceList[[#This Row],[Resource Name]]&amp;"/"&amp;ResourceList[[#This Row],[Name]]</f>
        <v>OrderItemService/OwnHubAssignableOISList</v>
      </c>
      <c r="D44" s="69">
        <f>IF(ResourceList[[#This Row],[Resource Name]]="","id",COUNTA($B$2:ResourceList[[#This Row],[Resource Name]])+IF(ISNUMBER(VLOOKUP('Table Seed Map'!$A$24,SeedMap[],9,0)),VLOOKUP('Table Seed Map'!$A$24,SeedMap[],9,0),0))</f>
        <v>2123142</v>
      </c>
      <c r="E44" s="69">
        <f>IFERROR(VLOOKUP(ResourceList[[#This Row],[Resource Name]],ResourceTable[[RName]:[No]],3,0),"resource")</f>
        <v>2106120</v>
      </c>
      <c r="F44" s="107" t="s">
        <v>2020</v>
      </c>
      <c r="G44" s="107"/>
      <c r="H44" s="107" t="s">
        <v>902</v>
      </c>
      <c r="I44" s="107" t="s">
        <v>23</v>
      </c>
      <c r="J44" s="107">
        <v>30</v>
      </c>
      <c r="K44" s="67">
        <f>[No]</f>
        <v>2123142</v>
      </c>
      <c r="M44" s="62" t="s">
        <v>1836</v>
      </c>
      <c r="N44" s="61">
        <f>VLOOKUP(ListExtras[[#This Row],[List Name]],ResourceList[[ListDisplayName]:[No]],2,0)</f>
        <v>2123128</v>
      </c>
      <c r="O44" s="60"/>
      <c r="P44" s="62" t="s">
        <v>1481</v>
      </c>
      <c r="Q44" s="60"/>
      <c r="R44" s="60"/>
      <c r="S44" s="60"/>
      <c r="T44" s="61" t="str">
        <f>'Table Seed Map'!$A$25&amp;"-"&amp;COUNT($W$1:ListExtras[[#This Row],[Scope ID]])</f>
        <v>List Scopes-8</v>
      </c>
      <c r="U44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8">
        <f>IF(ListExtras[[#This Row],[LID]]=0,"resource_list",ListExtras[[#This Row],[LID]])</f>
        <v>2123128</v>
      </c>
      <c r="W44" s="68" t="str">
        <f>IFERROR(VLOOKUP(ListExtras[[#This Row],[Scope Name]],ResourceScopes[[ScopesDisplayNames]:[No]],2,0),IF(ListExtras[[#This Row],[LID]]=0,"scope",""))</f>
        <v/>
      </c>
      <c r="X44" s="61" t="str">
        <f>'Table Seed Map'!$A$26&amp;"-"&amp;COUNT($AA$1:ListExtras[[#This Row],[Relation]])</f>
        <v>List Relation-39</v>
      </c>
      <c r="Y44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8">
        <f>IF(ListExtras[[#This Row],[LID]]=0,"resource_list",ListExtras[[#This Row],[LID]])</f>
        <v>2123128</v>
      </c>
      <c r="AA44" s="68">
        <f>IFERROR(VLOOKUP(ListExtras[[#This Row],[Relation Name]],RelationTable[[Display]:[RELID]],2,0),IF(ListExtras[[#This Row],[LID]]=0,"relation",""))</f>
        <v>2109161</v>
      </c>
      <c r="AB44" s="68" t="str">
        <f>IFERROR(VLOOKUP(ListExtras[[#This Row],[R1 Name]],RelationTable[[Display]:[RELID]],2,0),IF(ListExtras[[#This Row],[LID]]=0,"nest_relation1",""))</f>
        <v/>
      </c>
      <c r="AC44" s="68" t="str">
        <f>IFERROR(VLOOKUP(ListExtras[[#This Row],[R2 Name]],RelationTable[[Display]:[RELID]],2,0),IF(ListExtras[[#This Row],[LID]]=0,"nest_relation2",""))</f>
        <v/>
      </c>
      <c r="AD44" s="68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1476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:57">
      <c r="A45" s="63" t="str">
        <f>'Table Seed Map'!$A$24&amp;"-"&amp;COUNTA($B$1:ResourceList[[#This Row],[Resource Name]])-1</f>
        <v>Resource Lists-43</v>
      </c>
      <c r="B45" s="62" t="s">
        <v>787</v>
      </c>
      <c r="C45" s="63" t="str">
        <f>ResourceList[[#This Row],[Resource Name]]&amp;"/"&amp;ResourceList[[#This Row],[Name]]</f>
        <v>Order/UndeliveredOwnHubOrders</v>
      </c>
      <c r="D45" s="69">
        <f>IF(ResourceList[[#This Row],[Resource Name]]="","id",COUNTA($B$2:ResourceList[[#This Row],[Resource Name]])+IF(ISNUMBER(VLOOKUP('Table Seed Map'!$A$24,SeedMap[],9,0)),VLOOKUP('Table Seed Map'!$A$24,SeedMap[],9,0),0))</f>
        <v>2123143</v>
      </c>
      <c r="E45" s="69">
        <f>IFERROR(VLOOKUP(ResourceList[[#This Row],[Resource Name]],ResourceTable[[RName]:[No]],3,0),"resource")</f>
        <v>2106118</v>
      </c>
      <c r="F45" s="107" t="s">
        <v>2026</v>
      </c>
      <c r="G45" s="107"/>
      <c r="H45" s="107" t="s">
        <v>909</v>
      </c>
      <c r="I45" s="107" t="s">
        <v>23</v>
      </c>
      <c r="J45" s="107">
        <v>100</v>
      </c>
      <c r="K45" s="67">
        <f>[No]</f>
        <v>2123143</v>
      </c>
      <c r="M45" s="62" t="s">
        <v>1476</v>
      </c>
      <c r="N45" s="63">
        <f>VLOOKUP(ListExtras[[#This Row],[List Name]],ResourceList[[ListDisplayName]:[No]],2,0)</f>
        <v>2123114</v>
      </c>
      <c r="O45" s="62"/>
      <c r="P45" s="62" t="s">
        <v>1848</v>
      </c>
      <c r="Q45" s="62"/>
      <c r="R45" s="62"/>
      <c r="S45" s="62"/>
      <c r="T45" s="63" t="str">
        <f>'Table Seed Map'!$A$25&amp;"-"&amp;COUNT($W$1:ListExtras[[#This Row],[Scope ID]])</f>
        <v>List Scopes-8</v>
      </c>
      <c r="U4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5" s="69">
        <f>IF(ListExtras[[#This Row],[LID]]=0,"resource_list",ListExtras[[#This Row],[LID]])</f>
        <v>2123114</v>
      </c>
      <c r="W45" s="69" t="str">
        <f>IFERROR(VLOOKUP(ListExtras[[#This Row],[Scope Name]],ResourceScopes[[ScopesDisplayNames]:[No]],2,0),IF(ListExtras[[#This Row],[LID]]=0,"scope",""))</f>
        <v/>
      </c>
      <c r="X45" s="63" t="str">
        <f>'Table Seed Map'!$A$26&amp;"-"&amp;COUNT($AA$1:ListExtras[[#This Row],[Relation]])</f>
        <v>List Relation-40</v>
      </c>
      <c r="Y4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2125140</v>
      </c>
      <c r="Z45" s="69">
        <f>IF(ListExtras[[#This Row],[LID]]=0,"resource_list",ListExtras[[#This Row],[LID]])</f>
        <v>2123114</v>
      </c>
      <c r="AA45" s="69">
        <f>IFERROR(VLOOKUP(ListExtras[[#This Row],[Relation Name]],RelationTable[[Display]:[RELID]],2,0),IF(ListExtras[[#This Row],[LID]]=0,"relation",""))</f>
        <v>2109148</v>
      </c>
      <c r="AB45" s="69" t="str">
        <f>IFERROR(VLOOKUP(ListExtras[[#This Row],[R1 Name]],RelationTable[[Display]:[RELID]],2,0),IF(ListExtras[[#This Row],[LID]]=0,"nest_relation1",""))</f>
        <v/>
      </c>
      <c r="AC45" s="69" t="str">
        <f>IFERROR(VLOOKUP(ListExtras[[#This Row],[R2 Name]],RelationTable[[Display]:[RELID]],2,0),IF(ListExtras[[#This Row],[LID]]=0,"nest_relation2",""))</f>
        <v/>
      </c>
      <c r="AD45" s="69" t="str">
        <f>IFERROR(VLOOKUP(ListExtras[[#This Row],[R3 Name]],RelationTable[[Display]:[RELID]],2,0),IF(ListExtras[[#This Row],[LID]]=0,"nest_relation3",""))</f>
        <v/>
      </c>
      <c r="AT45" s="69" t="str">
        <f>'Table Seed Map'!$A$27&amp;"-"&amp;COUNTA($AV$1:ListLayout[[#This Row],[No]])-2</f>
        <v>List Layout-43</v>
      </c>
      <c r="AU45" s="62" t="s">
        <v>1476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1478</v>
      </c>
      <c r="BD45" s="107"/>
      <c r="BE45" s="107"/>
    </row>
    <row r="46" spans="1:57">
      <c r="A46" s="63" t="str">
        <f>'Table Seed Map'!$A$24&amp;"-"&amp;COUNTA($B$1:ResourceList[[#This Row],[Resource Name]])-1</f>
        <v>Resource Lists-44</v>
      </c>
      <c r="B46" s="62" t="s">
        <v>788</v>
      </c>
      <c r="C46" s="63" t="str">
        <f>ResourceList[[#This Row],[Resource Name]]&amp;"/"&amp;ResourceList[[#This Row],[Name]]</f>
        <v>OrderItem/UndeliveredOwnHubOrderItems</v>
      </c>
      <c r="D46" s="69">
        <f>IF(ResourceList[[#This Row],[Resource Name]]="","id",COUNTA($B$2:ResourceList[[#This Row],[Resource Name]])+IF(ISNUMBER(VLOOKUP('Table Seed Map'!$A$24,SeedMap[],9,0)),VLOOKUP('Table Seed Map'!$A$24,SeedMap[],9,0),0))</f>
        <v>2123144</v>
      </c>
      <c r="E46" s="69">
        <f>IFERROR(VLOOKUP(ResourceList[[#This Row],[Resource Name]],ResourceTable[[RName]:[No]],3,0),"resource")</f>
        <v>2106119</v>
      </c>
      <c r="F46" s="107" t="s">
        <v>2034</v>
      </c>
      <c r="G46" s="107"/>
      <c r="H46" s="107" t="s">
        <v>910</v>
      </c>
      <c r="I46" s="107" t="s">
        <v>23</v>
      </c>
      <c r="J46" s="107">
        <v>100</v>
      </c>
      <c r="K46" s="67">
        <f>[No]</f>
        <v>2123144</v>
      </c>
      <c r="M46" s="62" t="s">
        <v>1633</v>
      </c>
      <c r="N46" s="63">
        <f>VLOOKUP(ListExtras[[#This Row],[List Name]],ResourceList[[ListDisplayName]:[No]],2,0)</f>
        <v>2123121</v>
      </c>
      <c r="O46" s="62"/>
      <c r="P46" s="62" t="s">
        <v>1257</v>
      </c>
      <c r="Q46" s="62"/>
      <c r="R46" s="62"/>
      <c r="S46" s="62"/>
      <c r="T46" s="63" t="str">
        <f>'Table Seed Map'!$A$25&amp;"-"&amp;COUNT($W$1:ListExtras[[#This Row],[Scope ID]])</f>
        <v>List Scopes-8</v>
      </c>
      <c r="U4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6" s="69">
        <f>IF(ListExtras[[#This Row],[LID]]=0,"resource_list",ListExtras[[#This Row],[LID]])</f>
        <v>2123121</v>
      </c>
      <c r="W46" s="69" t="str">
        <f>IFERROR(VLOOKUP(ListExtras[[#This Row],[Scope Name]],ResourceScopes[[ScopesDisplayNames]:[No]],2,0),IF(ListExtras[[#This Row],[LID]]=0,"scope",""))</f>
        <v/>
      </c>
      <c r="X46" s="63" t="str">
        <f>'Table Seed Map'!$A$26&amp;"-"&amp;COUNT($AA$1:ListExtras[[#This Row],[Relation]])</f>
        <v>List Relation-41</v>
      </c>
      <c r="Y4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2125141</v>
      </c>
      <c r="Z46" s="69">
        <f>IF(ListExtras[[#This Row],[LID]]=0,"resource_list",ListExtras[[#This Row],[LID]])</f>
        <v>2123121</v>
      </c>
      <c r="AA46" s="69">
        <f>IFERROR(VLOOKUP(ListExtras[[#This Row],[Relation Name]],RelationTable[[Display]:[RELID]],2,0),IF(ListExtras[[#This Row],[LID]]=0,"relation",""))</f>
        <v>2109188</v>
      </c>
      <c r="AB46" s="69" t="str">
        <f>IFERROR(VLOOKUP(ListExtras[[#This Row],[R1 Name]],RelationTable[[Display]:[RELID]],2,0),IF(ListExtras[[#This Row],[LID]]=0,"nest_relation1",""))</f>
        <v/>
      </c>
      <c r="AC46" s="69" t="str">
        <f>IFERROR(VLOOKUP(ListExtras[[#This Row],[R2 Name]],RelationTable[[Display]:[RELID]],2,0),IF(ListExtras[[#This Row],[LID]]=0,"nest_relation2",""))</f>
        <v/>
      </c>
      <c r="AD46" s="69" t="str">
        <f>IFERROR(VLOOKUP(ListExtras[[#This Row],[R3 Name]],RelationTable[[Display]:[RELID]],2,0),IF(ListExtras[[#This Row],[LID]]=0,"nest_relation3",""))</f>
        <v/>
      </c>
      <c r="AT46" s="69" t="str">
        <f>'Table Seed Map'!$A$27&amp;"-"&amp;COUNTA($AV$1:ListLayout[[#This Row],[No]])-2</f>
        <v>List Layout-44</v>
      </c>
      <c r="AU46" s="62" t="s">
        <v>1476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777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2109148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1848</v>
      </c>
      <c r="BD46" s="107"/>
      <c r="BE46" s="107"/>
    </row>
    <row r="47" spans="1:57">
      <c r="M47" s="62" t="s">
        <v>1633</v>
      </c>
      <c r="N47" s="63">
        <f>VLOOKUP(ListExtras[[#This Row],[List Name]],ResourceList[[ListDisplayName]:[No]],2,0)</f>
        <v>2123121</v>
      </c>
      <c r="O47" s="62"/>
      <c r="P47" s="62" t="s">
        <v>1854</v>
      </c>
      <c r="Q47" s="62"/>
      <c r="R47" s="62"/>
      <c r="S47" s="62"/>
      <c r="T47" s="63" t="str">
        <f>'Table Seed Map'!$A$25&amp;"-"&amp;COUNT($W$1:ListExtras[[#This Row],[Scope ID]])</f>
        <v>List Scopes-8</v>
      </c>
      <c r="U4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7" s="69">
        <f>IF(ListExtras[[#This Row],[LID]]=0,"resource_list",ListExtras[[#This Row],[LID]])</f>
        <v>2123121</v>
      </c>
      <c r="W47" s="69" t="str">
        <f>IFERROR(VLOOKUP(ListExtras[[#This Row],[Scope Name]],ResourceScopes[[ScopesDisplayNames]:[No]],2,0),IF(ListExtras[[#This Row],[LID]]=0,"scope",""))</f>
        <v/>
      </c>
      <c r="X47" s="63" t="str">
        <f>'Table Seed Map'!$A$26&amp;"-"&amp;COUNT($AA$1:ListExtras[[#This Row],[Relation]])</f>
        <v>List Relation-42</v>
      </c>
      <c r="Y4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2125142</v>
      </c>
      <c r="Z47" s="69">
        <f>IF(ListExtras[[#This Row],[LID]]=0,"resource_list",ListExtras[[#This Row],[LID]])</f>
        <v>2123121</v>
      </c>
      <c r="AA47" s="69">
        <f>IFERROR(VLOOKUP(ListExtras[[#This Row],[Relation Name]],RelationTable[[Display]:[RELID]],2,0),IF(ListExtras[[#This Row],[LID]]=0,"relation",""))</f>
        <v>2109194</v>
      </c>
      <c r="AB47" s="69" t="str">
        <f>IFERROR(VLOOKUP(ListExtras[[#This Row],[R1 Name]],RelationTable[[Display]:[RELID]],2,0),IF(ListExtras[[#This Row],[LID]]=0,"nest_relation1",""))</f>
        <v/>
      </c>
      <c r="AC47" s="69" t="str">
        <f>IFERROR(VLOOKUP(ListExtras[[#This Row],[R2 Name]],RelationTable[[Display]:[RELID]],2,0),IF(ListExtras[[#This Row],[LID]]=0,"nest_relation2",""))</f>
        <v/>
      </c>
      <c r="AD47" s="69" t="str">
        <f>IFERROR(VLOOKUP(ListExtras[[#This Row],[R3 Name]],RelationTable[[Display]:[RELID]],2,0),IF(ListExtras[[#This Row],[LID]]=0,"nest_relation3",""))</f>
        <v/>
      </c>
      <c r="AT47" s="69" t="str">
        <f>'Table Seed Map'!$A$27&amp;"-"&amp;COUNTA($AV$1:ListLayout[[#This Row],[No]])-2</f>
        <v>List Layout-45</v>
      </c>
      <c r="AU47" s="62" t="s">
        <v>1476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1337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:57">
      <c r="M48" s="62" t="s">
        <v>1856</v>
      </c>
      <c r="N48" s="63">
        <f>VLOOKUP(ListExtras[[#This Row],[List Name]],ResourceList[[ListDisplayName]:[No]],2,0)</f>
        <v>2123106</v>
      </c>
      <c r="O48" s="62" t="s">
        <v>1857</v>
      </c>
      <c r="P48" s="62" t="s">
        <v>1460</v>
      </c>
      <c r="Q48" s="62"/>
      <c r="R48" s="62"/>
      <c r="S48" s="62"/>
      <c r="T48" s="63" t="str">
        <f>'Table Seed Map'!$A$25&amp;"-"&amp;COUNT($W$1:ListExtras[[#This Row],[Scope ID]])</f>
        <v>List Scopes-9</v>
      </c>
      <c r="U4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2124109</v>
      </c>
      <c r="V48" s="69">
        <f>IF(ListExtras[[#This Row],[LID]]=0,"resource_list",ListExtras[[#This Row],[LID]])</f>
        <v>2123106</v>
      </c>
      <c r="W48" s="69">
        <f>IFERROR(VLOOKUP(ListExtras[[#This Row],[Scope Name]],ResourceScopes[[ScopesDisplayNames]:[No]],2,0),IF(ListExtras[[#This Row],[LID]]=0,"scope",""))</f>
        <v>2108104</v>
      </c>
      <c r="X48" s="63" t="str">
        <f>'Table Seed Map'!$A$26&amp;"-"&amp;COUNT($AA$1:ListExtras[[#This Row],[Relation]])</f>
        <v>List Relation-43</v>
      </c>
      <c r="Y4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2125143</v>
      </c>
      <c r="Z48" s="69">
        <f>IF(ListExtras[[#This Row],[LID]]=0,"resource_list",ListExtras[[#This Row],[LID]])</f>
        <v>2123106</v>
      </c>
      <c r="AA48" s="69">
        <f>IFERROR(VLOOKUP(ListExtras[[#This Row],[Relation Name]],RelationTable[[Display]:[RELID]],2,0),IF(ListExtras[[#This Row],[LID]]=0,"relation",""))</f>
        <v>2109106</v>
      </c>
      <c r="AB48" s="69" t="str">
        <f>IFERROR(VLOOKUP(ListExtras[[#This Row],[R1 Name]],RelationTable[[Display]:[RELID]],2,0),IF(ListExtras[[#This Row],[LID]]=0,"nest_relation1",""))</f>
        <v/>
      </c>
      <c r="AC48" s="69" t="str">
        <f>IFERROR(VLOOKUP(ListExtras[[#This Row],[R2 Name]],RelationTable[[Display]:[RELID]],2,0),IF(ListExtras[[#This Row],[LID]]=0,"nest_relation2",""))</f>
        <v/>
      </c>
      <c r="AD48" s="69" t="str">
        <f>IFERROR(VLOOKUP(ListExtras[[#This Row],[R3 Name]],RelationTable[[Display]:[RELID]],2,0),IF(ListExtras[[#This Row],[LID]]=0,"nest_relation3",""))</f>
        <v/>
      </c>
      <c r="AT48" s="69" t="str">
        <f>'Table Seed Map'!$A$27&amp;"-"&amp;COUNTA($AV$1:ListLayout[[#This Row],[No]])-2</f>
        <v>List Layout-46</v>
      </c>
      <c r="AU48" s="62" t="s">
        <v>1476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1477</v>
      </c>
      <c r="AY48" s="107" t="s">
        <v>886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13:57">
      <c r="M49" s="62" t="s">
        <v>1856</v>
      </c>
      <c r="N49" s="63">
        <f>VLOOKUP(ListExtras[[#This Row],[List Name]],ResourceList[[ListDisplayName]:[No]],2,0)</f>
        <v>2123106</v>
      </c>
      <c r="O49" s="62"/>
      <c r="P49" s="62" t="s">
        <v>1459</v>
      </c>
      <c r="Q49" s="62"/>
      <c r="R49" s="62"/>
      <c r="S49" s="62"/>
      <c r="T49" s="63" t="str">
        <f>'Table Seed Map'!$A$25&amp;"-"&amp;COUNT($W$1:ListExtras[[#This Row],[Scope ID]])</f>
        <v>List Scopes-9</v>
      </c>
      <c r="U4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9" s="69">
        <f>IF(ListExtras[[#This Row],[LID]]=0,"resource_list",ListExtras[[#This Row],[LID]])</f>
        <v>2123106</v>
      </c>
      <c r="W49" s="69" t="str">
        <f>IFERROR(VLOOKUP(ListExtras[[#This Row],[Scope Name]],ResourceScopes[[ScopesDisplayNames]:[No]],2,0),IF(ListExtras[[#This Row],[LID]]=0,"scope",""))</f>
        <v/>
      </c>
      <c r="X49" s="63" t="str">
        <f>'Table Seed Map'!$A$26&amp;"-"&amp;COUNT($AA$1:ListExtras[[#This Row],[Relation]])</f>
        <v>List Relation-44</v>
      </c>
      <c r="Y4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2125144</v>
      </c>
      <c r="Z49" s="69">
        <f>IF(ListExtras[[#This Row],[LID]]=0,"resource_list",ListExtras[[#This Row],[LID]])</f>
        <v>2123106</v>
      </c>
      <c r="AA49" s="69">
        <f>IFERROR(VLOOKUP(ListExtras[[#This Row],[Relation Name]],RelationTable[[Display]:[RELID]],2,0),IF(ListExtras[[#This Row],[LID]]=0,"relation",""))</f>
        <v>2109104</v>
      </c>
      <c r="AB49" s="69" t="str">
        <f>IFERROR(VLOOKUP(ListExtras[[#This Row],[R1 Name]],RelationTable[[Display]:[RELID]],2,0),IF(ListExtras[[#This Row],[LID]]=0,"nest_relation1",""))</f>
        <v/>
      </c>
      <c r="AC49" s="69" t="str">
        <f>IFERROR(VLOOKUP(ListExtras[[#This Row],[R2 Name]],RelationTable[[Display]:[RELID]],2,0),IF(ListExtras[[#This Row],[LID]]=0,"nest_relation2",""))</f>
        <v/>
      </c>
      <c r="AD49" s="69" t="str">
        <f>IFERROR(VLOOKUP(ListExtras[[#This Row],[R3 Name]],RelationTable[[Display]:[RELID]],2,0),IF(ListExtras[[#This Row],[LID]]=0,"nest_relation3",""))</f>
        <v/>
      </c>
      <c r="AT49" s="69" t="str">
        <f>'Table Seed Map'!$A$27&amp;"-"&amp;COUNTA($AV$1:ListLayout[[#This Row],[No]])-2</f>
        <v>List Layout-47</v>
      </c>
      <c r="AU49" s="62" t="s">
        <v>1479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13:57">
      <c r="M50" s="62" t="s">
        <v>1865</v>
      </c>
      <c r="N50" s="63">
        <f>VLOOKUP(ListExtras[[#This Row],[List Name]],ResourceList[[ListDisplayName]:[No]],2,0)</f>
        <v>2123129</v>
      </c>
      <c r="O50" s="62" t="s">
        <v>1866</v>
      </c>
      <c r="P50" s="62"/>
      <c r="Q50" s="62"/>
      <c r="R50" s="62"/>
      <c r="S50" s="62"/>
      <c r="T50" s="63" t="str">
        <f>'Table Seed Map'!$A$25&amp;"-"&amp;COUNT($W$1:ListExtras[[#This Row],[Scope ID]])</f>
        <v>List Scopes-10</v>
      </c>
      <c r="U5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2124110</v>
      </c>
      <c r="V50" s="69">
        <f>IF(ListExtras[[#This Row],[LID]]=0,"resource_list",ListExtras[[#This Row],[LID]])</f>
        <v>2123129</v>
      </c>
      <c r="W50" s="69">
        <f>IFERROR(VLOOKUP(ListExtras[[#This Row],[Scope Name]],ResourceScopes[[ScopesDisplayNames]:[No]],2,0),IF(ListExtras[[#This Row],[LID]]=0,"scope",""))</f>
        <v>2108113</v>
      </c>
      <c r="X50" s="63" t="str">
        <f>'Table Seed Map'!$A$26&amp;"-"&amp;COUNT($AA$1:ListExtras[[#This Row],[Relation]])</f>
        <v>List Relation-44</v>
      </c>
      <c r="Y50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0" s="69">
        <f>IF(ListExtras[[#This Row],[LID]]=0,"resource_list",ListExtras[[#This Row],[LID]])</f>
        <v>2123129</v>
      </c>
      <c r="AA50" s="69" t="str">
        <f>IFERROR(VLOOKUP(ListExtras[[#This Row],[Relation Name]],RelationTable[[Display]:[RELID]],2,0),IF(ListExtras[[#This Row],[LID]]=0,"relation",""))</f>
        <v/>
      </c>
      <c r="AB50" s="69" t="str">
        <f>IFERROR(VLOOKUP(ListExtras[[#This Row],[R1 Name]],RelationTable[[Display]:[RELID]],2,0),IF(ListExtras[[#This Row],[LID]]=0,"nest_relation1",""))</f>
        <v/>
      </c>
      <c r="AC50" s="69" t="str">
        <f>IFERROR(VLOOKUP(ListExtras[[#This Row],[R2 Name]],RelationTable[[Display]:[RELID]],2,0),IF(ListExtras[[#This Row],[LID]]=0,"nest_relation2",""))</f>
        <v/>
      </c>
      <c r="AD50" s="69" t="str">
        <f>IFERROR(VLOOKUP(ListExtras[[#This Row],[R3 Name]],RelationTable[[Display]:[RELID]],2,0),IF(ListExtras[[#This Row],[LID]]=0,"nest_relation3",""))</f>
        <v/>
      </c>
      <c r="AT50" s="69" t="str">
        <f>'Table Seed Map'!$A$27&amp;"-"&amp;COUNTA($AV$1:ListLayout[[#This Row],[No]])-2</f>
        <v>List Layout-48</v>
      </c>
      <c r="AU50" s="62" t="s">
        <v>1479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1480</v>
      </c>
      <c r="BD50" s="107"/>
      <c r="BE50" s="107"/>
    </row>
    <row r="51" spans="13:57">
      <c r="M51" s="62" t="s">
        <v>1875</v>
      </c>
      <c r="N51" s="63">
        <f>VLOOKUP(ListExtras[[#This Row],[List Name]],ResourceList[[ListDisplayName]:[No]],2,0)</f>
        <v>2123130</v>
      </c>
      <c r="O51" s="62" t="s">
        <v>1876</v>
      </c>
      <c r="P51" s="62" t="s">
        <v>1854</v>
      </c>
      <c r="Q51" s="62"/>
      <c r="R51" s="62"/>
      <c r="S51" s="62"/>
      <c r="T51" s="63" t="str">
        <f>'Table Seed Map'!$A$25&amp;"-"&amp;COUNT($W$1:ListExtras[[#This Row],[Scope ID]])</f>
        <v>List Scopes-11</v>
      </c>
      <c r="U5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2124111</v>
      </c>
      <c r="V51" s="69">
        <f>IF(ListExtras[[#This Row],[LID]]=0,"resource_list",ListExtras[[#This Row],[LID]])</f>
        <v>2123130</v>
      </c>
      <c r="W51" s="69">
        <f>IFERROR(VLOOKUP(ListExtras[[#This Row],[Scope Name]],ResourceScopes[[ScopesDisplayNames]:[No]],2,0),IF(ListExtras[[#This Row],[LID]]=0,"scope",""))</f>
        <v>2108114</v>
      </c>
      <c r="X51" s="63" t="str">
        <f>'Table Seed Map'!$A$26&amp;"-"&amp;COUNT($AA$1:ListExtras[[#This Row],[Relation]])</f>
        <v>List Relation-45</v>
      </c>
      <c r="Y5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2125145</v>
      </c>
      <c r="Z51" s="69">
        <f>IF(ListExtras[[#This Row],[LID]]=0,"resource_list",ListExtras[[#This Row],[LID]])</f>
        <v>2123130</v>
      </c>
      <c r="AA51" s="69">
        <f>IFERROR(VLOOKUP(ListExtras[[#This Row],[Relation Name]],RelationTable[[Display]:[RELID]],2,0),IF(ListExtras[[#This Row],[LID]]=0,"relation",""))</f>
        <v>2109194</v>
      </c>
      <c r="AB51" s="69" t="str">
        <f>IFERROR(VLOOKUP(ListExtras[[#This Row],[R1 Name]],RelationTable[[Display]:[RELID]],2,0),IF(ListExtras[[#This Row],[LID]]=0,"nest_relation1",""))</f>
        <v/>
      </c>
      <c r="AC51" s="69" t="str">
        <f>IFERROR(VLOOKUP(ListExtras[[#This Row],[R2 Name]],RelationTable[[Display]:[RELID]],2,0),IF(ListExtras[[#This Row],[LID]]=0,"nest_relation2",""))</f>
        <v/>
      </c>
      <c r="AD51" s="69" t="str">
        <f>IFERROR(VLOOKUP(ListExtras[[#This Row],[R3 Name]],RelationTable[[Display]:[RELID]],2,0),IF(ListExtras[[#This Row],[LID]]=0,"nest_relation3",""))</f>
        <v/>
      </c>
      <c r="AT51" s="69" t="str">
        <f>'Table Seed Map'!$A$27&amp;"-"&amp;COUNTA($AV$1:ListLayout[[#This Row],[No]])-2</f>
        <v>List Layout-49</v>
      </c>
      <c r="AU51" s="62" t="s">
        <v>1479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1337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13:57">
      <c r="M52" s="62" t="s">
        <v>1875</v>
      </c>
      <c r="N52" s="63">
        <f>VLOOKUP(ListExtras[[#This Row],[List Name]],ResourceList[[ListDisplayName]:[No]],2,0)</f>
        <v>2123130</v>
      </c>
      <c r="O52" s="62"/>
      <c r="P52" s="62" t="s">
        <v>1636</v>
      </c>
      <c r="Q52" s="62"/>
      <c r="R52" s="62"/>
      <c r="S52" s="62"/>
      <c r="T52" s="63" t="str">
        <f>'Table Seed Map'!$A$25&amp;"-"&amp;COUNT($W$1:ListExtras[[#This Row],[Scope ID]])</f>
        <v>List Scopes-11</v>
      </c>
      <c r="U5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2" s="69">
        <f>IF(ListExtras[[#This Row],[LID]]=0,"resource_list",ListExtras[[#This Row],[LID]])</f>
        <v>2123130</v>
      </c>
      <c r="W52" s="69" t="str">
        <f>IFERROR(VLOOKUP(ListExtras[[#This Row],[Scope Name]],ResourceScopes[[ScopesDisplayNames]:[No]],2,0),IF(ListExtras[[#This Row],[LID]]=0,"scope",""))</f>
        <v/>
      </c>
      <c r="X52" s="63" t="str">
        <f>'Table Seed Map'!$A$26&amp;"-"&amp;COUNT($AA$1:ListExtras[[#This Row],[Relation]])</f>
        <v>List Relation-46</v>
      </c>
      <c r="Y5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2125146</v>
      </c>
      <c r="Z52" s="69">
        <f>IF(ListExtras[[#This Row],[LID]]=0,"resource_list",ListExtras[[#This Row],[LID]])</f>
        <v>2123130</v>
      </c>
      <c r="AA52" s="69">
        <f>IFERROR(VLOOKUP(ListExtras[[#This Row],[Relation Name]],RelationTable[[Display]:[RELID]],2,0),IF(ListExtras[[#This Row],[LID]]=0,"relation",""))</f>
        <v>2109155</v>
      </c>
      <c r="AB52" s="69" t="str">
        <f>IFERROR(VLOOKUP(ListExtras[[#This Row],[R1 Name]],RelationTable[[Display]:[RELID]],2,0),IF(ListExtras[[#This Row],[LID]]=0,"nest_relation1",""))</f>
        <v/>
      </c>
      <c r="AC52" s="69" t="str">
        <f>IFERROR(VLOOKUP(ListExtras[[#This Row],[R2 Name]],RelationTable[[Display]:[RELID]],2,0),IF(ListExtras[[#This Row],[LID]]=0,"nest_relation2",""))</f>
        <v/>
      </c>
      <c r="AD52" s="69" t="str">
        <f>IFERROR(VLOOKUP(ListExtras[[#This Row],[R3 Name]],RelationTable[[Display]:[RELID]],2,0),IF(ListExtras[[#This Row],[LID]]=0,"nest_relation3",""))</f>
        <v/>
      </c>
      <c r="AT52" s="69" t="str">
        <f>'Table Seed Map'!$A$27&amp;"-"&amp;COUNTA($AV$1:ListLayout[[#This Row],[No]])-2</f>
        <v>List Layout-50</v>
      </c>
      <c r="AU52" s="62" t="s">
        <v>1479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1805</v>
      </c>
      <c r="AY52" s="107" t="s">
        <v>1806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13:57">
      <c r="M53" s="62" t="s">
        <v>1875</v>
      </c>
      <c r="N53" s="63">
        <f>VLOOKUP(ListExtras[[#This Row],[List Name]],ResourceList[[ListDisplayName]:[No]],2,0)</f>
        <v>2123130</v>
      </c>
      <c r="O53" s="62"/>
      <c r="P53" s="62" t="s">
        <v>1635</v>
      </c>
      <c r="Q53" s="62"/>
      <c r="R53" s="62"/>
      <c r="S53" s="62"/>
      <c r="T53" s="63" t="str">
        <f>'Table Seed Map'!$A$25&amp;"-"&amp;COUNT($W$1:ListExtras[[#This Row],[Scope ID]])</f>
        <v>List Scopes-11</v>
      </c>
      <c r="U5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3" s="69">
        <f>IF(ListExtras[[#This Row],[LID]]=0,"resource_list",ListExtras[[#This Row],[LID]])</f>
        <v>2123130</v>
      </c>
      <c r="W53" s="69" t="str">
        <f>IFERROR(VLOOKUP(ListExtras[[#This Row],[Scope Name]],ResourceScopes[[ScopesDisplayNames]:[No]],2,0),IF(ListExtras[[#This Row],[LID]]=0,"scope",""))</f>
        <v/>
      </c>
      <c r="X53" s="63" t="str">
        <f>'Table Seed Map'!$A$26&amp;"-"&amp;COUNT($AA$1:ListExtras[[#This Row],[Relation]])</f>
        <v>List Relation-47</v>
      </c>
      <c r="Y5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2125147</v>
      </c>
      <c r="Z53" s="69">
        <f>IF(ListExtras[[#This Row],[LID]]=0,"resource_list",ListExtras[[#This Row],[LID]])</f>
        <v>2123130</v>
      </c>
      <c r="AA53" s="69">
        <f>IFERROR(VLOOKUP(ListExtras[[#This Row],[Relation Name]],RelationTable[[Display]:[RELID]],2,0),IF(ListExtras[[#This Row],[LID]]=0,"relation",""))</f>
        <v>2109154</v>
      </c>
      <c r="AB53" s="69" t="str">
        <f>IFERROR(VLOOKUP(ListExtras[[#This Row],[R1 Name]],RelationTable[[Display]:[RELID]],2,0),IF(ListExtras[[#This Row],[LID]]=0,"nest_relation1",""))</f>
        <v/>
      </c>
      <c r="AC53" s="69" t="str">
        <f>IFERROR(VLOOKUP(ListExtras[[#This Row],[R2 Name]],RelationTable[[Display]:[RELID]],2,0),IF(ListExtras[[#This Row],[LID]]=0,"nest_relation2",""))</f>
        <v/>
      </c>
      <c r="AD53" s="69" t="str">
        <f>IFERROR(VLOOKUP(ListExtras[[#This Row],[R3 Name]],RelationTable[[Display]:[RELID]],2,0),IF(ListExtras[[#This Row],[LID]]=0,"nest_relation3",""))</f>
        <v/>
      </c>
      <c r="AT53" s="69" t="str">
        <f>'Table Seed Map'!$A$27&amp;"-"&amp;COUNTA($AV$1:ListLayout[[#This Row],[No]])-2</f>
        <v>List Layout-51</v>
      </c>
      <c r="AU53" s="62" t="s">
        <v>1479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1832</v>
      </c>
      <c r="AY53" s="107" t="s">
        <v>1833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13:57">
      <c r="M54" s="62" t="s">
        <v>1875</v>
      </c>
      <c r="N54" s="63">
        <f>VLOOKUP(ListExtras[[#This Row],[List Name]],ResourceList[[ListDisplayName]:[No]],2,0)</f>
        <v>2123130</v>
      </c>
      <c r="O54" s="62"/>
      <c r="P54" s="62" t="s">
        <v>1634</v>
      </c>
      <c r="Q54" s="62"/>
      <c r="R54" s="62"/>
      <c r="S54" s="62"/>
      <c r="T54" s="63" t="str">
        <f>'Table Seed Map'!$A$25&amp;"-"&amp;COUNT($W$1:ListExtras[[#This Row],[Scope ID]])</f>
        <v>List Scopes-11</v>
      </c>
      <c r="U5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4" s="69">
        <f>IF(ListExtras[[#This Row],[LID]]=0,"resource_list",ListExtras[[#This Row],[LID]])</f>
        <v>2123130</v>
      </c>
      <c r="W54" s="69" t="str">
        <f>IFERROR(VLOOKUP(ListExtras[[#This Row],[Scope Name]],ResourceScopes[[ScopesDisplayNames]:[No]],2,0),IF(ListExtras[[#This Row],[LID]]=0,"scope",""))</f>
        <v/>
      </c>
      <c r="X54" s="63" t="str">
        <f>'Table Seed Map'!$A$26&amp;"-"&amp;COUNT($AA$1:ListExtras[[#This Row],[Relation]])</f>
        <v>List Relation-48</v>
      </c>
      <c r="Y5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2125148</v>
      </c>
      <c r="Z54" s="69">
        <f>IF(ListExtras[[#This Row],[LID]]=0,"resource_list",ListExtras[[#This Row],[LID]])</f>
        <v>2123130</v>
      </c>
      <c r="AA54" s="69">
        <f>IFERROR(VLOOKUP(ListExtras[[#This Row],[Relation Name]],RelationTable[[Display]:[RELID]],2,0),IF(ListExtras[[#This Row],[LID]]=0,"relation",""))</f>
        <v>2109153</v>
      </c>
      <c r="AB54" s="69" t="str">
        <f>IFERROR(VLOOKUP(ListExtras[[#This Row],[R1 Name]],RelationTable[[Display]:[RELID]],2,0),IF(ListExtras[[#This Row],[LID]]=0,"nest_relation1",""))</f>
        <v/>
      </c>
      <c r="AC54" s="69" t="str">
        <f>IFERROR(VLOOKUP(ListExtras[[#This Row],[R2 Name]],RelationTable[[Display]:[RELID]],2,0),IF(ListExtras[[#This Row],[LID]]=0,"nest_relation2",""))</f>
        <v/>
      </c>
      <c r="AD54" s="69" t="str">
        <f>IFERROR(VLOOKUP(ListExtras[[#This Row],[R3 Name]],RelationTable[[Display]:[RELID]],2,0),IF(ListExtras[[#This Row],[LID]]=0,"nest_relation3",""))</f>
        <v/>
      </c>
      <c r="AT54" s="69" t="str">
        <f>'Table Seed Map'!$A$27&amp;"-"&amp;COUNTA($AV$1:ListLayout[[#This Row],[No]])-2</f>
        <v>List Layout-52</v>
      </c>
      <c r="AU54" s="62" t="s">
        <v>1479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1481</v>
      </c>
      <c r="BD54" s="107"/>
      <c r="BE54" s="107"/>
    </row>
    <row r="55" spans="13:57">
      <c r="M55" s="62" t="s">
        <v>1875</v>
      </c>
      <c r="N55" s="63">
        <f>VLOOKUP(ListExtras[[#This Row],[List Name]],ResourceList[[ListDisplayName]:[No]],2,0)</f>
        <v>2123130</v>
      </c>
      <c r="O55" s="62"/>
      <c r="P55" s="62" t="s">
        <v>1257</v>
      </c>
      <c r="Q55" s="62"/>
      <c r="R55" s="62"/>
      <c r="S55" s="62"/>
      <c r="T55" s="63" t="str">
        <f>'Table Seed Map'!$A$25&amp;"-"&amp;COUNT($W$1:ListExtras[[#This Row],[Scope ID]])</f>
        <v>List Scopes-11</v>
      </c>
      <c r="U5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5" s="69">
        <f>IF(ListExtras[[#This Row],[LID]]=0,"resource_list",ListExtras[[#This Row],[LID]])</f>
        <v>2123130</v>
      </c>
      <c r="W55" s="69" t="str">
        <f>IFERROR(VLOOKUP(ListExtras[[#This Row],[Scope Name]],ResourceScopes[[ScopesDisplayNames]:[No]],2,0),IF(ListExtras[[#This Row],[LID]]=0,"scope",""))</f>
        <v/>
      </c>
      <c r="X55" s="63" t="str">
        <f>'Table Seed Map'!$A$26&amp;"-"&amp;COUNT($AA$1:ListExtras[[#This Row],[Relation]])</f>
        <v>List Relation-49</v>
      </c>
      <c r="Y5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2125149</v>
      </c>
      <c r="Z55" s="69">
        <f>IF(ListExtras[[#This Row],[LID]]=0,"resource_list",ListExtras[[#This Row],[LID]])</f>
        <v>2123130</v>
      </c>
      <c r="AA55" s="69">
        <f>IFERROR(VLOOKUP(ListExtras[[#This Row],[Relation Name]],RelationTable[[Display]:[RELID]],2,0),IF(ListExtras[[#This Row],[LID]]=0,"relation",""))</f>
        <v>2109188</v>
      </c>
      <c r="AB55" s="69" t="str">
        <f>IFERROR(VLOOKUP(ListExtras[[#This Row],[R1 Name]],RelationTable[[Display]:[RELID]],2,0),IF(ListExtras[[#This Row],[LID]]=0,"nest_relation1",""))</f>
        <v/>
      </c>
      <c r="AC55" s="69" t="str">
        <f>IFERROR(VLOOKUP(ListExtras[[#This Row],[R2 Name]],RelationTable[[Display]:[RELID]],2,0),IF(ListExtras[[#This Row],[LID]]=0,"nest_relation2",""))</f>
        <v/>
      </c>
      <c r="AD55" s="69" t="str">
        <f>IFERROR(VLOOKUP(ListExtras[[#This Row],[R3 Name]],RelationTable[[Display]:[RELID]],2,0),IF(ListExtras[[#This Row],[LID]]=0,"nest_relation3",""))</f>
        <v/>
      </c>
      <c r="AT55" s="69" t="str">
        <f>'Table Seed Map'!$A$27&amp;"-"&amp;COUNTA($AV$1:ListLayout[[#This Row],[No]])-2</f>
        <v>List Layout-53</v>
      </c>
      <c r="AU55" s="62" t="s">
        <v>1479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1477</v>
      </c>
      <c r="AY55" s="107" t="s">
        <v>886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13:57">
      <c r="M56" s="62" t="s">
        <v>1898</v>
      </c>
      <c r="N56" s="63">
        <f>VLOOKUP(ListExtras[[#This Row],[List Name]],ResourceList[[ListDisplayName]:[No]],2,0)</f>
        <v>2123131</v>
      </c>
      <c r="O56" s="62" t="s">
        <v>1898</v>
      </c>
      <c r="P56" s="62" t="s">
        <v>1478</v>
      </c>
      <c r="Q56" s="62"/>
      <c r="R56" s="62"/>
      <c r="S56" s="62"/>
      <c r="T56" s="63" t="str">
        <f>'Table Seed Map'!$A$25&amp;"-"&amp;COUNT($W$1:ListExtras[[#This Row],[Scope ID]])</f>
        <v>List Scopes-12</v>
      </c>
      <c r="U5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2124112</v>
      </c>
      <c r="V56" s="69">
        <f>IF(ListExtras[[#This Row],[LID]]=0,"resource_list",ListExtras[[#This Row],[LID]])</f>
        <v>2123131</v>
      </c>
      <c r="W56" s="69">
        <f>IFERROR(VLOOKUP(ListExtras[[#This Row],[Scope Name]],ResourceScopes[[ScopesDisplayNames]:[No]],2,0),IF(ListExtras[[#This Row],[LID]]=0,"scope",""))</f>
        <v>2108115</v>
      </c>
      <c r="X56" s="63" t="str">
        <f>'Table Seed Map'!$A$26&amp;"-"&amp;COUNT($AA$1:ListExtras[[#This Row],[Relation]])</f>
        <v>List Relation-50</v>
      </c>
      <c r="Y5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2125150</v>
      </c>
      <c r="Z56" s="69">
        <f>IF(ListExtras[[#This Row],[LID]]=0,"resource_list",ListExtras[[#This Row],[LID]])</f>
        <v>2123131</v>
      </c>
      <c r="AA56" s="69">
        <f>IFERROR(VLOOKUP(ListExtras[[#This Row],[Relation Name]],RelationTable[[Display]:[RELID]],2,0),IF(ListExtras[[#This Row],[LID]]=0,"relation",""))</f>
        <v>2109147</v>
      </c>
      <c r="AB56" s="69" t="str">
        <f>IFERROR(VLOOKUP(ListExtras[[#This Row],[R1 Name]],RelationTable[[Display]:[RELID]],2,0),IF(ListExtras[[#This Row],[LID]]=0,"nest_relation1",""))</f>
        <v/>
      </c>
      <c r="AC56" s="69" t="str">
        <f>IFERROR(VLOOKUP(ListExtras[[#This Row],[R2 Name]],RelationTable[[Display]:[RELID]],2,0),IF(ListExtras[[#This Row],[LID]]=0,"nest_relation2",""))</f>
        <v/>
      </c>
      <c r="AD56" s="69" t="str">
        <f>IFERROR(VLOOKUP(ListExtras[[#This Row],[R3 Name]],RelationTable[[Display]:[RELID]],2,0),IF(ListExtras[[#This Row],[LID]]=0,"nest_relation3",""))</f>
        <v/>
      </c>
      <c r="AT56" s="69" t="str">
        <f>'Table Seed Map'!$A$27&amp;"-"&amp;COUNTA($AV$1:ListLayout[[#This Row],[No]])-2</f>
        <v>List Layout-54</v>
      </c>
      <c r="AU56" s="62" t="s">
        <v>1482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13:57">
      <c r="M57" s="62" t="s">
        <v>1906</v>
      </c>
      <c r="N57" s="61">
        <f>VLOOKUP(ListExtras[[#This Row],[List Name]],ResourceList[[ListDisplayName]:[No]],2,0)</f>
        <v>2123132</v>
      </c>
      <c r="O57" s="62" t="s">
        <v>1907</v>
      </c>
      <c r="P57" s="62" t="s">
        <v>1648</v>
      </c>
      <c r="Q57" s="62"/>
      <c r="R57" s="60"/>
      <c r="S57" s="60"/>
      <c r="T57" s="61" t="str">
        <f>'Table Seed Map'!$A$25&amp;"-"&amp;COUNT($W$1:ListExtras[[#This Row],[Scope ID]])</f>
        <v>List Scopes-13</v>
      </c>
      <c r="U57" s="68">
        <f>IF(ListExtras[[#This Row],[LID]]=0,"id",IF(ListExtras[[#This Row],[Scope ID]]="","",COUNT($W$2:ListExtras[[#This Row],[Scope ID]])+IF(ISNUMBER(VLOOKUP('Table Seed Map'!$A$25,SeedMap[],9,0)),VLOOKUP('Table Seed Map'!$A$25,SeedMap[],9,0),0)))</f>
        <v>2124113</v>
      </c>
      <c r="V57" s="68">
        <f>IF(ListExtras[[#This Row],[LID]]=0,"resource_list",ListExtras[[#This Row],[LID]])</f>
        <v>2123132</v>
      </c>
      <c r="W57" s="68">
        <f>IFERROR(VLOOKUP(ListExtras[[#This Row],[Scope Name]],ResourceScopes[[ScopesDisplayNames]:[No]],2,0),IF(ListExtras[[#This Row],[LID]]=0,"scope",""))</f>
        <v>2108116</v>
      </c>
      <c r="X57" s="61" t="str">
        <f>'Table Seed Map'!$A$26&amp;"-"&amp;COUNT($AA$1:ListExtras[[#This Row],[Relation]])</f>
        <v>List Relation-51</v>
      </c>
      <c r="Y57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2125151</v>
      </c>
      <c r="Z57" s="68">
        <f>IF(ListExtras[[#This Row],[LID]]=0,"resource_list",ListExtras[[#This Row],[LID]])</f>
        <v>2123132</v>
      </c>
      <c r="AA57" s="68">
        <f>IFERROR(VLOOKUP(ListExtras[[#This Row],[Relation Name]],RelationTable[[Display]:[RELID]],2,0),IF(ListExtras[[#This Row],[LID]]=0,"relation",""))</f>
        <v>2109158</v>
      </c>
      <c r="AB57" s="68" t="str">
        <f>IFERROR(VLOOKUP(ListExtras[[#This Row],[R1 Name]],RelationTable[[Display]:[RELID]],2,0),IF(ListExtras[[#This Row],[LID]]=0,"nest_relation1",""))</f>
        <v/>
      </c>
      <c r="AC57" s="68" t="str">
        <f>IFERROR(VLOOKUP(ListExtras[[#This Row],[R2 Name]],RelationTable[[Display]:[RELID]],2,0),IF(ListExtras[[#This Row],[LID]]=0,"nest_relation2",""))</f>
        <v/>
      </c>
      <c r="AD57" s="68" t="str">
        <f>IFERROR(VLOOKUP(ListExtras[[#This Row],[R3 Name]],RelationTable[[Display]:[RELID]],2,0),IF(ListExtras[[#This Row],[LID]]=0,"nest_relation3",""))</f>
        <v/>
      </c>
      <c r="AT57" s="69" t="str">
        <f>'Table Seed Map'!$A$27&amp;"-"&amp;COUNTA($AV$1:ListLayout[[#This Row],[No]])-2</f>
        <v>List Layout-55</v>
      </c>
      <c r="AU57" s="62" t="s">
        <v>1482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13:57">
      <c r="M58" s="62" t="s">
        <v>1906</v>
      </c>
      <c r="N58" s="61">
        <f>VLOOKUP(ListExtras[[#This Row],[List Name]],ResourceList[[ListDisplayName]:[No]],2,0)</f>
        <v>2123132</v>
      </c>
      <c r="O58" s="60"/>
      <c r="P58" s="62" t="s">
        <v>1650</v>
      </c>
      <c r="Q58" s="60"/>
      <c r="R58" s="60"/>
      <c r="S58" s="60"/>
      <c r="T58" s="61" t="str">
        <f>'Table Seed Map'!$A$25&amp;"-"&amp;COUNT($W$1:ListExtras[[#This Row],[Scope ID]])</f>
        <v>List Scopes-13</v>
      </c>
      <c r="U58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8" s="68">
        <f>IF(ListExtras[[#This Row],[LID]]=0,"resource_list",ListExtras[[#This Row],[LID]])</f>
        <v>2123132</v>
      </c>
      <c r="W58" s="68" t="str">
        <f>IFERROR(VLOOKUP(ListExtras[[#This Row],[Scope Name]],ResourceScopes[[ScopesDisplayNames]:[No]],2,0),IF(ListExtras[[#This Row],[LID]]=0,"scope",""))</f>
        <v/>
      </c>
      <c r="X58" s="61" t="str">
        <f>'Table Seed Map'!$A$26&amp;"-"&amp;COUNT($AA$1:ListExtras[[#This Row],[Relation]])</f>
        <v>List Relation-52</v>
      </c>
      <c r="Y58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2125152</v>
      </c>
      <c r="Z58" s="68">
        <f>IF(ListExtras[[#This Row],[LID]]=0,"resource_list",ListExtras[[#This Row],[LID]])</f>
        <v>2123132</v>
      </c>
      <c r="AA58" s="68">
        <f>IFERROR(VLOOKUP(ListExtras[[#This Row],[Relation Name]],RelationTable[[Display]:[RELID]],2,0),IF(ListExtras[[#This Row],[LID]]=0,"relation",""))</f>
        <v>2109159</v>
      </c>
      <c r="AB58" s="68" t="str">
        <f>IFERROR(VLOOKUP(ListExtras[[#This Row],[R1 Name]],RelationTable[[Display]:[RELID]],2,0),IF(ListExtras[[#This Row],[LID]]=0,"nest_relation1",""))</f>
        <v/>
      </c>
      <c r="AC58" s="68" t="str">
        <f>IFERROR(VLOOKUP(ListExtras[[#This Row],[R2 Name]],RelationTable[[Display]:[RELID]],2,0),IF(ListExtras[[#This Row],[LID]]=0,"nest_relation2",""))</f>
        <v/>
      </c>
      <c r="AD58" s="68" t="str">
        <f>IFERROR(VLOOKUP(ListExtras[[#This Row],[R3 Name]],RelationTable[[Display]:[RELID]],2,0),IF(ListExtras[[#This Row],[LID]]=0,"nest_relation3",""))</f>
        <v/>
      </c>
      <c r="AT58" s="69" t="str">
        <f>'Table Seed Map'!$A$27&amp;"-"&amp;COUNTA($AV$1:ListLayout[[#This Row],[No]])-2</f>
        <v>List Layout-56</v>
      </c>
      <c r="AU58" s="62" t="s">
        <v>1482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875</v>
      </c>
      <c r="AY58" s="107" t="s">
        <v>875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13:57">
      <c r="M59" s="62" t="s">
        <v>1906</v>
      </c>
      <c r="N59" s="63">
        <f>VLOOKUP(ListExtras[[#This Row],[List Name]],ResourceList[[ListDisplayName]:[No]],2,0)</f>
        <v>2123132</v>
      </c>
      <c r="O59" s="62"/>
      <c r="P59" s="62" t="s">
        <v>1651</v>
      </c>
      <c r="Q59" s="62"/>
      <c r="R59" s="62"/>
      <c r="S59" s="62"/>
      <c r="T59" s="63" t="str">
        <f>'Table Seed Map'!$A$25&amp;"-"&amp;COUNT($W$1:ListExtras[[#This Row],[Scope ID]])</f>
        <v>List Scopes-13</v>
      </c>
      <c r="U5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9" s="69">
        <f>IF(ListExtras[[#This Row],[LID]]=0,"resource_list",ListExtras[[#This Row],[LID]])</f>
        <v>2123132</v>
      </c>
      <c r="W59" s="69" t="str">
        <f>IFERROR(VLOOKUP(ListExtras[[#This Row],[Scope Name]],ResourceScopes[[ScopesDisplayNames]:[No]],2,0),IF(ListExtras[[#This Row],[LID]]=0,"scope",""))</f>
        <v/>
      </c>
      <c r="X59" s="63" t="str">
        <f>'Table Seed Map'!$A$26&amp;"-"&amp;COUNT($AA$1:ListExtras[[#This Row],[Relation]])</f>
        <v>List Relation-53</v>
      </c>
      <c r="Y5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2125153</v>
      </c>
      <c r="Z59" s="69">
        <f>IF(ListExtras[[#This Row],[LID]]=0,"resource_list",ListExtras[[#This Row],[LID]])</f>
        <v>2123132</v>
      </c>
      <c r="AA59" s="69">
        <f>IFERROR(VLOOKUP(ListExtras[[#This Row],[Relation Name]],RelationTable[[Display]:[RELID]],2,0),IF(ListExtras[[#This Row],[LID]]=0,"relation",""))</f>
        <v>2109189</v>
      </c>
      <c r="AB59" s="69" t="str">
        <f>IFERROR(VLOOKUP(ListExtras[[#This Row],[R1 Name]],RelationTable[[Display]:[RELID]],2,0),IF(ListExtras[[#This Row],[LID]]=0,"nest_relation1",""))</f>
        <v/>
      </c>
      <c r="AC59" s="69" t="str">
        <f>IFERROR(VLOOKUP(ListExtras[[#This Row],[R2 Name]],RelationTable[[Display]:[RELID]],2,0),IF(ListExtras[[#This Row],[LID]]=0,"nest_relation2",""))</f>
        <v/>
      </c>
      <c r="AD59" s="69" t="str">
        <f>IFERROR(VLOOKUP(ListExtras[[#This Row],[R3 Name]],RelationTable[[Display]:[RELID]],2,0),IF(ListExtras[[#This Row],[LID]]=0,"nest_relation3",""))</f>
        <v/>
      </c>
      <c r="AT59" s="69" t="str">
        <f>'Table Seed Map'!$A$27&amp;"-"&amp;COUNTA($AV$1:ListLayout[[#This Row],[No]])-2</f>
        <v>List Layout-57</v>
      </c>
      <c r="AU59" s="62" t="s">
        <v>1482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1483</v>
      </c>
      <c r="BD59" s="107" t="s">
        <v>1480</v>
      </c>
      <c r="BE59" s="107"/>
    </row>
    <row r="60" spans="13:57">
      <c r="M60" s="62" t="s">
        <v>1917</v>
      </c>
      <c r="N60" s="63">
        <f>VLOOKUP(ListExtras[[#This Row],[List Name]],ResourceList[[ListDisplayName]:[No]],2,0)</f>
        <v>2123133</v>
      </c>
      <c r="O60" s="62" t="s">
        <v>1918</v>
      </c>
      <c r="P60" s="62" t="s">
        <v>1662</v>
      </c>
      <c r="Q60" s="62"/>
      <c r="R60" s="62"/>
      <c r="S60" s="62"/>
      <c r="T60" s="63" t="str">
        <f>'Table Seed Map'!$A$25&amp;"-"&amp;COUNT($W$1:ListExtras[[#This Row],[Scope ID]])</f>
        <v>List Scopes-14</v>
      </c>
      <c r="U6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2124114</v>
      </c>
      <c r="V60" s="69">
        <f>IF(ListExtras[[#This Row],[LID]]=0,"resource_list",ListExtras[[#This Row],[LID]])</f>
        <v>2123133</v>
      </c>
      <c r="W60" s="69">
        <f>IFERROR(VLOOKUP(ListExtras[[#This Row],[Scope Name]],ResourceScopes[[ScopesDisplayNames]:[No]],2,0),IF(ListExtras[[#This Row],[LID]]=0,"scope",""))</f>
        <v>2108117</v>
      </c>
      <c r="X60" s="63" t="str">
        <f>'Table Seed Map'!$A$26&amp;"-"&amp;COUNT($AA$1:ListExtras[[#This Row],[Relation]])</f>
        <v>List Relation-54</v>
      </c>
      <c r="Y6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2125154</v>
      </c>
      <c r="Z60" s="69">
        <f>IF(ListExtras[[#This Row],[LID]]=0,"resource_list",ListExtras[[#This Row],[LID]])</f>
        <v>2123133</v>
      </c>
      <c r="AA60" s="69">
        <f>IFERROR(VLOOKUP(ListExtras[[#This Row],[Relation Name]],RelationTable[[Display]:[RELID]],2,0),IF(ListExtras[[#This Row],[LID]]=0,"relation",""))</f>
        <v>2109168</v>
      </c>
      <c r="AB60" s="69" t="str">
        <f>IFERROR(VLOOKUP(ListExtras[[#This Row],[R1 Name]],RelationTable[[Display]:[RELID]],2,0),IF(ListExtras[[#This Row],[LID]]=0,"nest_relation1",""))</f>
        <v/>
      </c>
      <c r="AC60" s="69" t="str">
        <f>IFERROR(VLOOKUP(ListExtras[[#This Row],[R2 Name]],RelationTable[[Display]:[RELID]],2,0),IF(ListExtras[[#This Row],[LID]]=0,"nest_relation2",""))</f>
        <v/>
      </c>
      <c r="AD60" s="69" t="str">
        <f>IFERROR(VLOOKUP(ListExtras[[#This Row],[R3 Name]],RelationTable[[Display]:[RELID]],2,0),IF(ListExtras[[#This Row],[LID]]=0,"nest_relation3",""))</f>
        <v/>
      </c>
      <c r="AT60" s="69" t="str">
        <f>'Table Seed Map'!$A$27&amp;"-"&amp;COUNTA($AV$1:ListLayout[[#This Row],[No]])-2</f>
        <v>List Layout-58</v>
      </c>
      <c r="AU60" s="62" t="s">
        <v>1482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1484</v>
      </c>
      <c r="AY60" s="107" t="s">
        <v>886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1483</v>
      </c>
      <c r="BD60" s="107"/>
      <c r="BE60" s="107"/>
    </row>
    <row r="61" spans="13:57">
      <c r="M61" s="62" t="s">
        <v>1926</v>
      </c>
      <c r="N61" s="63">
        <f>VLOOKUP(ListExtras[[#This Row],[List Name]],ResourceList[[ListDisplayName]:[No]],2,0)</f>
        <v>2123134</v>
      </c>
      <c r="O61" s="60" t="s">
        <v>1927</v>
      </c>
      <c r="P61" s="62" t="s">
        <v>1662</v>
      </c>
      <c r="Q61" s="62"/>
      <c r="R61" s="62"/>
      <c r="S61" s="62"/>
      <c r="T61" s="63" t="str">
        <f>'Table Seed Map'!$A$25&amp;"-"&amp;COUNT($W$1:ListExtras[[#This Row],[Scope ID]])</f>
        <v>List Scopes-15</v>
      </c>
      <c r="U6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2124115</v>
      </c>
      <c r="V61" s="69">
        <f>IF(ListExtras[[#This Row],[LID]]=0,"resource_list",ListExtras[[#This Row],[LID]])</f>
        <v>2123134</v>
      </c>
      <c r="W61" s="69">
        <f>IFERROR(VLOOKUP(ListExtras[[#This Row],[Scope Name]],ResourceScopes[[ScopesDisplayNames]:[No]],2,0),IF(ListExtras[[#This Row],[LID]]=0,"scope",""))</f>
        <v>2108118</v>
      </c>
      <c r="X61" s="63" t="str">
        <f>'Table Seed Map'!$A$26&amp;"-"&amp;COUNT($AA$1:ListExtras[[#This Row],[Relation]])</f>
        <v>List Relation-55</v>
      </c>
      <c r="Y6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2125155</v>
      </c>
      <c r="Z61" s="69">
        <f>IF(ListExtras[[#This Row],[LID]]=0,"resource_list",ListExtras[[#This Row],[LID]])</f>
        <v>2123134</v>
      </c>
      <c r="AA61" s="69">
        <f>IFERROR(VLOOKUP(ListExtras[[#This Row],[Relation Name]],RelationTable[[Display]:[RELID]],2,0),IF(ListExtras[[#This Row],[LID]]=0,"relation",""))</f>
        <v>2109168</v>
      </c>
      <c r="AB61" s="69" t="str">
        <f>IFERROR(VLOOKUP(ListExtras[[#This Row],[R1 Name]],RelationTable[[Display]:[RELID]],2,0),IF(ListExtras[[#This Row],[LID]]=0,"nest_relation1",""))</f>
        <v/>
      </c>
      <c r="AC61" s="69" t="str">
        <f>IFERROR(VLOOKUP(ListExtras[[#This Row],[R2 Name]],RelationTable[[Display]:[RELID]],2,0),IF(ListExtras[[#This Row],[LID]]=0,"nest_relation2",""))</f>
        <v/>
      </c>
      <c r="AD61" s="69" t="str">
        <f>IFERROR(VLOOKUP(ListExtras[[#This Row],[R3 Name]],RelationTable[[Display]:[RELID]],2,0),IF(ListExtras[[#This Row],[LID]]=0,"nest_relation3",""))</f>
        <v/>
      </c>
      <c r="AT61" s="69" t="str">
        <f>'Table Seed Map'!$A$27&amp;"-"&amp;COUNTA($AV$1:ListLayout[[#This Row],[No]])-2</f>
        <v>List Layout-59</v>
      </c>
      <c r="AU61" s="62" t="s">
        <v>1485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13:57">
      <c r="M62" s="2" t="s">
        <v>1968</v>
      </c>
      <c r="N62" s="63">
        <f>VLOOKUP(ListExtras[[#This Row],[List Name]],ResourceList[[ListDisplayName]:[No]],2,0)</f>
        <v>2123135</v>
      </c>
      <c r="O62" s="60" t="s">
        <v>1945</v>
      </c>
      <c r="P62" s="62" t="s">
        <v>1949</v>
      </c>
      <c r="Q62" s="62"/>
      <c r="R62" s="62"/>
      <c r="S62" s="62"/>
      <c r="T62" s="63" t="str">
        <f>'Table Seed Map'!$A$25&amp;"-"&amp;COUNT($W$1:ListExtras[[#This Row],[Scope ID]])</f>
        <v>List Scopes-16</v>
      </c>
      <c r="U6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2124116</v>
      </c>
      <c r="V62" s="69">
        <f>IF(ListExtras[[#This Row],[LID]]=0,"resource_list",ListExtras[[#This Row],[LID]])</f>
        <v>2123135</v>
      </c>
      <c r="W62" s="69">
        <f>IFERROR(VLOOKUP(ListExtras[[#This Row],[Scope Name]],ResourceScopes[[ScopesDisplayNames]:[No]],2,0),IF(ListExtras[[#This Row],[LID]]=0,"scope",""))</f>
        <v>2108119</v>
      </c>
      <c r="X62" s="63" t="str">
        <f>'Table Seed Map'!$A$26&amp;"-"&amp;COUNT($AA$1:ListExtras[[#This Row],[Relation]])</f>
        <v>List Relation-56</v>
      </c>
      <c r="Y6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2125156</v>
      </c>
      <c r="Z62" s="69">
        <f>IF(ListExtras[[#This Row],[LID]]=0,"resource_list",ListExtras[[#This Row],[LID]])</f>
        <v>2123135</v>
      </c>
      <c r="AA62" s="69">
        <f>IFERROR(VLOOKUP(ListExtras[[#This Row],[Relation Name]],RelationTable[[Display]:[RELID]],2,0),IF(ListExtras[[#This Row],[LID]]=0,"relation",""))</f>
        <v>2109190</v>
      </c>
      <c r="AB62" s="69" t="str">
        <f>IFERROR(VLOOKUP(ListExtras[[#This Row],[R1 Name]],RelationTable[[Display]:[RELID]],2,0),IF(ListExtras[[#This Row],[LID]]=0,"nest_relation1",""))</f>
        <v/>
      </c>
      <c r="AC62" s="69" t="str">
        <f>IFERROR(VLOOKUP(ListExtras[[#This Row],[R2 Name]],RelationTable[[Display]:[RELID]],2,0),IF(ListExtras[[#This Row],[LID]]=0,"nest_relation2",""))</f>
        <v/>
      </c>
      <c r="AD62" s="69" t="str">
        <f>IFERROR(VLOOKUP(ListExtras[[#This Row],[R3 Name]],RelationTable[[Display]:[RELID]],2,0),IF(ListExtras[[#This Row],[LID]]=0,"nest_relation3",""))</f>
        <v/>
      </c>
      <c r="AT62" s="69" t="str">
        <f>'Table Seed Map'!$A$27&amp;"-"&amp;COUNTA($AV$1:ListLayout[[#This Row],[No]])-2</f>
        <v>List Layout-60</v>
      </c>
      <c r="AU62" s="62" t="s">
        <v>1485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1337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13:57">
      <c r="M63" s="2" t="s">
        <v>1969</v>
      </c>
      <c r="N63" s="63">
        <f>VLOOKUP(ListExtras[[#This Row],[List Name]],ResourceList[[ListDisplayName]:[No]],2,0)</f>
        <v>2123136</v>
      </c>
      <c r="O63" s="60" t="s">
        <v>1946</v>
      </c>
      <c r="P63" s="62" t="s">
        <v>1662</v>
      </c>
      <c r="Q63" s="62"/>
      <c r="R63" s="62"/>
      <c r="S63" s="62"/>
      <c r="T63" s="63" t="str">
        <f>'Table Seed Map'!$A$25&amp;"-"&amp;COUNT($W$1:ListExtras[[#This Row],[Scope ID]])</f>
        <v>List Scopes-17</v>
      </c>
      <c r="U6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2124117</v>
      </c>
      <c r="V63" s="69">
        <f>IF(ListExtras[[#This Row],[LID]]=0,"resource_list",ListExtras[[#This Row],[LID]])</f>
        <v>2123136</v>
      </c>
      <c r="W63" s="69">
        <f>IFERROR(VLOOKUP(ListExtras[[#This Row],[Scope Name]],ResourceScopes[[ScopesDisplayNames]:[No]],2,0),IF(ListExtras[[#This Row],[LID]]=0,"scope",""))</f>
        <v>2108120</v>
      </c>
      <c r="X63" s="63" t="str">
        <f>'Table Seed Map'!$A$26&amp;"-"&amp;COUNT($AA$1:ListExtras[[#This Row],[Relation]])</f>
        <v>List Relation-57</v>
      </c>
      <c r="Y6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2125157</v>
      </c>
      <c r="Z63" s="69">
        <f>IF(ListExtras[[#This Row],[LID]]=0,"resource_list",ListExtras[[#This Row],[LID]])</f>
        <v>2123136</v>
      </c>
      <c r="AA63" s="69">
        <f>IFERROR(VLOOKUP(ListExtras[[#This Row],[Relation Name]],RelationTable[[Display]:[RELID]],2,0),IF(ListExtras[[#This Row],[LID]]=0,"relation",""))</f>
        <v>2109168</v>
      </c>
      <c r="AB63" s="69" t="str">
        <f>IFERROR(VLOOKUP(ListExtras[[#This Row],[R1 Name]],RelationTable[[Display]:[RELID]],2,0),IF(ListExtras[[#This Row],[LID]]=0,"nest_relation1",""))</f>
        <v/>
      </c>
      <c r="AC63" s="69" t="str">
        <f>IFERROR(VLOOKUP(ListExtras[[#This Row],[R2 Name]],RelationTable[[Display]:[RELID]],2,0),IF(ListExtras[[#This Row],[LID]]=0,"nest_relation2",""))</f>
        <v/>
      </c>
      <c r="AD63" s="69" t="str">
        <f>IFERROR(VLOOKUP(ListExtras[[#This Row],[R3 Name]],RelationTable[[Display]:[RELID]],2,0),IF(ListExtras[[#This Row],[LID]]=0,"nest_relation3",""))</f>
        <v/>
      </c>
      <c r="AT63" s="69" t="str">
        <f>'Table Seed Map'!$A$27&amp;"-"&amp;COUNTA($AV$1:ListLayout[[#This Row],[No]])-2</f>
        <v>List Layout-61</v>
      </c>
      <c r="AU63" s="62" t="s">
        <v>1485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1486</v>
      </c>
      <c r="BD63" s="107"/>
      <c r="BE63" s="107"/>
    </row>
    <row r="64" spans="13:57">
      <c r="M64" s="2" t="s">
        <v>1970</v>
      </c>
      <c r="N64" s="63">
        <f>VLOOKUP(ListExtras[[#This Row],[List Name]],ResourceList[[ListDisplayName]:[No]],2,0)</f>
        <v>2123137</v>
      </c>
      <c r="O64" s="60" t="s">
        <v>1948</v>
      </c>
      <c r="P64" s="62" t="s">
        <v>1662</v>
      </c>
      <c r="Q64" s="62"/>
      <c r="R64" s="62"/>
      <c r="S64" s="62"/>
      <c r="T64" s="63" t="str">
        <f>'Table Seed Map'!$A$25&amp;"-"&amp;COUNT($W$1:ListExtras[[#This Row],[Scope ID]])</f>
        <v>List Scopes-18</v>
      </c>
      <c r="U6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2124118</v>
      </c>
      <c r="V64" s="69">
        <f>IF(ListExtras[[#This Row],[LID]]=0,"resource_list",ListExtras[[#This Row],[LID]])</f>
        <v>2123137</v>
      </c>
      <c r="W64" s="69">
        <f>IFERROR(VLOOKUP(ListExtras[[#This Row],[Scope Name]],ResourceScopes[[ScopesDisplayNames]:[No]],2,0),IF(ListExtras[[#This Row],[LID]]=0,"scope",""))</f>
        <v>2108121</v>
      </c>
      <c r="X64" s="63" t="str">
        <f>'Table Seed Map'!$A$26&amp;"-"&amp;COUNT($AA$1:ListExtras[[#This Row],[Relation]])</f>
        <v>List Relation-58</v>
      </c>
      <c r="Y6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2125158</v>
      </c>
      <c r="Z64" s="69">
        <f>IF(ListExtras[[#This Row],[LID]]=0,"resource_list",ListExtras[[#This Row],[LID]])</f>
        <v>2123137</v>
      </c>
      <c r="AA64" s="69">
        <f>IFERROR(VLOOKUP(ListExtras[[#This Row],[Relation Name]],RelationTable[[Display]:[RELID]],2,0),IF(ListExtras[[#This Row],[LID]]=0,"relation",""))</f>
        <v>2109168</v>
      </c>
      <c r="AB64" s="69" t="str">
        <f>IFERROR(VLOOKUP(ListExtras[[#This Row],[R1 Name]],RelationTable[[Display]:[RELID]],2,0),IF(ListExtras[[#This Row],[LID]]=0,"nest_relation1",""))</f>
        <v/>
      </c>
      <c r="AC64" s="69" t="str">
        <f>IFERROR(VLOOKUP(ListExtras[[#This Row],[R2 Name]],RelationTable[[Display]:[RELID]],2,0),IF(ListExtras[[#This Row],[LID]]=0,"nest_relation2",""))</f>
        <v/>
      </c>
      <c r="AD64" s="69" t="str">
        <f>IFERROR(VLOOKUP(ListExtras[[#This Row],[R3 Name]],RelationTable[[Display]:[RELID]],2,0),IF(ListExtras[[#This Row],[LID]]=0,"nest_relation3",""))</f>
        <v/>
      </c>
      <c r="AT64" s="69" t="str">
        <f>'Table Seed Map'!$A$27&amp;"-"&amp;COUNTA($AV$1:ListLayout[[#This Row],[No]])-2</f>
        <v>List Layout-62</v>
      </c>
      <c r="AU64" s="62" t="s">
        <v>1485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787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2109171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1492</v>
      </c>
      <c r="BD64" s="107"/>
      <c r="BE64" s="107"/>
    </row>
    <row r="65" spans="2:57">
      <c r="M65" s="2" t="s">
        <v>1971</v>
      </c>
      <c r="N65" s="9">
        <f>VLOOKUP(ListExtras[[#This Row],[List Name]],ResourceList[[ListDisplayName]:[No]],2,0)</f>
        <v>2123138</v>
      </c>
      <c r="O65" s="60" t="s">
        <v>1927</v>
      </c>
      <c r="P65" s="62" t="s">
        <v>1949</v>
      </c>
      <c r="Q65" s="2"/>
      <c r="R65" s="2"/>
      <c r="S65" s="2"/>
      <c r="T65" s="9" t="str">
        <f>'Table Seed Map'!$A$25&amp;"-"&amp;COUNT($W$1:ListExtras[[#This Row],[Scope ID]])</f>
        <v>List Scopes-19</v>
      </c>
      <c r="U65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2124119</v>
      </c>
      <c r="V65" s="16">
        <f>IF(ListExtras[[#This Row],[LID]]=0,"resource_list",ListExtras[[#This Row],[LID]])</f>
        <v>2123138</v>
      </c>
      <c r="W65" s="16">
        <f>IFERROR(VLOOKUP(ListExtras[[#This Row],[Scope Name]],ResourceScopes[[ScopesDisplayNames]:[No]],2,0),IF(ListExtras[[#This Row],[LID]]=0,"scope",""))</f>
        <v>2108118</v>
      </c>
      <c r="X65" s="9" t="str">
        <f>'Table Seed Map'!$A$26&amp;"-"&amp;COUNT($AA$1:ListExtras[[#This Row],[Relation]])</f>
        <v>List Relation-59</v>
      </c>
      <c r="Y65" s="16">
        <f>IF(ListExtras[[#This Row],[LID]]=0,"id",IF(ListExtras[[#This Row],[Relation]]="","",COUNT($AA$2:ListExtras[[#This Row],[Relation]])+IF(ISNUMBER(VLOOKUP('Table Seed Map'!$A$26,SeedMap[],9,0)),VLOOKUP('Table Seed Map'!$A$26,SeedMap[],9,0),0)))</f>
        <v>2125159</v>
      </c>
      <c r="Z65" s="16">
        <f>IF(ListExtras[[#This Row],[LID]]=0,"resource_list",ListExtras[[#This Row],[LID]])</f>
        <v>2123138</v>
      </c>
      <c r="AA65" s="16">
        <f>IFERROR(VLOOKUP(ListExtras[[#This Row],[Relation Name]],RelationTable[[Display]:[RELID]],2,0),IF(ListExtras[[#This Row],[LID]]=0,"relation",""))</f>
        <v>2109190</v>
      </c>
      <c r="AB65" s="16" t="str">
        <f>IFERROR(VLOOKUP(ListExtras[[#This Row],[R1 Name]],RelationTable[[Display]:[RELID]],2,0),IF(ListExtras[[#This Row],[LID]]=0,"nest_relation1",""))</f>
        <v/>
      </c>
      <c r="AC65" s="16" t="str">
        <f>IFERROR(VLOOKUP(ListExtras[[#This Row],[R2 Name]],RelationTable[[Display]:[RELID]],2,0),IF(ListExtras[[#This Row],[LID]]=0,"nest_relation2",""))</f>
        <v/>
      </c>
      <c r="AD65" s="16" t="str">
        <f>IFERROR(VLOOKUP(ListExtras[[#This Row],[R3 Name]],RelationTable[[Display]:[RELID]],2,0),IF(ListExtras[[#This Row],[LID]]=0,"nest_relation3",""))</f>
        <v/>
      </c>
      <c r="AT65" s="69" t="str">
        <f>'Table Seed Map'!$A$27&amp;"-"&amp;COUNTA($AV$1:ListLayout[[#This Row],[No]])-2</f>
        <v>List Layout-63</v>
      </c>
      <c r="AU65" s="62" t="s">
        <v>1487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2:57">
      <c r="M66" s="2" t="s">
        <v>1971</v>
      </c>
      <c r="N66" s="9">
        <f>VLOOKUP(ListExtras[[#This Row],[List Name]],ResourceList[[ListDisplayName]:[No]],2,0)</f>
        <v>2123138</v>
      </c>
      <c r="O66" s="60" t="s">
        <v>1945</v>
      </c>
      <c r="P66" s="2"/>
      <c r="Q66" s="2"/>
      <c r="R66" s="2"/>
      <c r="S66" s="2"/>
      <c r="T66" s="9" t="str">
        <f>'Table Seed Map'!$A$25&amp;"-"&amp;COUNT($W$1:ListExtras[[#This Row],[Scope ID]])</f>
        <v>List Scopes-20</v>
      </c>
      <c r="U66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2124120</v>
      </c>
      <c r="V66" s="16">
        <f>IF(ListExtras[[#This Row],[LID]]=0,"resource_list",ListExtras[[#This Row],[LID]])</f>
        <v>2123138</v>
      </c>
      <c r="W66" s="16">
        <f>IFERROR(VLOOKUP(ListExtras[[#This Row],[Scope Name]],ResourceScopes[[ScopesDisplayNames]:[No]],2,0),IF(ListExtras[[#This Row],[LID]]=0,"scope",""))</f>
        <v>2108119</v>
      </c>
      <c r="X66" s="9" t="str">
        <f>'Table Seed Map'!$A$26&amp;"-"&amp;COUNT($AA$1:ListExtras[[#This Row],[Relation]])</f>
        <v>List Relation-59</v>
      </c>
      <c r="Y66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6" s="16">
        <f>IF(ListExtras[[#This Row],[LID]]=0,"resource_list",ListExtras[[#This Row],[LID]])</f>
        <v>2123138</v>
      </c>
      <c r="AA66" s="16" t="str">
        <f>IFERROR(VLOOKUP(ListExtras[[#This Row],[Relation Name]],RelationTable[[Display]:[RELID]],2,0),IF(ListExtras[[#This Row],[LID]]=0,"relation",""))</f>
        <v/>
      </c>
      <c r="AB66" s="16" t="str">
        <f>IFERROR(VLOOKUP(ListExtras[[#This Row],[R1 Name]],RelationTable[[Display]:[RELID]],2,0),IF(ListExtras[[#This Row],[LID]]=0,"nest_relation1",""))</f>
        <v/>
      </c>
      <c r="AC66" s="16" t="str">
        <f>IFERROR(VLOOKUP(ListExtras[[#This Row],[R2 Name]],RelationTable[[Display]:[RELID]],2,0),IF(ListExtras[[#This Row],[LID]]=0,"nest_relation2",""))</f>
        <v/>
      </c>
      <c r="AD66" s="16" t="str">
        <f>IFERROR(VLOOKUP(ListExtras[[#This Row],[R3 Name]],RelationTable[[Display]:[RELID]],2,0),IF(ListExtras[[#This Row],[LID]]=0,"nest_relation3",""))</f>
        <v/>
      </c>
      <c r="AT66" s="69" t="str">
        <f>'Table Seed Map'!$A$27&amp;"-"&amp;COUNTA($AV$1:ListLayout[[#This Row],[No]])-2</f>
        <v>List Layout-64</v>
      </c>
      <c r="AU66" s="62" t="s">
        <v>1487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1337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2:57">
      <c r="M67" s="2" t="s">
        <v>1972</v>
      </c>
      <c r="N67" s="9">
        <f>VLOOKUP(ListExtras[[#This Row],[List Name]],ResourceList[[ListDisplayName]:[No]],2,0)</f>
        <v>2123139</v>
      </c>
      <c r="O67" s="60" t="s">
        <v>1927</v>
      </c>
      <c r="P67" s="2"/>
      <c r="Q67" s="2"/>
      <c r="R67" s="2"/>
      <c r="S67" s="2"/>
      <c r="T67" s="9" t="str">
        <f>'Table Seed Map'!$A$25&amp;"-"&amp;COUNT($W$1:ListExtras[[#This Row],[Scope ID]])</f>
        <v>List Scopes-21</v>
      </c>
      <c r="U67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2124121</v>
      </c>
      <c r="V67" s="16">
        <f>IF(ListExtras[[#This Row],[LID]]=0,"resource_list",ListExtras[[#This Row],[LID]])</f>
        <v>2123139</v>
      </c>
      <c r="W67" s="16">
        <f>IFERROR(VLOOKUP(ListExtras[[#This Row],[Scope Name]],ResourceScopes[[ScopesDisplayNames]:[No]],2,0),IF(ListExtras[[#This Row],[LID]]=0,"scope",""))</f>
        <v>2108118</v>
      </c>
      <c r="X67" s="9" t="str">
        <f>'Table Seed Map'!$A$26&amp;"-"&amp;COUNT($AA$1:ListExtras[[#This Row],[Relation]])</f>
        <v>List Relation-59</v>
      </c>
      <c r="Y67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7" s="16">
        <f>IF(ListExtras[[#This Row],[LID]]=0,"resource_list",ListExtras[[#This Row],[LID]])</f>
        <v>2123139</v>
      </c>
      <c r="AA67" s="16" t="str">
        <f>IFERROR(VLOOKUP(ListExtras[[#This Row],[Relation Name]],RelationTable[[Display]:[RELID]],2,0),IF(ListExtras[[#This Row],[LID]]=0,"relation",""))</f>
        <v/>
      </c>
      <c r="AB67" s="16" t="str">
        <f>IFERROR(VLOOKUP(ListExtras[[#This Row],[R1 Name]],RelationTable[[Display]:[RELID]],2,0),IF(ListExtras[[#This Row],[LID]]=0,"nest_relation1",""))</f>
        <v/>
      </c>
      <c r="AC67" s="16" t="str">
        <f>IFERROR(VLOOKUP(ListExtras[[#This Row],[R2 Name]],RelationTable[[Display]:[RELID]],2,0),IF(ListExtras[[#This Row],[LID]]=0,"nest_relation2",""))</f>
        <v/>
      </c>
      <c r="AD67" s="16" t="str">
        <f>IFERROR(VLOOKUP(ListExtras[[#This Row],[R3 Name]],RelationTable[[Display]:[RELID]],2,0),IF(ListExtras[[#This Row],[LID]]=0,"nest_relation3",""))</f>
        <v/>
      </c>
      <c r="AT67" s="69" t="str">
        <f>'Table Seed Map'!$A$27&amp;"-"&amp;COUNTA($AV$1:ListLayout[[#This Row],[No]])-2</f>
        <v>List Layout-65</v>
      </c>
      <c r="AU67" s="62" t="s">
        <v>1487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1488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1490</v>
      </c>
      <c r="BD67" s="107"/>
      <c r="BE67" s="107"/>
    </row>
    <row r="68" spans="2:57">
      <c r="M68" s="2" t="s">
        <v>1972</v>
      </c>
      <c r="N68" s="9">
        <f>VLOOKUP(ListExtras[[#This Row],[List Name]],ResourceList[[ListDisplayName]:[No]],2,0)</f>
        <v>2123139</v>
      </c>
      <c r="O68" s="60" t="s">
        <v>1946</v>
      </c>
      <c r="P68" s="2"/>
      <c r="Q68" s="2"/>
      <c r="R68" s="2"/>
      <c r="S68" s="2"/>
      <c r="T68" s="9" t="str">
        <f>'Table Seed Map'!$A$25&amp;"-"&amp;COUNT($W$1:ListExtras[[#This Row],[Scope ID]])</f>
        <v>List Scopes-22</v>
      </c>
      <c r="U68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2124122</v>
      </c>
      <c r="V68" s="16">
        <f>IF(ListExtras[[#This Row],[LID]]=0,"resource_list",ListExtras[[#This Row],[LID]])</f>
        <v>2123139</v>
      </c>
      <c r="W68" s="16">
        <f>IFERROR(VLOOKUP(ListExtras[[#This Row],[Scope Name]],ResourceScopes[[ScopesDisplayNames]:[No]],2,0),IF(ListExtras[[#This Row],[LID]]=0,"scope",""))</f>
        <v>2108120</v>
      </c>
      <c r="X68" s="9" t="str">
        <f>'Table Seed Map'!$A$26&amp;"-"&amp;COUNT($AA$1:ListExtras[[#This Row],[Relation]])</f>
        <v>List Relation-59</v>
      </c>
      <c r="Y68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8" s="16">
        <f>IF(ListExtras[[#This Row],[LID]]=0,"resource_list",ListExtras[[#This Row],[LID]])</f>
        <v>2123139</v>
      </c>
      <c r="AA68" s="16" t="str">
        <f>IFERROR(VLOOKUP(ListExtras[[#This Row],[Relation Name]],RelationTable[[Display]:[RELID]],2,0),IF(ListExtras[[#This Row],[LID]]=0,"relation",""))</f>
        <v/>
      </c>
      <c r="AB68" s="16" t="str">
        <f>IFERROR(VLOOKUP(ListExtras[[#This Row],[R1 Name]],RelationTable[[Display]:[RELID]],2,0),IF(ListExtras[[#This Row],[LID]]=0,"nest_relation1",""))</f>
        <v/>
      </c>
      <c r="AC68" s="16" t="str">
        <f>IFERROR(VLOOKUP(ListExtras[[#This Row],[R2 Name]],RelationTable[[Display]:[RELID]],2,0),IF(ListExtras[[#This Row],[LID]]=0,"nest_relation2",""))</f>
        <v/>
      </c>
      <c r="AD68" s="16" t="str">
        <f>IFERROR(VLOOKUP(ListExtras[[#This Row],[R3 Name]],RelationTable[[Display]:[RELID]],2,0),IF(ListExtras[[#This Row],[LID]]=0,"nest_relation3",""))</f>
        <v/>
      </c>
      <c r="AT68" s="69" t="str">
        <f>'Table Seed Map'!$A$27&amp;"-"&amp;COUNTA($AV$1:ListLayout[[#This Row],[No]])-2</f>
        <v>List Layout-66</v>
      </c>
      <c r="AU68" s="62" t="s">
        <v>1487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1489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1491</v>
      </c>
      <c r="BD68" s="107"/>
      <c r="BE68" s="107"/>
    </row>
    <row r="69" spans="2:57">
      <c r="M69" s="2" t="s">
        <v>1957</v>
      </c>
      <c r="N69" s="9">
        <f>VLOOKUP(ListExtras[[#This Row],[List Name]],ResourceList[[ListDisplayName]:[No]],2,0)</f>
        <v>2123140</v>
      </c>
      <c r="O69" s="60" t="s">
        <v>1927</v>
      </c>
      <c r="P69" s="2"/>
      <c r="Q69" s="2"/>
      <c r="R69" s="2"/>
      <c r="S69" s="2"/>
      <c r="T69" s="9" t="str">
        <f>'Table Seed Map'!$A$25&amp;"-"&amp;COUNT($W$1:ListExtras[[#This Row],[Scope ID]])</f>
        <v>List Scopes-23</v>
      </c>
      <c r="U69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2124123</v>
      </c>
      <c r="V69" s="16">
        <f>IF(ListExtras[[#This Row],[LID]]=0,"resource_list",ListExtras[[#This Row],[LID]])</f>
        <v>2123140</v>
      </c>
      <c r="W69" s="16">
        <f>IFERROR(VLOOKUP(ListExtras[[#This Row],[Scope Name]],ResourceScopes[[ScopesDisplayNames]:[No]],2,0),IF(ListExtras[[#This Row],[LID]]=0,"scope",""))</f>
        <v>2108118</v>
      </c>
      <c r="X69" s="9" t="str">
        <f>'Table Seed Map'!$A$26&amp;"-"&amp;COUNT($AA$1:ListExtras[[#This Row],[Relation]])</f>
        <v>List Relation-59</v>
      </c>
      <c r="Y69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9" s="16">
        <f>IF(ListExtras[[#This Row],[LID]]=0,"resource_list",ListExtras[[#This Row],[LID]])</f>
        <v>2123140</v>
      </c>
      <c r="AA69" s="16" t="str">
        <f>IFERROR(VLOOKUP(ListExtras[[#This Row],[Relation Name]],RelationTable[[Display]:[RELID]],2,0),IF(ListExtras[[#This Row],[LID]]=0,"relation",""))</f>
        <v/>
      </c>
      <c r="AB69" s="16" t="str">
        <f>IFERROR(VLOOKUP(ListExtras[[#This Row],[R1 Name]],RelationTable[[Display]:[RELID]],2,0),IF(ListExtras[[#This Row],[LID]]=0,"nest_relation1",""))</f>
        <v/>
      </c>
      <c r="AC69" s="16" t="str">
        <f>IFERROR(VLOOKUP(ListExtras[[#This Row],[R2 Name]],RelationTable[[Display]:[RELID]],2,0),IF(ListExtras[[#This Row],[LID]]=0,"nest_relation2",""))</f>
        <v/>
      </c>
      <c r="AD69" s="16" t="str">
        <f>IFERROR(VLOOKUP(ListExtras[[#This Row],[R3 Name]],RelationTable[[Display]:[RELID]],2,0),IF(ListExtras[[#This Row],[LID]]=0,"nest_relation3",""))</f>
        <v/>
      </c>
      <c r="AT69" s="69" t="str">
        <f>'Table Seed Map'!$A$27&amp;"-"&amp;COUNTA($AV$1:ListLayout[[#This Row],[No]])-2</f>
        <v>List Layout-67</v>
      </c>
      <c r="AU69" s="62" t="s">
        <v>1608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905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1586</v>
      </c>
      <c r="BD69" s="107"/>
      <c r="BE69" s="107"/>
    </row>
    <row r="70" spans="2:57">
      <c r="M70" s="2" t="s">
        <v>1957</v>
      </c>
      <c r="N70" s="9">
        <f>VLOOKUP(ListExtras[[#This Row],[List Name]],ResourceList[[ListDisplayName]:[No]],2,0)</f>
        <v>2123140</v>
      </c>
      <c r="O70" s="60" t="s">
        <v>1948</v>
      </c>
      <c r="P70" s="2"/>
      <c r="Q70" s="2"/>
      <c r="R70" s="2"/>
      <c r="S70" s="2"/>
      <c r="T70" s="9" t="str">
        <f>'Table Seed Map'!$A$25&amp;"-"&amp;COUNT($W$1:ListExtras[[#This Row],[Scope ID]])</f>
        <v>List Scopes-24</v>
      </c>
      <c r="U70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2124124</v>
      </c>
      <c r="V70" s="16">
        <f>IF(ListExtras[[#This Row],[LID]]=0,"resource_list",ListExtras[[#This Row],[LID]])</f>
        <v>2123140</v>
      </c>
      <c r="W70" s="16">
        <f>IFERROR(VLOOKUP(ListExtras[[#This Row],[Scope Name]],ResourceScopes[[ScopesDisplayNames]:[No]],2,0),IF(ListExtras[[#This Row],[LID]]=0,"scope",""))</f>
        <v>2108121</v>
      </c>
      <c r="X70" s="9" t="str">
        <f>'Table Seed Map'!$A$26&amp;"-"&amp;COUNT($AA$1:ListExtras[[#This Row],[Relation]])</f>
        <v>List Relation-59</v>
      </c>
      <c r="Y70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0" s="16">
        <f>IF(ListExtras[[#This Row],[LID]]=0,"resource_list",ListExtras[[#This Row],[LID]])</f>
        <v>2123140</v>
      </c>
      <c r="AA70" s="16" t="str">
        <f>IFERROR(VLOOKUP(ListExtras[[#This Row],[Relation Name]],RelationTable[[Display]:[RELID]],2,0),IF(ListExtras[[#This Row],[LID]]=0,"relation",""))</f>
        <v/>
      </c>
      <c r="AB70" s="16" t="str">
        <f>IFERROR(VLOOKUP(ListExtras[[#This Row],[R1 Name]],RelationTable[[Display]:[RELID]],2,0),IF(ListExtras[[#This Row],[LID]]=0,"nest_relation1",""))</f>
        <v/>
      </c>
      <c r="AC70" s="16" t="str">
        <f>IFERROR(VLOOKUP(ListExtras[[#This Row],[R2 Name]],RelationTable[[Display]:[RELID]],2,0),IF(ListExtras[[#This Row],[LID]]=0,"nest_relation2",""))</f>
        <v/>
      </c>
      <c r="AD70" s="16" t="str">
        <f>IFERROR(VLOOKUP(ListExtras[[#This Row],[R3 Name]],RelationTable[[Display]:[RELID]],2,0),IF(ListExtras[[#This Row],[LID]]=0,"nest_relation3",""))</f>
        <v/>
      </c>
      <c r="AT70" s="69" t="str">
        <f>'Table Seed Map'!$A$27&amp;"-"&amp;COUNTA($AV$1:ListLayout[[#This Row],[No]])-2</f>
        <v>List Layout-68</v>
      </c>
      <c r="AU70" s="62" t="s">
        <v>1608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1591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1609</v>
      </c>
      <c r="BD70" s="107"/>
      <c r="BE70" s="107"/>
    </row>
    <row r="71" spans="2:57">
      <c r="M71" s="2" t="s">
        <v>2014</v>
      </c>
      <c r="N71" s="63">
        <f>VLOOKUP(ListExtras[[#This Row],[List Name]],ResourceList[[ListDisplayName]:[No]],2,0)</f>
        <v>2123141</v>
      </c>
      <c r="O71" s="60" t="s">
        <v>2015</v>
      </c>
      <c r="P71" s="62"/>
      <c r="Q71" s="62"/>
      <c r="R71" s="62"/>
      <c r="S71" s="62"/>
      <c r="T71" s="63" t="str">
        <f>'Table Seed Map'!$A$25&amp;"-"&amp;COUNT($W$1:ListExtras[[#This Row],[Scope ID]])</f>
        <v>List Scopes-25</v>
      </c>
      <c r="U7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2124125</v>
      </c>
      <c r="V71" s="69">
        <f>IF(ListExtras[[#This Row],[LID]]=0,"resource_list",ListExtras[[#This Row],[LID]])</f>
        <v>2123141</v>
      </c>
      <c r="W71" s="69">
        <f>IFERROR(VLOOKUP(ListExtras[[#This Row],[Scope Name]],ResourceScopes[[ScopesDisplayNames]:[No]],2,0),IF(ListExtras[[#This Row],[LID]]=0,"scope",""))</f>
        <v>2108122</v>
      </c>
      <c r="X71" s="63" t="str">
        <f>'Table Seed Map'!$A$26&amp;"-"&amp;COUNT($AA$1:ListExtras[[#This Row],[Relation]])</f>
        <v>List Relation-59</v>
      </c>
      <c r="Y71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1" s="69">
        <f>IF(ListExtras[[#This Row],[LID]]=0,"resource_list",ListExtras[[#This Row],[LID]])</f>
        <v>2123141</v>
      </c>
      <c r="AA71" s="69" t="str">
        <f>IFERROR(VLOOKUP(ListExtras[[#This Row],[Relation Name]],RelationTable[[Display]:[RELID]],2,0),IF(ListExtras[[#This Row],[LID]]=0,"relation",""))</f>
        <v/>
      </c>
      <c r="AB71" s="69" t="str">
        <f>IFERROR(VLOOKUP(ListExtras[[#This Row],[R1 Name]],RelationTable[[Display]:[RELID]],2,0),IF(ListExtras[[#This Row],[LID]]=0,"nest_relation1",""))</f>
        <v/>
      </c>
      <c r="AC71" s="69" t="str">
        <f>IFERROR(VLOOKUP(ListExtras[[#This Row],[R2 Name]],RelationTable[[Display]:[RELID]],2,0),IF(ListExtras[[#This Row],[LID]]=0,"nest_relation2",""))</f>
        <v/>
      </c>
      <c r="AD71" s="69" t="str">
        <f>IFERROR(VLOOKUP(ListExtras[[#This Row],[R3 Name]],RelationTable[[Display]:[RELID]],2,0),IF(ListExtras[[#This Row],[LID]]=0,"nest_relation3",""))</f>
        <v/>
      </c>
      <c r="AT71" s="69" t="str">
        <f>'Table Seed Map'!$A$27&amp;"-"&amp;COUNTA($AV$1:ListLayout[[#This Row],[No]])-2</f>
        <v>List Layout-69</v>
      </c>
      <c r="AU71" s="62" t="s">
        <v>1608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1049</v>
      </c>
      <c r="AY71" s="107" t="s">
        <v>851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2:57">
      <c r="M72" s="2" t="s">
        <v>2014</v>
      </c>
      <c r="N72" s="63">
        <f>VLOOKUP(ListExtras[[#This Row],[List Name]],ResourceList[[ListDisplayName]:[No]],2,0)</f>
        <v>2123141</v>
      </c>
      <c r="O72" s="62" t="s">
        <v>1898</v>
      </c>
      <c r="P72" s="62"/>
      <c r="Q72" s="62"/>
      <c r="R72" s="62"/>
      <c r="S72" s="62"/>
      <c r="T72" s="63" t="str">
        <f>'Table Seed Map'!$A$25&amp;"-"&amp;COUNT($W$1:ListExtras[[#This Row],[Scope ID]])</f>
        <v>List Scopes-26</v>
      </c>
      <c r="U7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2124126</v>
      </c>
      <c r="V72" s="69">
        <f>IF(ListExtras[[#This Row],[LID]]=0,"resource_list",ListExtras[[#This Row],[LID]])</f>
        <v>2123141</v>
      </c>
      <c r="W72" s="69">
        <f>IFERROR(VLOOKUP(ListExtras[[#This Row],[Scope Name]],ResourceScopes[[ScopesDisplayNames]:[No]],2,0),IF(ListExtras[[#This Row],[LID]]=0,"scope",""))</f>
        <v>2108115</v>
      </c>
      <c r="X72" s="63" t="str">
        <f>'Table Seed Map'!$A$26&amp;"-"&amp;COUNT($AA$1:ListExtras[[#This Row],[Relation]])</f>
        <v>List Relation-59</v>
      </c>
      <c r="Y72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2" s="69">
        <f>IF(ListExtras[[#This Row],[LID]]=0,"resource_list",ListExtras[[#This Row],[LID]])</f>
        <v>2123141</v>
      </c>
      <c r="AA72" s="69" t="str">
        <f>IFERROR(VLOOKUP(ListExtras[[#This Row],[Relation Name]],RelationTable[[Display]:[RELID]],2,0),IF(ListExtras[[#This Row],[LID]]=0,"relation",""))</f>
        <v/>
      </c>
      <c r="AB72" s="69" t="str">
        <f>IFERROR(VLOOKUP(ListExtras[[#This Row],[R1 Name]],RelationTable[[Display]:[RELID]],2,0),IF(ListExtras[[#This Row],[LID]]=0,"nest_relation1",""))</f>
        <v/>
      </c>
      <c r="AC72" s="69" t="str">
        <f>IFERROR(VLOOKUP(ListExtras[[#This Row],[R2 Name]],RelationTable[[Display]:[RELID]],2,0),IF(ListExtras[[#This Row],[LID]]=0,"nest_relation2",""))</f>
        <v/>
      </c>
      <c r="AD72" s="69" t="str">
        <f>IFERROR(VLOOKUP(ListExtras[[#This Row],[R3 Name]],RelationTable[[Display]:[RELID]],2,0),IF(ListExtras[[#This Row],[LID]]=0,"nest_relation3",""))</f>
        <v/>
      </c>
      <c r="AT72" s="69" t="str">
        <f>'Table Seed Map'!$A$27&amp;"-"&amp;COUNTA($AV$1:ListLayout[[#This Row],[No]])-2</f>
        <v>List Layout-70</v>
      </c>
      <c r="AU72" s="62" t="s">
        <v>1608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1196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2:57">
      <c r="M73" s="2" t="s">
        <v>2021</v>
      </c>
      <c r="N73" s="63">
        <f>VLOOKUP(ListExtras[[#This Row],[List Name]],ResourceList[[ListDisplayName]:[No]],2,0)</f>
        <v>2123142</v>
      </c>
      <c r="O73" s="62" t="s">
        <v>1907</v>
      </c>
      <c r="P73" s="62" t="s">
        <v>1648</v>
      </c>
      <c r="Q73" s="62"/>
      <c r="R73" s="62"/>
      <c r="S73" s="62"/>
      <c r="T73" s="63" t="str">
        <f>'Table Seed Map'!$A$25&amp;"-"&amp;COUNT($W$1:ListExtras[[#This Row],[Scope ID]])</f>
        <v>List Scopes-27</v>
      </c>
      <c r="U7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2124127</v>
      </c>
      <c r="V73" s="69">
        <f>IF(ListExtras[[#This Row],[LID]]=0,"resource_list",ListExtras[[#This Row],[LID]])</f>
        <v>2123142</v>
      </c>
      <c r="W73" s="69">
        <f>IFERROR(VLOOKUP(ListExtras[[#This Row],[Scope Name]],ResourceScopes[[ScopesDisplayNames]:[No]],2,0),IF(ListExtras[[#This Row],[LID]]=0,"scope",""))</f>
        <v>2108116</v>
      </c>
      <c r="X73" s="63" t="str">
        <f>'Table Seed Map'!$A$26&amp;"-"&amp;COUNT($AA$1:ListExtras[[#This Row],[Relation]])</f>
        <v>List Relation-60</v>
      </c>
      <c r="Y7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2125160</v>
      </c>
      <c r="Z73" s="69">
        <f>IF(ListExtras[[#This Row],[LID]]=0,"resource_list",ListExtras[[#This Row],[LID]])</f>
        <v>2123142</v>
      </c>
      <c r="AA73" s="69">
        <f>IFERROR(VLOOKUP(ListExtras[[#This Row],[Relation Name]],RelationTable[[Display]:[RELID]],2,0),IF(ListExtras[[#This Row],[LID]]=0,"relation",""))</f>
        <v>2109158</v>
      </c>
      <c r="AB73" s="69" t="str">
        <f>IFERROR(VLOOKUP(ListExtras[[#This Row],[R1 Name]],RelationTable[[Display]:[RELID]],2,0),IF(ListExtras[[#This Row],[LID]]=0,"nest_relation1",""))</f>
        <v/>
      </c>
      <c r="AC73" s="69" t="str">
        <f>IFERROR(VLOOKUP(ListExtras[[#This Row],[R2 Name]],RelationTable[[Display]:[RELID]],2,0),IF(ListExtras[[#This Row],[LID]]=0,"nest_relation2",""))</f>
        <v/>
      </c>
      <c r="AD73" s="69" t="str">
        <f>IFERROR(VLOOKUP(ListExtras[[#This Row],[R3 Name]],RelationTable[[Display]:[RELID]],2,0),IF(ListExtras[[#This Row],[LID]]=0,"nest_relation3",""))</f>
        <v/>
      </c>
      <c r="AT73" s="69" t="str">
        <f>'Table Seed Map'!$A$27&amp;"-"&amp;COUNTA($AV$1:ListLayout[[#This Row],[No]])-2</f>
        <v>List Layout-71</v>
      </c>
      <c r="AU73" s="62" t="s">
        <v>1619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2:57">
      <c r="M74" s="2" t="s">
        <v>2021</v>
      </c>
      <c r="N74" s="63">
        <f>VLOOKUP(ListExtras[[#This Row],[List Name]],ResourceList[[ListDisplayName]:[No]],2,0)</f>
        <v>2123142</v>
      </c>
      <c r="O74" s="62" t="s">
        <v>2022</v>
      </c>
      <c r="P74" s="62" t="s">
        <v>1650</v>
      </c>
      <c r="Q74" s="62"/>
      <c r="R74" s="62"/>
      <c r="S74" s="62"/>
      <c r="T74" s="63" t="str">
        <f>'Table Seed Map'!$A$25&amp;"-"&amp;COUNT($W$1:ListExtras[[#This Row],[Scope ID]])</f>
        <v>List Scopes-28</v>
      </c>
      <c r="U7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2124128</v>
      </c>
      <c r="V74" s="69">
        <f>IF(ListExtras[[#This Row],[LID]]=0,"resource_list",ListExtras[[#This Row],[LID]])</f>
        <v>2123142</v>
      </c>
      <c r="W74" s="69">
        <f>IFERROR(VLOOKUP(ListExtras[[#This Row],[Scope Name]],ResourceScopes[[ScopesDisplayNames]:[No]],2,0),IF(ListExtras[[#This Row],[LID]]=0,"scope",""))</f>
        <v>2108123</v>
      </c>
      <c r="X74" s="63" t="str">
        <f>'Table Seed Map'!$A$26&amp;"-"&amp;COUNT($AA$1:ListExtras[[#This Row],[Relation]])</f>
        <v>List Relation-61</v>
      </c>
      <c r="Y7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2125161</v>
      </c>
      <c r="Z74" s="69">
        <f>IF(ListExtras[[#This Row],[LID]]=0,"resource_list",ListExtras[[#This Row],[LID]])</f>
        <v>2123142</v>
      </c>
      <c r="AA74" s="69">
        <f>IFERROR(VLOOKUP(ListExtras[[#This Row],[Relation Name]],RelationTable[[Display]:[RELID]],2,0),IF(ListExtras[[#This Row],[LID]]=0,"relation",""))</f>
        <v>2109159</v>
      </c>
      <c r="AB74" s="69" t="str">
        <f>IFERROR(VLOOKUP(ListExtras[[#This Row],[R1 Name]],RelationTable[[Display]:[RELID]],2,0),IF(ListExtras[[#This Row],[LID]]=0,"nest_relation1",""))</f>
        <v/>
      </c>
      <c r="AC74" s="69" t="str">
        <f>IFERROR(VLOOKUP(ListExtras[[#This Row],[R2 Name]],RelationTable[[Display]:[RELID]],2,0),IF(ListExtras[[#This Row],[LID]]=0,"nest_relation2",""))</f>
        <v/>
      </c>
      <c r="AD74" s="69" t="str">
        <f>IFERROR(VLOOKUP(ListExtras[[#This Row],[R3 Name]],RelationTable[[Display]:[RELID]],2,0),IF(ListExtras[[#This Row],[LID]]=0,"nest_relation3",""))</f>
        <v/>
      </c>
      <c r="AT74" s="69" t="str">
        <f>'Table Seed Map'!$A$27&amp;"-"&amp;COUNTA($AV$1:ListLayout[[#This Row],[No]])-2</f>
        <v>List Layout-72</v>
      </c>
      <c r="AU74" s="62" t="s">
        <v>1619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1620</v>
      </c>
      <c r="BD74" s="107"/>
      <c r="BE74" s="107"/>
    </row>
    <row r="75" spans="2:57">
      <c r="M75" s="2" t="s">
        <v>2021</v>
      </c>
      <c r="N75" s="61">
        <f>VLOOKUP(ListExtras[[#This Row],[List Name]],ResourceList[[ListDisplayName]:[No]],2,0)</f>
        <v>2123142</v>
      </c>
      <c r="O75" s="60"/>
      <c r="P75" s="62" t="s">
        <v>1651</v>
      </c>
      <c r="Q75" s="60"/>
      <c r="R75" s="60"/>
      <c r="S75" s="60"/>
      <c r="T75" s="61" t="str">
        <f>'Table Seed Map'!$A$25&amp;"-"&amp;COUNT($W$1:ListExtras[[#This Row],[Scope ID]])</f>
        <v>List Scopes-28</v>
      </c>
      <c r="U75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5" s="68">
        <f>IF(ListExtras[[#This Row],[LID]]=0,"resource_list",ListExtras[[#This Row],[LID]])</f>
        <v>2123142</v>
      </c>
      <c r="W75" s="68" t="str">
        <f>IFERROR(VLOOKUP(ListExtras[[#This Row],[Scope Name]],ResourceScopes[[ScopesDisplayNames]:[No]],2,0),IF(ListExtras[[#This Row],[LID]]=0,"scope",""))</f>
        <v/>
      </c>
      <c r="X75" s="61" t="str">
        <f>'Table Seed Map'!$A$26&amp;"-"&amp;COUNT($AA$1:ListExtras[[#This Row],[Relation]])</f>
        <v>List Relation-62</v>
      </c>
      <c r="Y75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2125162</v>
      </c>
      <c r="Z75" s="68">
        <f>IF(ListExtras[[#This Row],[LID]]=0,"resource_list",ListExtras[[#This Row],[LID]])</f>
        <v>2123142</v>
      </c>
      <c r="AA75" s="68">
        <f>IFERROR(VLOOKUP(ListExtras[[#This Row],[Relation Name]],RelationTable[[Display]:[RELID]],2,0),IF(ListExtras[[#This Row],[LID]]=0,"relation",""))</f>
        <v>2109189</v>
      </c>
      <c r="AB75" s="68" t="str">
        <f>IFERROR(VLOOKUP(ListExtras[[#This Row],[R1 Name]],RelationTable[[Display]:[RELID]],2,0),IF(ListExtras[[#This Row],[LID]]=0,"nest_relation1",""))</f>
        <v/>
      </c>
      <c r="AC75" s="68" t="str">
        <f>IFERROR(VLOOKUP(ListExtras[[#This Row],[R2 Name]],RelationTable[[Display]:[RELID]],2,0),IF(ListExtras[[#This Row],[LID]]=0,"nest_relation2",""))</f>
        <v/>
      </c>
      <c r="AD75" s="68" t="str">
        <f>IFERROR(VLOOKUP(ListExtras[[#This Row],[R3 Name]],RelationTable[[Display]:[RELID]],2,0),IF(ListExtras[[#This Row],[LID]]=0,"nest_relation3",""))</f>
        <v/>
      </c>
      <c r="AT75" s="69" t="str">
        <f>'Table Seed Map'!$A$27&amp;"-"&amp;COUNTA($AV$1:ListLayout[[#This Row],[No]])-2</f>
        <v>List Layout-73</v>
      </c>
      <c r="AU75" s="62" t="s">
        <v>1619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1468</v>
      </c>
      <c r="BD75" s="107"/>
      <c r="BE75" s="107"/>
    </row>
    <row r="76" spans="2:57">
      <c r="B76" s="20"/>
      <c r="F76" s="20"/>
      <c r="M76" s="2" t="s">
        <v>2027</v>
      </c>
      <c r="N76" s="63">
        <f>VLOOKUP(ListExtras[[#This Row],[List Name]],ResourceList[[ListDisplayName]:[No]],2,0)</f>
        <v>2123143</v>
      </c>
      <c r="O76" s="62" t="s">
        <v>2025</v>
      </c>
      <c r="P76" s="62" t="s">
        <v>1478</v>
      </c>
      <c r="Q76" s="62"/>
      <c r="R76" s="62"/>
      <c r="S76" s="62"/>
      <c r="T76" s="63" t="str">
        <f>'Table Seed Map'!$A$25&amp;"-"&amp;COUNT($W$1:ListExtras[[#This Row],[Scope ID]])</f>
        <v>List Scopes-29</v>
      </c>
      <c r="U7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2124129</v>
      </c>
      <c r="V76" s="69">
        <f>IF(ListExtras[[#This Row],[LID]]=0,"resource_list",ListExtras[[#This Row],[LID]])</f>
        <v>2123143</v>
      </c>
      <c r="W76" s="69">
        <f>IFERROR(VLOOKUP(ListExtras[[#This Row],[Scope Name]],ResourceScopes[[ScopesDisplayNames]:[No]],2,0),IF(ListExtras[[#This Row],[LID]]=0,"scope",""))</f>
        <v>2108108</v>
      </c>
      <c r="X76" s="63" t="str">
        <f>'Table Seed Map'!$A$26&amp;"-"&amp;COUNT($AA$1:ListExtras[[#This Row],[Relation]])</f>
        <v>List Relation-63</v>
      </c>
      <c r="Y7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2125163</v>
      </c>
      <c r="Z76" s="69">
        <f>IF(ListExtras[[#This Row],[LID]]=0,"resource_list",ListExtras[[#This Row],[LID]])</f>
        <v>2123143</v>
      </c>
      <c r="AA76" s="69">
        <f>IFERROR(VLOOKUP(ListExtras[[#This Row],[Relation Name]],RelationTable[[Display]:[RELID]],2,0),IF(ListExtras[[#This Row],[LID]]=0,"relation",""))</f>
        <v>2109147</v>
      </c>
      <c r="AB76" s="69" t="str">
        <f>IFERROR(VLOOKUP(ListExtras[[#This Row],[R1 Name]],RelationTable[[Display]:[RELID]],2,0),IF(ListExtras[[#This Row],[LID]]=0,"nest_relation1",""))</f>
        <v/>
      </c>
      <c r="AC76" s="69" t="str">
        <f>IFERROR(VLOOKUP(ListExtras[[#This Row],[R2 Name]],RelationTable[[Display]:[RELID]],2,0),IF(ListExtras[[#This Row],[LID]]=0,"nest_relation2",""))</f>
        <v/>
      </c>
      <c r="AD76" s="69" t="str">
        <f>IFERROR(VLOOKUP(ListExtras[[#This Row],[R3 Name]],RelationTable[[Display]:[RELID]],2,0),IF(ListExtras[[#This Row],[LID]]=0,"nest_relation3",""))</f>
        <v/>
      </c>
      <c r="AT76" s="69" t="str">
        <f>'Table Seed Map'!$A$27&amp;"-"&amp;COUNTA($AV$1:ListLayout[[#This Row],[No]])-2</f>
        <v>List Layout-74</v>
      </c>
      <c r="AU76" s="62" t="s">
        <v>1619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1049</v>
      </c>
      <c r="AY76" s="107" t="s">
        <v>1622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1621</v>
      </c>
      <c r="BD76" s="107"/>
      <c r="BE76" s="107"/>
    </row>
    <row r="77" spans="2:57">
      <c r="M77" s="2" t="s">
        <v>2027</v>
      </c>
      <c r="N77" s="63">
        <f>VLOOKUP(ListExtras[[#This Row],[List Name]],ResourceList[[ListDisplayName]:[No]],2,0)</f>
        <v>2123143</v>
      </c>
      <c r="O77" s="62" t="s">
        <v>1898</v>
      </c>
      <c r="P77" s="62"/>
      <c r="Q77" s="62"/>
      <c r="R77" s="62"/>
      <c r="S77" s="62"/>
      <c r="T77" s="63" t="str">
        <f>'Table Seed Map'!$A$25&amp;"-"&amp;COUNT($W$1:ListExtras[[#This Row],[Scope ID]])</f>
        <v>List Scopes-30</v>
      </c>
      <c r="U7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2124130</v>
      </c>
      <c r="V77" s="69">
        <f>IF(ListExtras[[#This Row],[LID]]=0,"resource_list",ListExtras[[#This Row],[LID]])</f>
        <v>2123143</v>
      </c>
      <c r="W77" s="69">
        <f>IFERROR(VLOOKUP(ListExtras[[#This Row],[Scope Name]],ResourceScopes[[ScopesDisplayNames]:[No]],2,0),IF(ListExtras[[#This Row],[LID]]=0,"scope",""))</f>
        <v>2108115</v>
      </c>
      <c r="X77" s="63" t="str">
        <f>'Table Seed Map'!$A$26&amp;"-"&amp;COUNT($AA$1:ListExtras[[#This Row],[Relation]])</f>
        <v>List Relation-63</v>
      </c>
      <c r="Y7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7" s="69">
        <f>IF(ListExtras[[#This Row],[LID]]=0,"resource_list",ListExtras[[#This Row],[LID]])</f>
        <v>2123143</v>
      </c>
      <c r="AA77" s="69" t="str">
        <f>IFERROR(VLOOKUP(ListExtras[[#This Row],[Relation Name]],RelationTable[[Display]:[RELID]],2,0),IF(ListExtras[[#This Row],[LID]]=0,"relation",""))</f>
        <v/>
      </c>
      <c r="AB77" s="69" t="str">
        <f>IFERROR(VLOOKUP(ListExtras[[#This Row],[R1 Name]],RelationTable[[Display]:[RELID]],2,0),IF(ListExtras[[#This Row],[LID]]=0,"nest_relation1",""))</f>
        <v/>
      </c>
      <c r="AC77" s="69" t="str">
        <f>IFERROR(VLOOKUP(ListExtras[[#This Row],[R2 Name]],RelationTable[[Display]:[RELID]],2,0),IF(ListExtras[[#This Row],[LID]]=0,"nest_relation2",""))</f>
        <v/>
      </c>
      <c r="AD77" s="69" t="str">
        <f>IFERROR(VLOOKUP(ListExtras[[#This Row],[R3 Name]],RelationTable[[Display]:[RELID]],2,0),IF(ListExtras[[#This Row],[LID]]=0,"nest_relation3",""))</f>
        <v/>
      </c>
      <c r="AT77" s="69" t="str">
        <f>'Table Seed Map'!$A$27&amp;"-"&amp;COUNTA($AV$1:ListLayout[[#This Row],[No]])-2</f>
        <v>List Layout-75</v>
      </c>
      <c r="AU77" s="62" t="s">
        <v>1633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1634</v>
      </c>
      <c r="BD77" s="107"/>
      <c r="BE77" s="107"/>
    </row>
    <row r="78" spans="2:57">
      <c r="M78" s="2" t="s">
        <v>2035</v>
      </c>
      <c r="N78" s="63">
        <f>VLOOKUP(ListExtras[[#This Row],[List Name]],ResourceList[[ListDisplayName]:[No]],2,0)</f>
        <v>2123144</v>
      </c>
      <c r="O78" s="62" t="s">
        <v>2033</v>
      </c>
      <c r="P78" s="62" t="s">
        <v>1854</v>
      </c>
      <c r="Q78" s="62"/>
      <c r="R78" s="62"/>
      <c r="S78" s="62"/>
      <c r="T78" s="63" t="str">
        <f>'Table Seed Map'!$A$25&amp;"-"&amp;COUNT($W$1:ListExtras[[#This Row],[Scope ID]])</f>
        <v>List Scopes-31</v>
      </c>
      <c r="U7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2124131</v>
      </c>
      <c r="V78" s="69">
        <f>IF(ListExtras[[#This Row],[LID]]=0,"resource_list",ListExtras[[#This Row],[LID]])</f>
        <v>2123144</v>
      </c>
      <c r="W78" s="69">
        <f>IFERROR(VLOOKUP(ListExtras[[#This Row],[Scope Name]],ResourceScopes[[ScopesDisplayNames]:[No]],2,0),IF(ListExtras[[#This Row],[LID]]=0,"scope",""))</f>
        <v>2108124</v>
      </c>
      <c r="X78" s="63" t="str">
        <f>'Table Seed Map'!$A$26&amp;"-"&amp;COUNT($AA$1:ListExtras[[#This Row],[Relation]])</f>
        <v>List Relation-64</v>
      </c>
      <c r="Y7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2125164</v>
      </c>
      <c r="Z78" s="69">
        <f>IF(ListExtras[[#This Row],[LID]]=0,"resource_list",ListExtras[[#This Row],[LID]])</f>
        <v>2123144</v>
      </c>
      <c r="AA78" s="69">
        <f>IFERROR(VLOOKUP(ListExtras[[#This Row],[Relation Name]],RelationTable[[Display]:[RELID]],2,0),IF(ListExtras[[#This Row],[LID]]=0,"relation",""))</f>
        <v>2109194</v>
      </c>
      <c r="AB78" s="69" t="str">
        <f>IFERROR(VLOOKUP(ListExtras[[#This Row],[R1 Name]],RelationTable[[Display]:[RELID]],2,0),IF(ListExtras[[#This Row],[LID]]=0,"nest_relation1",""))</f>
        <v/>
      </c>
      <c r="AC78" s="69" t="str">
        <f>IFERROR(VLOOKUP(ListExtras[[#This Row],[R2 Name]],RelationTable[[Display]:[RELID]],2,0),IF(ListExtras[[#This Row],[LID]]=0,"nest_relation2",""))</f>
        <v/>
      </c>
      <c r="AD78" s="69" t="str">
        <f>IFERROR(VLOOKUP(ListExtras[[#This Row],[R3 Name]],RelationTable[[Display]:[RELID]],2,0),IF(ListExtras[[#This Row],[LID]]=0,"nest_relation3",""))</f>
        <v/>
      </c>
      <c r="AT78" s="69" t="str">
        <f>'Table Seed Map'!$A$27&amp;"-"&amp;COUNTA($AV$1:ListLayout[[#This Row],[No]])-2</f>
        <v>List Layout-76</v>
      </c>
      <c r="AU78" s="62" t="s">
        <v>1633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900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1257</v>
      </c>
      <c r="BD78" s="107"/>
      <c r="BE78" s="107"/>
    </row>
    <row r="79" spans="2:57">
      <c r="M79" s="2" t="s">
        <v>2035</v>
      </c>
      <c r="N79" s="61">
        <f>VLOOKUP(ListExtras[[#This Row],[List Name]],ResourceList[[ListDisplayName]:[No]],2,0)</f>
        <v>2123144</v>
      </c>
      <c r="O79" s="60"/>
      <c r="P79" s="62" t="s">
        <v>1636</v>
      </c>
      <c r="Q79" s="60"/>
      <c r="R79" s="60"/>
      <c r="S79" s="60"/>
      <c r="T79" s="61" t="str">
        <f>'Table Seed Map'!$A$25&amp;"-"&amp;COUNT($W$1:ListExtras[[#This Row],[Scope ID]])</f>
        <v>List Scopes-31</v>
      </c>
      <c r="U79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9" s="68">
        <f>IF(ListExtras[[#This Row],[LID]]=0,"resource_list",ListExtras[[#This Row],[LID]])</f>
        <v>2123144</v>
      </c>
      <c r="W79" s="68" t="str">
        <f>IFERROR(VLOOKUP(ListExtras[[#This Row],[Scope Name]],ResourceScopes[[ScopesDisplayNames]:[No]],2,0),IF(ListExtras[[#This Row],[LID]]=0,"scope",""))</f>
        <v/>
      </c>
      <c r="X79" s="61" t="str">
        <f>'Table Seed Map'!$A$26&amp;"-"&amp;COUNT($AA$1:ListExtras[[#This Row],[Relation]])</f>
        <v>List Relation-65</v>
      </c>
      <c r="Y79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2125165</v>
      </c>
      <c r="Z79" s="68">
        <f>IF(ListExtras[[#This Row],[LID]]=0,"resource_list",ListExtras[[#This Row],[LID]])</f>
        <v>2123144</v>
      </c>
      <c r="AA79" s="68">
        <f>IFERROR(VLOOKUP(ListExtras[[#This Row],[Relation Name]],RelationTable[[Display]:[RELID]],2,0),IF(ListExtras[[#This Row],[LID]]=0,"relation",""))</f>
        <v>2109155</v>
      </c>
      <c r="AB79" s="68" t="str">
        <f>IFERROR(VLOOKUP(ListExtras[[#This Row],[R1 Name]],RelationTable[[Display]:[RELID]],2,0),IF(ListExtras[[#This Row],[LID]]=0,"nest_relation1",""))</f>
        <v/>
      </c>
      <c r="AC79" s="68" t="str">
        <f>IFERROR(VLOOKUP(ListExtras[[#This Row],[R2 Name]],RelationTable[[Display]:[RELID]],2,0),IF(ListExtras[[#This Row],[LID]]=0,"nest_relation2",""))</f>
        <v/>
      </c>
      <c r="AD79" s="68" t="str">
        <f>IFERROR(VLOOKUP(ListExtras[[#This Row],[R3 Name]],RelationTable[[Display]:[RELID]],2,0),IF(ListExtras[[#This Row],[LID]]=0,"nest_relation3",""))</f>
        <v/>
      </c>
      <c r="AT79" s="69" t="str">
        <f>'Table Seed Map'!$A$27&amp;"-"&amp;COUNTA($AV$1:ListLayout[[#This Row],[No]])-2</f>
        <v>List Layout-77</v>
      </c>
      <c r="AU79" s="62" t="s">
        <v>1633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777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2109194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1854</v>
      </c>
      <c r="BD79" s="107"/>
      <c r="BE79" s="107"/>
    </row>
    <row r="80" spans="2:57">
      <c r="M80" s="2" t="s">
        <v>2035</v>
      </c>
      <c r="N80" s="61">
        <f>VLOOKUP(ListExtras[[#This Row],[List Name]],ResourceList[[ListDisplayName]:[No]],2,0)</f>
        <v>2123144</v>
      </c>
      <c r="O80" s="60"/>
      <c r="P80" s="62" t="s">
        <v>1635</v>
      </c>
      <c r="Q80" s="60"/>
      <c r="R80" s="60"/>
      <c r="S80" s="60"/>
      <c r="T80" s="61" t="str">
        <f>'Table Seed Map'!$A$25&amp;"-"&amp;COUNT($W$1:ListExtras[[#This Row],[Scope ID]])</f>
        <v>List Scopes-31</v>
      </c>
      <c r="U80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0" s="68">
        <f>IF(ListExtras[[#This Row],[LID]]=0,"resource_list",ListExtras[[#This Row],[LID]])</f>
        <v>2123144</v>
      </c>
      <c r="W80" s="68" t="str">
        <f>IFERROR(VLOOKUP(ListExtras[[#This Row],[Scope Name]],ResourceScopes[[ScopesDisplayNames]:[No]],2,0),IF(ListExtras[[#This Row],[LID]]=0,"scope",""))</f>
        <v/>
      </c>
      <c r="X80" s="61" t="str">
        <f>'Table Seed Map'!$A$26&amp;"-"&amp;COUNT($AA$1:ListExtras[[#This Row],[Relation]])</f>
        <v>List Relation-66</v>
      </c>
      <c r="Y80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2125166</v>
      </c>
      <c r="Z80" s="68">
        <f>IF(ListExtras[[#This Row],[LID]]=0,"resource_list",ListExtras[[#This Row],[LID]])</f>
        <v>2123144</v>
      </c>
      <c r="AA80" s="68">
        <f>IFERROR(VLOOKUP(ListExtras[[#This Row],[Relation Name]],RelationTable[[Display]:[RELID]],2,0),IF(ListExtras[[#This Row],[LID]]=0,"relation",""))</f>
        <v>2109154</v>
      </c>
      <c r="AB80" s="68" t="str">
        <f>IFERROR(VLOOKUP(ListExtras[[#This Row],[R1 Name]],RelationTable[[Display]:[RELID]],2,0),IF(ListExtras[[#This Row],[LID]]=0,"nest_relation1",""))</f>
        <v/>
      </c>
      <c r="AC80" s="68" t="str">
        <f>IFERROR(VLOOKUP(ListExtras[[#This Row],[R2 Name]],RelationTable[[Display]:[RELID]],2,0),IF(ListExtras[[#This Row],[LID]]=0,"nest_relation2",""))</f>
        <v/>
      </c>
      <c r="AD80" s="68" t="str">
        <f>IFERROR(VLOOKUP(ListExtras[[#This Row],[R3 Name]],RelationTable[[Display]:[RELID]],2,0),IF(ListExtras[[#This Row],[LID]]=0,"nest_relation3",""))</f>
        <v/>
      </c>
      <c r="AT80" s="69" t="str">
        <f>'Table Seed Map'!$A$27&amp;"-"&amp;COUNTA($AV$1:ListLayout[[#This Row],[No]])-2</f>
        <v>List Layout-78</v>
      </c>
      <c r="AU80" s="62" t="s">
        <v>1633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104</v>
      </c>
      <c r="AY80" s="107" t="s">
        <v>854</v>
      </c>
      <c r="AZ80" s="69">
        <f>IF(ListLayout[[#This Row],[List Name for Layout]]="","relation",IFERROR(VLOOKUP(ListLayout[[#This Row],[Relation]],RelationTable[[Display]:[RELID]],2,0),""))</f>
        <v>2109154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1635</v>
      </c>
      <c r="BD80" s="107"/>
      <c r="BE80" s="107"/>
    </row>
    <row r="81" spans="13:57">
      <c r="M81" s="2" t="s">
        <v>2035</v>
      </c>
      <c r="N81" s="61">
        <f>VLOOKUP(ListExtras[[#This Row],[List Name]],ResourceList[[ListDisplayName]:[No]],2,0)</f>
        <v>2123144</v>
      </c>
      <c r="O81" s="60"/>
      <c r="P81" s="62" t="s">
        <v>1634</v>
      </c>
      <c r="Q81" s="60"/>
      <c r="R81" s="60"/>
      <c r="S81" s="60"/>
      <c r="T81" s="61" t="str">
        <f>'Table Seed Map'!$A$25&amp;"-"&amp;COUNT($W$1:ListExtras[[#This Row],[Scope ID]])</f>
        <v>List Scopes-31</v>
      </c>
      <c r="U81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1" s="68">
        <f>IF(ListExtras[[#This Row],[LID]]=0,"resource_list",ListExtras[[#This Row],[LID]])</f>
        <v>2123144</v>
      </c>
      <c r="W81" s="68" t="str">
        <f>IFERROR(VLOOKUP(ListExtras[[#This Row],[Scope Name]],ResourceScopes[[ScopesDisplayNames]:[No]],2,0),IF(ListExtras[[#This Row],[LID]]=0,"scope",""))</f>
        <v/>
      </c>
      <c r="X81" s="61" t="str">
        <f>'Table Seed Map'!$A$26&amp;"-"&amp;COUNT($AA$1:ListExtras[[#This Row],[Relation]])</f>
        <v>List Relation-67</v>
      </c>
      <c r="Y81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2125167</v>
      </c>
      <c r="Z81" s="68">
        <f>IF(ListExtras[[#This Row],[LID]]=0,"resource_list",ListExtras[[#This Row],[LID]])</f>
        <v>2123144</v>
      </c>
      <c r="AA81" s="68">
        <f>IFERROR(VLOOKUP(ListExtras[[#This Row],[Relation Name]],RelationTable[[Display]:[RELID]],2,0),IF(ListExtras[[#This Row],[LID]]=0,"relation",""))</f>
        <v>2109153</v>
      </c>
      <c r="AB81" s="68" t="str">
        <f>IFERROR(VLOOKUP(ListExtras[[#This Row],[R1 Name]],RelationTable[[Display]:[RELID]],2,0),IF(ListExtras[[#This Row],[LID]]=0,"nest_relation1",""))</f>
        <v/>
      </c>
      <c r="AC81" s="68" t="str">
        <f>IFERROR(VLOOKUP(ListExtras[[#This Row],[R2 Name]],RelationTable[[Display]:[RELID]],2,0),IF(ListExtras[[#This Row],[LID]]=0,"nest_relation2",""))</f>
        <v/>
      </c>
      <c r="AD81" s="68" t="str">
        <f>IFERROR(VLOOKUP(ListExtras[[#This Row],[R3 Name]],RelationTable[[Display]:[RELID]],2,0),IF(ListExtras[[#This Row],[LID]]=0,"nest_relation3",""))</f>
        <v/>
      </c>
      <c r="AT81" s="69" t="str">
        <f>'Table Seed Map'!$A$27&amp;"-"&amp;COUNTA($AV$1:ListLayout[[#This Row],[No]])-2</f>
        <v>List Layout-79</v>
      </c>
      <c r="AU81" s="62" t="s">
        <v>1633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1033</v>
      </c>
      <c r="AY81" s="107" t="s">
        <v>1642</v>
      </c>
      <c r="AZ81" s="69">
        <f>IF(ListLayout[[#This Row],[List Name for Layout]]="","relation",IFERROR(VLOOKUP(ListLayout[[#This Row],[Relation]],RelationTable[[Display]:[RELID]],2,0),""))</f>
        <v>2109155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1636</v>
      </c>
      <c r="BD81" s="107"/>
      <c r="BE81" s="107"/>
    </row>
    <row r="82" spans="13:57">
      <c r="M82" s="2" t="s">
        <v>2035</v>
      </c>
      <c r="N82" s="61">
        <f>VLOOKUP(ListExtras[[#This Row],[List Name]],ResourceList[[ListDisplayName]:[No]],2,0)</f>
        <v>2123144</v>
      </c>
      <c r="O82" s="60"/>
      <c r="P82" s="62" t="s">
        <v>1257</v>
      </c>
      <c r="Q82" s="60"/>
      <c r="R82" s="60"/>
      <c r="S82" s="60"/>
      <c r="T82" s="61" t="str">
        <f>'Table Seed Map'!$A$25&amp;"-"&amp;COUNT($W$1:ListExtras[[#This Row],[Scope ID]])</f>
        <v>List Scopes-31</v>
      </c>
      <c r="U8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2" s="68">
        <f>IF(ListExtras[[#This Row],[LID]]=0,"resource_list",ListExtras[[#This Row],[LID]])</f>
        <v>2123144</v>
      </c>
      <c r="W82" s="68" t="str">
        <f>IFERROR(VLOOKUP(ListExtras[[#This Row],[Scope Name]],ResourceScopes[[ScopesDisplayNames]:[No]],2,0),IF(ListExtras[[#This Row],[LID]]=0,"scope",""))</f>
        <v/>
      </c>
      <c r="X82" s="61" t="str">
        <f>'Table Seed Map'!$A$26&amp;"-"&amp;COUNT($AA$1:ListExtras[[#This Row],[Relation]])</f>
        <v>List Relation-68</v>
      </c>
      <c r="Y8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2125168</v>
      </c>
      <c r="Z82" s="68">
        <f>IF(ListExtras[[#This Row],[LID]]=0,"resource_list",ListExtras[[#This Row],[LID]])</f>
        <v>2123144</v>
      </c>
      <c r="AA82" s="68">
        <f>IFERROR(VLOOKUP(ListExtras[[#This Row],[Relation Name]],RelationTable[[Display]:[RELID]],2,0),IF(ListExtras[[#This Row],[LID]]=0,"relation",""))</f>
        <v>2109188</v>
      </c>
      <c r="AB82" s="68" t="str">
        <f>IFERROR(VLOOKUP(ListExtras[[#This Row],[R1 Name]],RelationTable[[Display]:[RELID]],2,0),IF(ListExtras[[#This Row],[LID]]=0,"nest_relation1",""))</f>
        <v/>
      </c>
      <c r="AC82" s="68" t="str">
        <f>IFERROR(VLOOKUP(ListExtras[[#This Row],[R2 Name]],RelationTable[[Display]:[RELID]],2,0),IF(ListExtras[[#This Row],[LID]]=0,"nest_relation2",""))</f>
        <v/>
      </c>
      <c r="AD82" s="68" t="str">
        <f>IFERROR(VLOOKUP(ListExtras[[#This Row],[R3 Name]],RelationTable[[Display]:[RELID]],2,0),IF(ListExtras[[#This Row],[LID]]=0,"nest_relation3",""))</f>
        <v/>
      </c>
      <c r="AT82" s="69" t="str">
        <f>'Table Seed Map'!$A$27&amp;"-"&amp;COUNTA($AV$1:ListLayout[[#This Row],[No]])-2</f>
        <v>List Layout-80</v>
      </c>
      <c r="AU82" s="62" t="s">
        <v>1633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1262</v>
      </c>
      <c r="AY82" s="107" t="s">
        <v>856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13:57">
      <c r="AT83" s="69" t="str">
        <f>'Table Seed Map'!$A$27&amp;"-"&amp;COUNTA($AV$1:ListLayout[[#This Row],[No]])-2</f>
        <v>List Layout-81</v>
      </c>
      <c r="AU83" s="62" t="s">
        <v>1633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2123121</v>
      </c>
      <c r="AX83" s="69" t="s">
        <v>1477</v>
      </c>
      <c r="AY83" s="107" t="s">
        <v>886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13:57">
      <c r="AT84" s="69" t="str">
        <f>'Table Seed Map'!$A$27&amp;"-"&amp;COUNTA($AV$1:ListLayout[[#This Row],[No]])-2</f>
        <v>List Layout-82</v>
      </c>
      <c r="AU84" s="62" t="s">
        <v>1647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1649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1648</v>
      </c>
      <c r="BD84" s="107"/>
      <c r="BE84" s="107"/>
    </row>
    <row r="85" spans="13:57">
      <c r="AT85" s="69" t="str">
        <f>'Table Seed Map'!$A$27&amp;"-"&amp;COUNTA($AV$1:ListLayout[[#This Row],[No]])-2</f>
        <v>List Layout-83</v>
      </c>
      <c r="AU85" s="62" t="s">
        <v>1647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777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2109158</v>
      </c>
      <c r="BA85" s="69">
        <f>IF(ListLayout[[#This Row],[List Name for Layout]]="","nest_relation1",IFERROR(VLOOKUP(ListLayout[[#This Row],[Relation 1]],RelationTable[[Display]:[RELID]],2,0),""))</f>
        <v>2109194</v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1648</v>
      </c>
      <c r="BD85" s="107" t="s">
        <v>1854</v>
      </c>
      <c r="BE85" s="107"/>
    </row>
    <row r="86" spans="13:57">
      <c r="AT86" s="69" t="str">
        <f>'Table Seed Map'!$A$27&amp;"-"&amp;COUNTA($AV$1:ListLayout[[#This Row],[No]])-2</f>
        <v>List Layout-84</v>
      </c>
      <c r="AU86" s="62" t="s">
        <v>1647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778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2109159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1650</v>
      </c>
      <c r="BD86" s="107"/>
      <c r="BE86" s="107"/>
    </row>
    <row r="87" spans="13:57">
      <c r="AT87" s="69" t="str">
        <f>'Table Seed Map'!$A$27&amp;"-"&amp;COUNTA($AV$1:ListLayout[[#This Row],[No]])-2</f>
        <v>List Layout-85</v>
      </c>
      <c r="AU87" s="62" t="s">
        <v>1647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2123122</v>
      </c>
      <c r="AX87" s="69" t="s">
        <v>1094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2109189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1651</v>
      </c>
      <c r="BD87" s="107"/>
      <c r="BE87" s="107"/>
    </row>
    <row r="88" spans="13:57">
      <c r="AT88" s="69" t="str">
        <f>'Table Seed Map'!$A$27&amp;"-"&amp;COUNTA($AV$1:ListLayout[[#This Row],[No]])-2</f>
        <v>List Layout-86</v>
      </c>
      <c r="AU88" s="62" t="s">
        <v>1647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2123122</v>
      </c>
      <c r="AX88" s="69" t="s">
        <v>1477</v>
      </c>
      <c r="AY88" s="107" t="s">
        <v>886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13:57">
      <c r="AT89" s="69" t="str">
        <f>'Table Seed Map'!$A$27&amp;"-"&amp;COUNTA($AV$1:ListLayout[[#This Row],[No]])-2</f>
        <v>List Layout-87</v>
      </c>
      <c r="AU89" s="62" t="s">
        <v>1661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1664</v>
      </c>
      <c r="AY89" s="107" t="s">
        <v>23</v>
      </c>
      <c r="AZ89" s="69">
        <f>IF(ListLayout[[#This Row],[List Name for Layout]]="","relation",IFERROR(VLOOKUP(ListLayout[[#This Row],[Relation]],RelationTable[[Display]:[RELID]],2,0),""))</f>
        <v>2109168</v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 t="s">
        <v>1662</v>
      </c>
      <c r="BD89" s="107"/>
      <c r="BE89" s="107"/>
    </row>
    <row r="90" spans="13:57">
      <c r="AT90" s="69" t="str">
        <f>'Table Seed Map'!$A$27&amp;"-"&amp;COUNTA($AV$1:ListLayout[[#This Row],[No]])-2</f>
        <v>List Layout-88</v>
      </c>
      <c r="AU90" s="62" t="s">
        <v>1661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1672</v>
      </c>
      <c r="AY90" s="107" t="s">
        <v>23</v>
      </c>
      <c r="AZ90" s="69">
        <f>IF(ListLayout[[#This Row],[List Name for Layout]]="","relation",IFERROR(VLOOKUP(ListLayout[[#This Row],[Relation]],RelationTable[[Display]:[RELID]],2,0),""))</f>
        <v>2109169</v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 t="s">
        <v>1663</v>
      </c>
      <c r="BD90" s="107"/>
      <c r="BE90" s="107"/>
    </row>
    <row r="91" spans="13:57">
      <c r="AT91" s="69" t="str">
        <f>'Table Seed Map'!$A$27&amp;"-"&amp;COUNTA($AV$1:ListLayout[[#This Row],[No]])-2</f>
        <v>List Layout-89</v>
      </c>
      <c r="AU91" s="62" t="s">
        <v>1661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978</v>
      </c>
      <c r="AY91" s="107" t="s">
        <v>1671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13:57">
      <c r="AT92" s="69" t="str">
        <f>'Table Seed Map'!$A$27&amp;"-"&amp;COUNTA($AV$1:ListLayout[[#This Row],[No]])-2</f>
        <v>List Layout-90</v>
      </c>
      <c r="AU92" s="62" t="s">
        <v>1661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1665</v>
      </c>
      <c r="AY92" s="107" t="s">
        <v>867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13:57">
      <c r="AT93" s="69" t="str">
        <f>'Table Seed Map'!$A$27&amp;"-"&amp;COUNTA($AV$1:ListLayout[[#This Row],[No]])-2</f>
        <v>List Layout-91</v>
      </c>
      <c r="AU93" s="62" t="s">
        <v>1661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1666</v>
      </c>
      <c r="AY93" s="107" t="s">
        <v>869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13:57">
      <c r="AT94" s="69" t="str">
        <f>'Table Seed Map'!$A$27&amp;"-"&amp;COUNTA($AV$1:ListLayout[[#This Row],[No]])-2</f>
        <v>List Layout-92</v>
      </c>
      <c r="AU94" s="62" t="s">
        <v>1661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2123123</v>
      </c>
      <c r="AX94" s="69" t="s">
        <v>1667</v>
      </c>
      <c r="AY94" s="107" t="s">
        <v>872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  <row r="95" spans="13:57">
      <c r="AT95" s="69" t="str">
        <f>'Table Seed Map'!$A$27&amp;"-"&amp;COUNTA($AV$1:ListLayout[[#This Row],[No]])-2</f>
        <v>List Layout-93</v>
      </c>
      <c r="AU95" s="62" t="s">
        <v>1661</v>
      </c>
      <c r="AV95" s="69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9">
        <f>IFERROR(VLOOKUP(ListLayout[[#This Row],[List Name for Layout]],ResourceList[[ListDisplayName]:[No]],2,0),"resource_list")</f>
        <v>2123123</v>
      </c>
      <c r="AX95" s="69" t="s">
        <v>1668</v>
      </c>
      <c r="AY95" s="107" t="s">
        <v>873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7"/>
      <c r="BE95" s="107"/>
    </row>
    <row r="96" spans="13:57">
      <c r="AT96" s="68" t="str">
        <f>'Table Seed Map'!$A$27&amp;"-"&amp;COUNTA($AV$1:ListLayout[[#This Row],[No]])-2</f>
        <v>List Layout-94</v>
      </c>
      <c r="AU96" s="62" t="s">
        <v>1706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307</v>
      </c>
      <c r="AY96" s="107" t="s">
        <v>21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>
      <c r="AT97" s="68" t="str">
        <f>'Table Seed Map'!$A$27&amp;"-"&amp;COUNTA($AV$1:ListLayout[[#This Row],[No]])-2</f>
        <v>List Layout-95</v>
      </c>
      <c r="AU97" s="62" t="s">
        <v>1706</v>
      </c>
      <c r="AV97" s="68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8">
        <f>IFERROR(VLOOKUP(ListLayout[[#This Row],[List Name for Layout]],ResourceList[[ListDisplayName]:[No]],2,0),"resource_list")</f>
        <v>2123125</v>
      </c>
      <c r="AX97" s="69" t="s">
        <v>785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2109147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1478</v>
      </c>
      <c r="BD97" s="108"/>
      <c r="BE97" s="108"/>
    </row>
    <row r="98" spans="46:57">
      <c r="AT98" s="68" t="str">
        <f>'Table Seed Map'!$A$27&amp;"-"&amp;COUNTA($AV$1:ListLayout[[#This Row],[No]])-2</f>
        <v>List Layout-96</v>
      </c>
      <c r="AU98" s="62" t="s">
        <v>1706</v>
      </c>
      <c r="AV98" s="68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8">
        <f>IFERROR(VLOOKUP(ListLayout[[#This Row],[List Name for Layout]],ResourceList[[ListDisplayName]:[No]],2,0),"resource_list")</f>
        <v>2123125</v>
      </c>
      <c r="AX98" s="69" t="s">
        <v>1337</v>
      </c>
      <c r="AY98" s="107" t="s">
        <v>827</v>
      </c>
      <c r="AZ98" s="69" t="str">
        <f>IF(ListLayout[[#This Row],[List Name for Layout]]="","relation",IFERROR(VLOOKUP(ListLayout[[#This Row],[Relation]],RelationTable[[Display]:[RELID]],2,0),""))</f>
        <v/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/>
      <c r="BD98" s="108"/>
      <c r="BE98" s="108"/>
    </row>
    <row r="99" spans="46:57">
      <c r="AT99" s="69" t="str">
        <f>'Table Seed Map'!$A$27&amp;"-"&amp;COUNTA($AV$1:ListLayout[[#This Row],[No]])-2</f>
        <v>List Layout-97</v>
      </c>
      <c r="AU99" s="62" t="s">
        <v>1706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2123125</v>
      </c>
      <c r="AX99" s="69" t="s">
        <v>1477</v>
      </c>
      <c r="AY99" s="107" t="s">
        <v>886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>
      <c r="AT100" s="69" t="str">
        <f>'Table Seed Map'!$A$27&amp;"-"&amp;COUNTA($AV$1:ListLayout[[#This Row],[No]])-2</f>
        <v>List Layout-98</v>
      </c>
      <c r="AU100" s="62" t="s">
        <v>1799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779</v>
      </c>
      <c r="AY100" s="107" t="s">
        <v>23</v>
      </c>
      <c r="AZ100" s="69">
        <f>IF(ListLayout[[#This Row],[List Name for Layout]]="","relation",IFERROR(VLOOKUP(ListLayout[[#This Row],[Relation]],RelationTable[[Display]:[RELID]],2,0),""))</f>
        <v>2109166</v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 t="s">
        <v>1800</v>
      </c>
      <c r="BD100" s="107"/>
      <c r="BE100" s="107"/>
    </row>
    <row r="101" spans="46:57">
      <c r="AT101" s="69" t="str">
        <f>'Table Seed Map'!$A$27&amp;"-"&amp;COUNTA($AV$1:ListLayout[[#This Row],[No]])-2</f>
        <v>List Layout-99</v>
      </c>
      <c r="AU101" s="62" t="s">
        <v>1799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2123126</v>
      </c>
      <c r="AX101" s="69" t="s">
        <v>778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2109167</v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 t="s">
        <v>1801</v>
      </c>
      <c r="BD101" s="107"/>
      <c r="BE101" s="107"/>
    </row>
    <row r="102" spans="46:57">
      <c r="AT102" s="69" t="str">
        <f>'Table Seed Map'!$A$27&amp;"-"&amp;COUNTA($AV$1:ListLayout[[#This Row],[No]])-2</f>
        <v>List Layout-100</v>
      </c>
      <c r="AU102" s="62" t="s">
        <v>1799</v>
      </c>
      <c r="AV102" s="69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9">
        <f>IFERROR(VLOOKUP(ListLayout[[#This Row],[List Name for Layout]],ResourceList[[ListDisplayName]:[No]],2,0),"resource_list")</f>
        <v>2123126</v>
      </c>
      <c r="AX102" s="69" t="s">
        <v>1049</v>
      </c>
      <c r="AY102" s="107" t="s">
        <v>851</v>
      </c>
      <c r="AZ102" s="69" t="str">
        <f>IF(ListLayout[[#This Row],[List Name for Layout]]="","relation",IFERROR(VLOOKUP(ListLayout[[#This Row],[Relation]],RelationTable[[Display]:[RELID]],2,0),""))</f>
        <v/>
      </c>
      <c r="BA102" s="69" t="str">
        <f>IF(ListLayout[[#This Row],[List Name for Layout]]="","nest_relation1",IFERROR(VLOOKUP(ListLayout[[#This Row],[Relation 1]],RelationTable[[Display]:[RELID]],2,0),""))</f>
        <v/>
      </c>
      <c r="BB102" s="69" t="str">
        <f>IF(ListLayout[[#This Row],[List Name for Layout]]="","nest_relation2",IFERROR(VLOOKUP(ListLayout[[#This Row],[Relation 2]],RelationTable[[Display]:[RELID]],2,0),""))</f>
        <v/>
      </c>
      <c r="BC102" s="107"/>
      <c r="BD102" s="107"/>
      <c r="BE102" s="107"/>
    </row>
    <row r="103" spans="46:57">
      <c r="AT103" s="69" t="str">
        <f>'Table Seed Map'!$A$27&amp;"-"&amp;COUNTA($AV$1:ListLayout[[#This Row],[No]])-2</f>
        <v>List Layout-101</v>
      </c>
      <c r="AU103" s="62" t="s">
        <v>1811</v>
      </c>
      <c r="AV103" s="69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9">
        <f>IFERROR(VLOOKUP(ListLayout[[#This Row],[List Name for Layout]],ResourceList[[ListDisplayName]:[No]],2,0),"resource_list")</f>
        <v>2123127</v>
      </c>
      <c r="AX103" s="69" t="s">
        <v>307</v>
      </c>
      <c r="AY103" s="107" t="s">
        <v>21</v>
      </c>
      <c r="AZ103" s="69" t="str">
        <f>IF(ListLayout[[#This Row],[List Name for Layout]]="","relation",IFERROR(VLOOKUP(ListLayout[[#This Row],[Relation]],RelationTable[[Display]:[RELID]],2,0),""))</f>
        <v/>
      </c>
      <c r="BA103" s="69" t="str">
        <f>IF(ListLayout[[#This Row],[List Name for Layout]]="","nest_relation1",IFERROR(VLOOKUP(ListLayout[[#This Row],[Relation 1]],RelationTable[[Display]:[RELID]],2,0),""))</f>
        <v/>
      </c>
      <c r="BB103" s="69" t="str">
        <f>IF(ListLayout[[#This Row],[List Name for Layout]]="","nest_relation2",IFERROR(VLOOKUP(ListLayout[[#This Row],[Relation 2]],RelationTable[[Display]:[RELID]],2,0),""))</f>
        <v/>
      </c>
      <c r="BC103" s="107"/>
      <c r="BD103" s="107"/>
      <c r="BE103" s="107"/>
    </row>
    <row r="104" spans="46:57">
      <c r="AT104" s="68" t="str">
        <f>'Table Seed Map'!$A$27&amp;"-"&amp;COUNTA($AV$1:ListLayout[[#This Row],[No]])-2</f>
        <v>List Layout-102</v>
      </c>
      <c r="AU104" s="62" t="s">
        <v>1811</v>
      </c>
      <c r="AV104" s="68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8">
        <f>IFERROR(VLOOKUP(ListLayout[[#This Row],[List Name for Layout]],ResourceList[[ListDisplayName]:[No]],2,0),"resource_list")</f>
        <v>2123127</v>
      </c>
      <c r="AX104" s="69" t="s">
        <v>785</v>
      </c>
      <c r="AY104" s="107" t="s">
        <v>23</v>
      </c>
      <c r="AZ104" s="69">
        <f>IF(ListLayout[[#This Row],[List Name for Layout]]="","relation",IFERROR(VLOOKUP(ListLayout[[#This Row],[Relation]],RelationTable[[Display]:[RELID]],2,0),""))</f>
        <v>2109162</v>
      </c>
      <c r="BA104" s="68" t="str">
        <f>IF(ListLayout[[#This Row],[List Name for Layout]]="","nest_relation1",IFERROR(VLOOKUP(ListLayout[[#This Row],[Relation 1]],RelationTable[[Display]:[RELID]],2,0),""))</f>
        <v/>
      </c>
      <c r="BB104" s="68" t="str">
        <f>IF(ListLayout[[#This Row],[List Name for Layout]]="","nest_relation2",IFERROR(VLOOKUP(ListLayout[[#This Row],[Relation 2]],RelationTable[[Display]:[RELID]],2,0),""))</f>
        <v/>
      </c>
      <c r="BC104" s="107" t="s">
        <v>1480</v>
      </c>
      <c r="BD104" s="108"/>
      <c r="BE104" s="108"/>
    </row>
    <row r="105" spans="46:57">
      <c r="AT105" s="68" t="str">
        <f>'Table Seed Map'!$A$27&amp;"-"&amp;COUNTA($AV$1:ListLayout[[#This Row],[No]])-2</f>
        <v>List Layout-103</v>
      </c>
      <c r="AU105" s="62" t="s">
        <v>1811</v>
      </c>
      <c r="AV105" s="68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8">
        <f>IFERROR(VLOOKUP(ListLayout[[#This Row],[List Name for Layout]],ResourceList[[ListDisplayName]:[No]],2,0),"resource_list")</f>
        <v>2123127</v>
      </c>
      <c r="AX105" s="69" t="s">
        <v>1337</v>
      </c>
      <c r="AY105" s="107" t="s">
        <v>827</v>
      </c>
      <c r="AZ105" s="69" t="str">
        <f>IF(ListLayout[[#This Row],[List Name for Layout]]="","relation",IFERROR(VLOOKUP(ListLayout[[#This Row],[Relation]],RelationTable[[Display]:[RELID]],2,0),""))</f>
        <v/>
      </c>
      <c r="BA105" s="68" t="str">
        <f>IF(ListLayout[[#This Row],[List Name for Layout]]="","nest_relation1",IFERROR(VLOOKUP(ListLayout[[#This Row],[Relation 1]],RelationTable[[Display]:[RELID]],2,0),""))</f>
        <v/>
      </c>
      <c r="BB105" s="68" t="str">
        <f>IF(ListLayout[[#This Row],[List Name for Layout]]="","nest_relation2",IFERROR(VLOOKUP(ListLayout[[#This Row],[Relation 2]],RelationTable[[Display]:[RELID]],2,0),""))</f>
        <v/>
      </c>
      <c r="BC105" s="108"/>
      <c r="BD105" s="108"/>
      <c r="BE105" s="108"/>
    </row>
    <row r="106" spans="46:57">
      <c r="AT106" s="68" t="str">
        <f>'Table Seed Map'!$A$27&amp;"-"&amp;COUNTA($AV$1:ListLayout[[#This Row],[No]])-2</f>
        <v>List Layout-104</v>
      </c>
      <c r="AU106" s="62" t="s">
        <v>1811</v>
      </c>
      <c r="AV106" s="68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8">
        <f>IFERROR(VLOOKUP(ListLayout[[#This Row],[List Name for Layout]],ResourceList[[ListDisplayName]:[No]],2,0),"resource_list")</f>
        <v>2123127</v>
      </c>
      <c r="AX106" s="69" t="s">
        <v>1805</v>
      </c>
      <c r="AY106" s="107" t="s">
        <v>1806</v>
      </c>
      <c r="AZ106" s="69" t="str">
        <f>IF(ListLayout[[#This Row],[List Name for Layout]]="","relation",IFERROR(VLOOKUP(ListLayout[[#This Row],[Relation]],RelationTable[[Display]:[RELID]],2,0),""))</f>
        <v/>
      </c>
      <c r="BA106" s="68" t="str">
        <f>IF(ListLayout[[#This Row],[List Name for Layout]]="","nest_relation1",IFERROR(VLOOKUP(ListLayout[[#This Row],[Relation 1]],RelationTable[[Display]:[RELID]],2,0),""))</f>
        <v/>
      </c>
      <c r="BB106" s="68" t="str">
        <f>IF(ListLayout[[#This Row],[List Name for Layout]]="","nest_relation2",IFERROR(VLOOKUP(ListLayout[[#This Row],[Relation 2]],RelationTable[[Display]:[RELID]],2,0),""))</f>
        <v/>
      </c>
      <c r="BC106" s="108"/>
      <c r="BD106" s="108"/>
      <c r="BE106" s="108"/>
    </row>
    <row r="107" spans="46:57">
      <c r="AT107" s="68" t="str">
        <f>'Table Seed Map'!$A$27&amp;"-"&amp;COUNTA($AV$1:ListLayout[[#This Row],[No]])-2</f>
        <v>List Layout-105</v>
      </c>
      <c r="AU107" s="62" t="s">
        <v>1811</v>
      </c>
      <c r="AV107" s="68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8">
        <f>IFERROR(VLOOKUP(ListLayout[[#This Row],[List Name for Layout]],ResourceList[[ListDisplayName]:[No]],2,0),"resource_list")</f>
        <v>2123127</v>
      </c>
      <c r="AX107" s="69" t="s">
        <v>1832</v>
      </c>
      <c r="AY107" s="107" t="s">
        <v>1833</v>
      </c>
      <c r="AZ107" s="69" t="str">
        <f>IF(ListLayout[[#This Row],[List Name for Layout]]="","relation",IFERROR(VLOOKUP(ListLayout[[#This Row],[Relation]],RelationTable[[Display]:[RELID]],2,0),""))</f>
        <v/>
      </c>
      <c r="BA107" s="68" t="str">
        <f>IF(ListLayout[[#This Row],[List Name for Layout]]="","nest_relation1",IFERROR(VLOOKUP(ListLayout[[#This Row],[Relation 1]],RelationTable[[Display]:[RELID]],2,0),""))</f>
        <v/>
      </c>
      <c r="BB107" s="68" t="str">
        <f>IF(ListLayout[[#This Row],[List Name for Layout]]="","nest_relation2",IFERROR(VLOOKUP(ListLayout[[#This Row],[Relation 2]],RelationTable[[Display]:[RELID]],2,0),""))</f>
        <v/>
      </c>
      <c r="BC107" s="107"/>
      <c r="BD107" s="108"/>
      <c r="BE107" s="108"/>
    </row>
    <row r="108" spans="46:57">
      <c r="AT108" s="69" t="str">
        <f>'Table Seed Map'!$A$27&amp;"-"&amp;COUNTA($AV$1:ListLayout[[#This Row],[No]])-2</f>
        <v>List Layout-106</v>
      </c>
      <c r="AU108" s="62" t="s">
        <v>1811</v>
      </c>
      <c r="AV108" s="69">
        <f>IF(ListLayout[[#This Row],[List Name for Layout]]="","id",COUNTA($AU$2:ListLayout[[#This Row],[List Name for Layout]])+IF(ISNUMBER(VLOOKUP('Table Seed Map'!$A$27,SeedMap[],9,0)),VLOOKUP('Table Seed Map'!$A$27,SeedMap[],9,0),0))</f>
        <v>2126206</v>
      </c>
      <c r="AW108" s="69">
        <f>IFERROR(VLOOKUP(ListLayout[[#This Row],[List Name for Layout]],ResourceList[[ListDisplayName]:[No]],2,0),"resource_list")</f>
        <v>2123127</v>
      </c>
      <c r="AX108" s="69" t="s">
        <v>787</v>
      </c>
      <c r="AY108" s="107" t="s">
        <v>21</v>
      </c>
      <c r="AZ108" s="69">
        <f>IF(ListLayout[[#This Row],[List Name for Layout]]="","relation",IFERROR(VLOOKUP(ListLayout[[#This Row],[Relation]],RelationTable[[Display]:[RELID]],2,0),""))</f>
        <v>2109161</v>
      </c>
      <c r="BA108" s="69" t="str">
        <f>IF(ListLayout[[#This Row],[List Name for Layout]]="","nest_relation1",IFERROR(VLOOKUP(ListLayout[[#This Row],[Relation 1]],RelationTable[[Display]:[RELID]],2,0),""))</f>
        <v/>
      </c>
      <c r="BB108" s="69" t="str">
        <f>IF(ListLayout[[#This Row],[List Name for Layout]]="","nest_relation2",IFERROR(VLOOKUP(ListLayout[[#This Row],[Relation 2]],RelationTable[[Display]:[RELID]],2,0),""))</f>
        <v/>
      </c>
      <c r="BC108" s="107" t="s">
        <v>1481</v>
      </c>
      <c r="BD108" s="107"/>
      <c r="BE108" s="107"/>
    </row>
    <row r="109" spans="46:57">
      <c r="AT109" s="69" t="str">
        <f>'Table Seed Map'!$A$27&amp;"-"&amp;COUNTA($AV$1:ListLayout[[#This Row],[No]])-2</f>
        <v>List Layout-107</v>
      </c>
      <c r="AU109" s="62" t="s">
        <v>1811</v>
      </c>
      <c r="AV109" s="69">
        <f>IF(ListLayout[[#This Row],[List Name for Layout]]="","id",COUNTA($AU$2:ListLayout[[#This Row],[List Name for Layout]])+IF(ISNUMBER(VLOOKUP('Table Seed Map'!$A$27,SeedMap[],9,0)),VLOOKUP('Table Seed Map'!$A$27,SeedMap[],9,0),0))</f>
        <v>2126207</v>
      </c>
      <c r="AW109" s="69">
        <f>IFERROR(VLOOKUP(ListLayout[[#This Row],[List Name for Layout]],ResourceList[[ListDisplayName]:[No]],2,0),"resource_list")</f>
        <v>2123127</v>
      </c>
      <c r="AX109" s="69" t="s">
        <v>1477</v>
      </c>
      <c r="AY109" s="107" t="s">
        <v>886</v>
      </c>
      <c r="AZ109" s="69" t="str">
        <f>IF(ListLayout[[#This Row],[List Name for Layout]]="","relation",IFERROR(VLOOKUP(ListLayout[[#This Row],[Relation]],RelationTable[[Display]:[RELID]],2,0),""))</f>
        <v/>
      </c>
      <c r="BA109" s="69" t="str">
        <f>IF(ListLayout[[#This Row],[List Name for Layout]]="","nest_relation1",IFERROR(VLOOKUP(ListLayout[[#This Row],[Relation 1]],RelationTable[[Display]:[RELID]],2,0),""))</f>
        <v/>
      </c>
      <c r="BB109" s="69" t="str">
        <f>IF(ListLayout[[#This Row],[List Name for Layout]]="","nest_relation2",IFERROR(VLOOKUP(ListLayout[[#This Row],[Relation 2]],RelationTable[[Display]:[RELID]],2,0),""))</f>
        <v/>
      </c>
      <c r="BC109" s="107"/>
      <c r="BD109" s="107"/>
      <c r="BE109" s="107"/>
    </row>
    <row r="110" spans="46:57">
      <c r="AT110" s="69" t="str">
        <f>'Table Seed Map'!$A$27&amp;"-"&amp;COUNTA($AV$1:ListLayout[[#This Row],[No]])-2</f>
        <v>List Layout-108</v>
      </c>
      <c r="AU110" s="62" t="s">
        <v>1836</v>
      </c>
      <c r="AV110" s="69">
        <f>IF(ListLayout[[#This Row],[List Name for Layout]]="","id",COUNTA($AU$2:ListLayout[[#This Row],[List Name for Layout]])+IF(ISNUMBER(VLOOKUP('Table Seed Map'!$A$27,SeedMap[],9,0)),VLOOKUP('Table Seed Map'!$A$27,SeedMap[],9,0),0))</f>
        <v>2126208</v>
      </c>
      <c r="AW110" s="69">
        <f>IFERROR(VLOOKUP(ListLayout[[#This Row],[List Name for Layout]],ResourceList[[ListDisplayName]:[No]],2,0),"resource_list")</f>
        <v>2123128</v>
      </c>
      <c r="AX110" s="69" t="s">
        <v>307</v>
      </c>
      <c r="AY110" s="107" t="s">
        <v>21</v>
      </c>
      <c r="AZ110" s="69" t="str">
        <f>IF(ListLayout[[#This Row],[List Name for Layout]]="","relation",IFERROR(VLOOKUP(ListLayout[[#This Row],[Relation]],RelationTable[[Display]:[RELID]],2,0),""))</f>
        <v/>
      </c>
      <c r="BA110" s="69" t="str">
        <f>IF(ListLayout[[#This Row],[List Name for Layout]]="","nest_relation1",IFERROR(VLOOKUP(ListLayout[[#This Row],[Relation 1]],RelationTable[[Display]:[RELID]],2,0),""))</f>
        <v/>
      </c>
      <c r="BB110" s="69" t="str">
        <f>IF(ListLayout[[#This Row],[List Name for Layout]]="","nest_relation2",IFERROR(VLOOKUP(ListLayout[[#This Row],[Relation 2]],RelationTable[[Display]:[RELID]],2,0),""))</f>
        <v/>
      </c>
      <c r="BC110" s="107"/>
      <c r="BD110" s="107"/>
      <c r="BE110" s="107"/>
    </row>
    <row r="111" spans="46:57">
      <c r="AT111" s="68" t="str">
        <f>'Table Seed Map'!$A$27&amp;"-"&amp;COUNTA($AV$1:ListLayout[[#This Row],[No]])-2</f>
        <v>List Layout-109</v>
      </c>
      <c r="AU111" s="62" t="s">
        <v>1836</v>
      </c>
      <c r="AV111" s="68">
        <f>IF(ListLayout[[#This Row],[List Name for Layout]]="","id",COUNTA($AU$2:ListLayout[[#This Row],[List Name for Layout]])+IF(ISNUMBER(VLOOKUP('Table Seed Map'!$A$27,SeedMap[],9,0)),VLOOKUP('Table Seed Map'!$A$27,SeedMap[],9,0),0))</f>
        <v>2126209</v>
      </c>
      <c r="AW111" s="68">
        <f>IFERROR(VLOOKUP(ListLayout[[#This Row],[List Name for Layout]],ResourceList[[ListDisplayName]:[No]],2,0),"resource_list")</f>
        <v>2123128</v>
      </c>
      <c r="AX111" s="69" t="s">
        <v>785</v>
      </c>
      <c r="AY111" s="107" t="s">
        <v>23</v>
      </c>
      <c r="AZ111" s="68">
        <f>IF(ListLayout[[#This Row],[List Name for Layout]]="","relation",IFERROR(VLOOKUP(ListLayout[[#This Row],[Relation]],RelationTable[[Display]:[RELID]],2,0),""))</f>
        <v>2109162</v>
      </c>
      <c r="BA111" s="68" t="str">
        <f>IF(ListLayout[[#This Row],[List Name for Layout]]="","nest_relation1",IFERROR(VLOOKUP(ListLayout[[#This Row],[Relation 1]],RelationTable[[Display]:[RELID]],2,0),""))</f>
        <v/>
      </c>
      <c r="BB111" s="68" t="str">
        <f>IF(ListLayout[[#This Row],[List Name for Layout]]="","nest_relation2",IFERROR(VLOOKUP(ListLayout[[#This Row],[Relation 2]],RelationTable[[Display]:[RELID]],2,0),""))</f>
        <v/>
      </c>
      <c r="BC111" s="107" t="s">
        <v>1480</v>
      </c>
      <c r="BD111" s="108"/>
      <c r="BE111" s="108"/>
    </row>
    <row r="112" spans="46:57">
      <c r="AT112" s="68" t="str">
        <f>'Table Seed Map'!$A$27&amp;"-"&amp;COUNTA($AV$1:ListLayout[[#This Row],[No]])-2</f>
        <v>List Layout-110</v>
      </c>
      <c r="AU112" s="62" t="s">
        <v>1836</v>
      </c>
      <c r="AV112" s="68">
        <f>IF(ListLayout[[#This Row],[List Name for Layout]]="","id",COUNTA($AU$2:ListLayout[[#This Row],[List Name for Layout]])+IF(ISNUMBER(VLOOKUP('Table Seed Map'!$A$27,SeedMap[],9,0)),VLOOKUP('Table Seed Map'!$A$27,SeedMap[],9,0),0))</f>
        <v>2126210</v>
      </c>
      <c r="AW112" s="68">
        <f>IFERROR(VLOOKUP(ListLayout[[#This Row],[List Name for Layout]],ResourceList[[ListDisplayName]:[No]],2,0),"resource_list")</f>
        <v>2123128</v>
      </c>
      <c r="AX112" s="69" t="s">
        <v>1337</v>
      </c>
      <c r="AY112" s="107" t="s">
        <v>827</v>
      </c>
      <c r="AZ112" s="68" t="str">
        <f>IF(ListLayout[[#This Row],[List Name for Layout]]="","relation",IFERROR(VLOOKUP(ListLayout[[#This Row],[Relation]],RelationTable[[Display]:[RELID]],2,0),""))</f>
        <v/>
      </c>
      <c r="BA112" s="68" t="str">
        <f>IF(ListLayout[[#This Row],[List Name for Layout]]="","nest_relation1",IFERROR(VLOOKUP(ListLayout[[#This Row],[Relation 1]],RelationTable[[Display]:[RELID]],2,0),""))</f>
        <v/>
      </c>
      <c r="BB112" s="68" t="str">
        <f>IF(ListLayout[[#This Row],[List Name for Layout]]="","nest_relation2",IFERROR(VLOOKUP(ListLayout[[#This Row],[Relation 2]],RelationTable[[Display]:[RELID]],2,0),""))</f>
        <v/>
      </c>
      <c r="BC112" s="108"/>
      <c r="BD112" s="108"/>
      <c r="BE112" s="108"/>
    </row>
    <row r="113" spans="46:57">
      <c r="AT113" s="68" t="str">
        <f>'Table Seed Map'!$A$27&amp;"-"&amp;COUNTA($AV$1:ListLayout[[#This Row],[No]])-2</f>
        <v>List Layout-111</v>
      </c>
      <c r="AU113" s="62" t="s">
        <v>1836</v>
      </c>
      <c r="AV113" s="68">
        <f>IF(ListLayout[[#This Row],[List Name for Layout]]="","id",COUNTA($AU$2:ListLayout[[#This Row],[List Name for Layout]])+IF(ISNUMBER(VLOOKUP('Table Seed Map'!$A$27,SeedMap[],9,0)),VLOOKUP('Table Seed Map'!$A$27,SeedMap[],9,0),0))</f>
        <v>2126211</v>
      </c>
      <c r="AW113" s="68">
        <f>IFERROR(VLOOKUP(ListLayout[[#This Row],[List Name for Layout]],ResourceList[[ListDisplayName]:[No]],2,0),"resource_list")</f>
        <v>2123128</v>
      </c>
      <c r="AX113" s="69" t="s">
        <v>1805</v>
      </c>
      <c r="AY113" s="107" t="s">
        <v>1806</v>
      </c>
      <c r="AZ113" s="68" t="str">
        <f>IF(ListLayout[[#This Row],[List Name for Layout]]="","relation",IFERROR(VLOOKUP(ListLayout[[#This Row],[Relation]],RelationTable[[Display]:[RELID]],2,0),""))</f>
        <v/>
      </c>
      <c r="BA113" s="68" t="str">
        <f>IF(ListLayout[[#This Row],[List Name for Layout]]="","nest_relation1",IFERROR(VLOOKUP(ListLayout[[#This Row],[Relation 1]],RelationTable[[Display]:[RELID]],2,0),""))</f>
        <v/>
      </c>
      <c r="BB113" s="68" t="str">
        <f>IF(ListLayout[[#This Row],[List Name for Layout]]="","nest_relation2",IFERROR(VLOOKUP(ListLayout[[#This Row],[Relation 2]],RelationTable[[Display]:[RELID]],2,0),""))</f>
        <v/>
      </c>
      <c r="BC113" s="108"/>
      <c r="BD113" s="108"/>
      <c r="BE113" s="108"/>
    </row>
    <row r="114" spans="46:57">
      <c r="AT114" s="69" t="str">
        <f>'Table Seed Map'!$A$27&amp;"-"&amp;COUNTA($AV$1:ListLayout[[#This Row],[No]])-2</f>
        <v>List Layout-112</v>
      </c>
      <c r="AU114" s="62" t="s">
        <v>1875</v>
      </c>
      <c r="AV114" s="69">
        <f>IF(ListLayout[[#This Row],[List Name for Layout]]="","id",COUNTA($AU$2:ListLayout[[#This Row],[List Name for Layout]])+IF(ISNUMBER(VLOOKUP('Table Seed Map'!$A$27,SeedMap[],9,0)),VLOOKUP('Table Seed Map'!$A$27,SeedMap[],9,0),0))</f>
        <v>2126212</v>
      </c>
      <c r="AW114" s="69">
        <f>IFERROR(VLOOKUP(ListLayout[[#This Row],[List Name for Layout]],ResourceList[[ListDisplayName]:[No]],2,0),"resource_list")</f>
        <v>2123130</v>
      </c>
      <c r="AX114" s="69" t="s">
        <v>779</v>
      </c>
      <c r="AY114" s="107" t="s">
        <v>23</v>
      </c>
      <c r="AZ114" s="69">
        <f>IF(ListLayout[[#This Row],[List Name for Layout]]="","relation",IFERROR(VLOOKUP(ListLayout[[#This Row],[Relation]],RelationTable[[Display]:[RELID]],2,0),""))</f>
        <v>2109153</v>
      </c>
      <c r="BA114" s="69" t="str">
        <f>IF(ListLayout[[#This Row],[List Name for Layout]]="","nest_relation1",IFERROR(VLOOKUP(ListLayout[[#This Row],[Relation 1]],RelationTable[[Display]:[RELID]],2,0),""))</f>
        <v/>
      </c>
      <c r="BB114" s="69" t="str">
        <f>IF(ListLayout[[#This Row],[List Name for Layout]]="","nest_relation2",IFERROR(VLOOKUP(ListLayout[[#This Row],[Relation 2]],RelationTable[[Display]:[RELID]],2,0),""))</f>
        <v/>
      </c>
      <c r="BC114" s="107" t="s">
        <v>1634</v>
      </c>
      <c r="BD114" s="107"/>
      <c r="BE114" s="107"/>
    </row>
    <row r="115" spans="46:57">
      <c r="AT115" s="69" t="str">
        <f>'Table Seed Map'!$A$27&amp;"-"&amp;COUNTA($AV$1:ListLayout[[#This Row],[No]])-2</f>
        <v>List Layout-113</v>
      </c>
      <c r="AU115" s="62" t="s">
        <v>1875</v>
      </c>
      <c r="AV115" s="69">
        <f>IF(ListLayout[[#This Row],[List Name for Layout]]="","id",COUNTA($AU$2:ListLayout[[#This Row],[List Name for Layout]])+IF(ISNUMBER(VLOOKUP('Table Seed Map'!$A$27,SeedMap[],9,0)),VLOOKUP('Table Seed Map'!$A$27,SeedMap[],9,0),0))</f>
        <v>2126213</v>
      </c>
      <c r="AW115" s="69">
        <f>IFERROR(VLOOKUP(ListLayout[[#This Row],[List Name for Layout]],ResourceList[[ListDisplayName]:[No]],2,0),"resource_list")</f>
        <v>2123130</v>
      </c>
      <c r="AX115" s="69" t="s">
        <v>104</v>
      </c>
      <c r="AY115" s="107" t="s">
        <v>854</v>
      </c>
      <c r="AZ115" s="69">
        <f>IF(ListLayout[[#This Row],[List Name for Layout]]="","relation",IFERROR(VLOOKUP(ListLayout[[#This Row],[Relation]],RelationTable[[Display]:[RELID]],2,0),""))</f>
        <v>2109154</v>
      </c>
      <c r="BA115" s="69" t="str">
        <f>IF(ListLayout[[#This Row],[List Name for Layout]]="","nest_relation1",IFERROR(VLOOKUP(ListLayout[[#This Row],[Relation 1]],RelationTable[[Display]:[RELID]],2,0),""))</f>
        <v/>
      </c>
      <c r="BB115" s="69" t="str">
        <f>IF(ListLayout[[#This Row],[List Name for Layout]]="","nest_relation2",IFERROR(VLOOKUP(ListLayout[[#This Row],[Relation 2]],RelationTable[[Display]:[RELID]],2,0),""))</f>
        <v/>
      </c>
      <c r="BC115" s="107" t="s">
        <v>1635</v>
      </c>
      <c r="BD115" s="107"/>
      <c r="BE115" s="107"/>
    </row>
    <row r="116" spans="46:57">
      <c r="AT116" s="69" t="str">
        <f>'Table Seed Map'!$A$27&amp;"-"&amp;COUNTA($AV$1:ListLayout[[#This Row],[No]])-2</f>
        <v>List Layout-114</v>
      </c>
      <c r="AU116" s="62" t="s">
        <v>1875</v>
      </c>
      <c r="AV116" s="69">
        <f>IF(ListLayout[[#This Row],[List Name for Layout]]="","id",COUNTA($AU$2:ListLayout[[#This Row],[List Name for Layout]])+IF(ISNUMBER(VLOOKUP('Table Seed Map'!$A$27,SeedMap[],9,0)),VLOOKUP('Table Seed Map'!$A$27,SeedMap[],9,0),0))</f>
        <v>2126214</v>
      </c>
      <c r="AW116" s="69">
        <f>IFERROR(VLOOKUP(ListLayout[[#This Row],[List Name for Layout]],ResourceList[[ListDisplayName]:[No]],2,0),"resource_list")</f>
        <v>2123130</v>
      </c>
      <c r="AX116" s="69" t="s">
        <v>1033</v>
      </c>
      <c r="AY116" s="107" t="s">
        <v>1642</v>
      </c>
      <c r="AZ116" s="69">
        <f>IF(ListLayout[[#This Row],[List Name for Layout]]="","relation",IFERROR(VLOOKUP(ListLayout[[#This Row],[Relation]],RelationTable[[Display]:[RELID]],2,0),""))</f>
        <v>2109155</v>
      </c>
      <c r="BA116" s="69" t="str">
        <f>IF(ListLayout[[#This Row],[List Name for Layout]]="","nest_relation1",IFERROR(VLOOKUP(ListLayout[[#This Row],[Relation 1]],RelationTable[[Display]:[RELID]],2,0),""))</f>
        <v/>
      </c>
      <c r="BB116" s="69" t="str">
        <f>IF(ListLayout[[#This Row],[List Name for Layout]]="","nest_relation2",IFERROR(VLOOKUP(ListLayout[[#This Row],[Relation 2]],RelationTable[[Display]:[RELID]],2,0),""))</f>
        <v/>
      </c>
      <c r="BC116" s="107" t="s">
        <v>1636</v>
      </c>
      <c r="BD116" s="107"/>
      <c r="BE116" s="107"/>
    </row>
    <row r="117" spans="46:57">
      <c r="AT117" s="69" t="str">
        <f>'Table Seed Map'!$A$27&amp;"-"&amp;COUNTA($AV$1:ListLayout[[#This Row],[No]])-2</f>
        <v>List Layout-115</v>
      </c>
      <c r="AU117" s="62" t="s">
        <v>1875</v>
      </c>
      <c r="AV117" s="69">
        <f>IF(ListLayout[[#This Row],[List Name for Layout]]="","id",COUNTA($AU$2:ListLayout[[#This Row],[List Name for Layout]])+IF(ISNUMBER(VLOOKUP('Table Seed Map'!$A$27,SeedMap[],9,0)),VLOOKUP('Table Seed Map'!$A$27,SeedMap[],9,0),0))</f>
        <v>2126215</v>
      </c>
      <c r="AW117" s="69">
        <f>IFERROR(VLOOKUP(ListLayout[[#This Row],[List Name for Layout]],ResourceList[[ListDisplayName]:[No]],2,0),"resource_list")</f>
        <v>2123130</v>
      </c>
      <c r="AX117" s="69" t="s">
        <v>900</v>
      </c>
      <c r="AY117" s="107" t="s">
        <v>23</v>
      </c>
      <c r="AZ117" s="69">
        <f>IF(ListLayout[[#This Row],[List Name for Layout]]="","relation",IFERROR(VLOOKUP(ListLayout[[#This Row],[Relation]],RelationTable[[Display]:[RELID]],2,0),""))</f>
        <v>2109188</v>
      </c>
      <c r="BA117" s="69" t="str">
        <f>IF(ListLayout[[#This Row],[List Name for Layout]]="","nest_relation1",IFERROR(VLOOKUP(ListLayout[[#This Row],[Relation 1]],RelationTable[[Display]:[RELID]],2,0),""))</f>
        <v/>
      </c>
      <c r="BB117" s="69" t="str">
        <f>IF(ListLayout[[#This Row],[List Name for Layout]]="","nest_relation2",IFERROR(VLOOKUP(ListLayout[[#This Row],[Relation 2]],RelationTable[[Display]:[RELID]],2,0),""))</f>
        <v/>
      </c>
      <c r="BC117" s="107" t="s">
        <v>1257</v>
      </c>
      <c r="BD117" s="107"/>
      <c r="BE117" s="107"/>
    </row>
    <row r="118" spans="46:57">
      <c r="AT118" s="69" t="str">
        <f>'Table Seed Map'!$A$27&amp;"-"&amp;COUNTA($AV$1:ListLayout[[#This Row],[No]])-2</f>
        <v>List Layout-116</v>
      </c>
      <c r="AU118" s="62" t="s">
        <v>1875</v>
      </c>
      <c r="AV118" s="69">
        <f>IF(ListLayout[[#This Row],[List Name for Layout]]="","id",COUNTA($AU$2:ListLayout[[#This Row],[List Name for Layout]])+IF(ISNUMBER(VLOOKUP('Table Seed Map'!$A$27,SeedMap[],9,0)),VLOOKUP('Table Seed Map'!$A$27,SeedMap[],9,0),0))</f>
        <v>2126216</v>
      </c>
      <c r="AW118" s="69">
        <f>IFERROR(VLOOKUP(ListLayout[[#This Row],[List Name for Layout]],ResourceList[[ListDisplayName]:[No]],2,0),"resource_list")</f>
        <v>2123130</v>
      </c>
      <c r="AX118" s="69" t="s">
        <v>1262</v>
      </c>
      <c r="AY118" s="107" t="s">
        <v>856</v>
      </c>
      <c r="AZ118" s="69" t="str">
        <f>IF(ListLayout[[#This Row],[List Name for Layout]]="","relation",IFERROR(VLOOKUP(ListLayout[[#This Row],[Relation]],RelationTable[[Display]:[RELID]],2,0),""))</f>
        <v/>
      </c>
      <c r="BA118" s="69" t="str">
        <f>IF(ListLayout[[#This Row],[List Name for Layout]]="","nest_relation1",IFERROR(VLOOKUP(ListLayout[[#This Row],[Relation 1]],RelationTable[[Display]:[RELID]],2,0),""))</f>
        <v/>
      </c>
      <c r="BB118" s="69" t="str">
        <f>IF(ListLayout[[#This Row],[List Name for Layout]]="","nest_relation2",IFERROR(VLOOKUP(ListLayout[[#This Row],[Relation 2]],RelationTable[[Display]:[RELID]],2,0),""))</f>
        <v/>
      </c>
      <c r="BC118" s="107"/>
      <c r="BD118" s="107"/>
      <c r="BE118" s="107"/>
    </row>
    <row r="119" spans="46:57">
      <c r="AT119" s="69" t="str">
        <f>'Table Seed Map'!$A$27&amp;"-"&amp;COUNTA($AV$1:ListLayout[[#This Row],[No]])-2</f>
        <v>List Layout-117</v>
      </c>
      <c r="AU119" s="62" t="s">
        <v>1875</v>
      </c>
      <c r="AV119" s="69">
        <f>IF(ListLayout[[#This Row],[List Name for Layout]]="","id",COUNTA($AU$2:ListLayout[[#This Row],[List Name for Layout]])+IF(ISNUMBER(VLOOKUP('Table Seed Map'!$A$27,SeedMap[],9,0)),VLOOKUP('Table Seed Map'!$A$27,SeedMap[],9,0),0))</f>
        <v>2126217</v>
      </c>
      <c r="AW119" s="69">
        <f>IFERROR(VLOOKUP(ListLayout[[#This Row],[List Name for Layout]],ResourceList[[ListDisplayName]:[No]],2,0),"resource_list")</f>
        <v>2123130</v>
      </c>
      <c r="AX119" s="69" t="s">
        <v>1477</v>
      </c>
      <c r="AY119" s="107" t="s">
        <v>886</v>
      </c>
      <c r="AZ119" s="69" t="str">
        <f>IF(ListLayout[[#This Row],[List Name for Layout]]="","relation",IFERROR(VLOOKUP(ListLayout[[#This Row],[Relation]],RelationTable[[Display]:[RELID]],2,0),""))</f>
        <v/>
      </c>
      <c r="BA119" s="69" t="str">
        <f>IF(ListLayout[[#This Row],[List Name for Layout]]="","nest_relation1",IFERROR(VLOOKUP(ListLayout[[#This Row],[Relation 1]],RelationTable[[Display]:[RELID]],2,0),""))</f>
        <v/>
      </c>
      <c r="BB119" s="69" t="str">
        <f>IF(ListLayout[[#This Row],[List Name for Layout]]="","nest_relation2",IFERROR(VLOOKUP(ListLayout[[#This Row],[Relation 2]],RelationTable[[Display]:[RELID]],2,0),""))</f>
        <v/>
      </c>
      <c r="BC119" s="107"/>
      <c r="BD119" s="107"/>
      <c r="BE119" s="107"/>
    </row>
    <row r="120" spans="46:57">
      <c r="AT120" s="68" t="str">
        <f>'Table Seed Map'!$A$27&amp;"-"&amp;COUNTA($AV$1:ListLayout[[#This Row],[No]])-2</f>
        <v>List Layout-118</v>
      </c>
      <c r="AU120" s="62" t="s">
        <v>1898</v>
      </c>
      <c r="AV120" s="68">
        <f>IF(ListLayout[[#This Row],[List Name for Layout]]="","id",COUNTA($AU$2:ListLayout[[#This Row],[List Name for Layout]])+IF(ISNUMBER(VLOOKUP('Table Seed Map'!$A$27,SeedMap[],9,0)),VLOOKUP('Table Seed Map'!$A$27,SeedMap[],9,0),0))</f>
        <v>2126218</v>
      </c>
      <c r="AW120" s="68">
        <f>IFERROR(VLOOKUP(ListLayout[[#This Row],[List Name for Layout]],ResourceList[[ListDisplayName]:[No]],2,0),"resource_list")</f>
        <v>2123131</v>
      </c>
      <c r="AX120" s="69" t="s">
        <v>307</v>
      </c>
      <c r="AY120" s="107" t="s">
        <v>21</v>
      </c>
      <c r="AZ120" s="68" t="str">
        <f>IF(ListLayout[[#This Row],[List Name for Layout]]="","relation",IFERROR(VLOOKUP(ListLayout[[#This Row],[Relation]],RelationTable[[Display]:[RELID]],2,0),""))</f>
        <v/>
      </c>
      <c r="BA120" s="68" t="str">
        <f>IF(ListLayout[[#This Row],[List Name for Layout]]="","nest_relation1",IFERROR(VLOOKUP(ListLayout[[#This Row],[Relation 1]],RelationTable[[Display]:[RELID]],2,0),""))</f>
        <v/>
      </c>
      <c r="BB120" s="68" t="str">
        <f>IF(ListLayout[[#This Row],[List Name for Layout]]="","nest_relation2",IFERROR(VLOOKUP(ListLayout[[#This Row],[Relation 2]],RelationTable[[Display]:[RELID]],2,0),""))</f>
        <v/>
      </c>
      <c r="BC120" s="108"/>
      <c r="BD120" s="108"/>
      <c r="BE120" s="108"/>
    </row>
    <row r="121" spans="46:57">
      <c r="AT121" s="68" t="str">
        <f>'Table Seed Map'!$A$27&amp;"-"&amp;COUNTA($AV$1:ListLayout[[#This Row],[No]])-2</f>
        <v>List Layout-119</v>
      </c>
      <c r="AU121" s="62" t="s">
        <v>1898</v>
      </c>
      <c r="AV121" s="68">
        <f>IF(ListLayout[[#This Row],[List Name for Layout]]="","id",COUNTA($AU$2:ListLayout[[#This Row],[List Name for Layout]])+IF(ISNUMBER(VLOOKUP('Table Seed Map'!$A$27,SeedMap[],9,0)),VLOOKUP('Table Seed Map'!$A$27,SeedMap[],9,0),0))</f>
        <v>2126219</v>
      </c>
      <c r="AW121" s="68">
        <f>IFERROR(VLOOKUP(ListLayout[[#This Row],[List Name for Layout]],ResourceList[[ListDisplayName]:[No]],2,0),"resource_list")</f>
        <v>2123131</v>
      </c>
      <c r="AX121" s="69" t="s">
        <v>785</v>
      </c>
      <c r="AY121" s="107" t="s">
        <v>23</v>
      </c>
      <c r="AZ121" s="68">
        <f>IF(ListLayout[[#This Row],[List Name for Layout]]="","relation",IFERROR(VLOOKUP(ListLayout[[#This Row],[Relation]],RelationTable[[Display]:[RELID]],2,0),""))</f>
        <v>2109147</v>
      </c>
      <c r="BA121" s="68" t="str">
        <f>IF(ListLayout[[#This Row],[List Name for Layout]]="","nest_relation1",IFERROR(VLOOKUP(ListLayout[[#This Row],[Relation 1]],RelationTable[[Display]:[RELID]],2,0),""))</f>
        <v/>
      </c>
      <c r="BB121" s="68" t="str">
        <f>IF(ListLayout[[#This Row],[List Name for Layout]]="","nest_relation2",IFERROR(VLOOKUP(ListLayout[[#This Row],[Relation 2]],RelationTable[[Display]:[RELID]],2,0),""))</f>
        <v/>
      </c>
      <c r="BC121" s="107" t="s">
        <v>1478</v>
      </c>
      <c r="BD121" s="108"/>
      <c r="BE121" s="108"/>
    </row>
    <row r="122" spans="46:57">
      <c r="AT122" s="68" t="str">
        <f>'Table Seed Map'!$A$27&amp;"-"&amp;COUNTA($AV$1:ListLayout[[#This Row],[No]])-2</f>
        <v>List Layout-120</v>
      </c>
      <c r="AU122" s="62" t="s">
        <v>1898</v>
      </c>
      <c r="AV122" s="68">
        <f>IF(ListLayout[[#This Row],[List Name for Layout]]="","id",COUNTA($AU$2:ListLayout[[#This Row],[List Name for Layout]])+IF(ISNUMBER(VLOOKUP('Table Seed Map'!$A$27,SeedMap[],9,0)),VLOOKUP('Table Seed Map'!$A$27,SeedMap[],9,0),0))</f>
        <v>2126220</v>
      </c>
      <c r="AW122" s="68">
        <f>IFERROR(VLOOKUP(ListLayout[[#This Row],[List Name for Layout]],ResourceList[[ListDisplayName]:[No]],2,0),"resource_list")</f>
        <v>2123131</v>
      </c>
      <c r="AX122" s="69" t="s">
        <v>1337</v>
      </c>
      <c r="AY122" s="107" t="s">
        <v>827</v>
      </c>
      <c r="AZ122" s="68" t="str">
        <f>IF(ListLayout[[#This Row],[List Name for Layout]]="","relation",IFERROR(VLOOKUP(ListLayout[[#This Row],[Relation]],RelationTable[[Display]:[RELID]],2,0),""))</f>
        <v/>
      </c>
      <c r="BA122" s="68" t="str">
        <f>IF(ListLayout[[#This Row],[List Name for Layout]]="","nest_relation1",IFERROR(VLOOKUP(ListLayout[[#This Row],[Relation 1]],RelationTable[[Display]:[RELID]],2,0),""))</f>
        <v/>
      </c>
      <c r="BB122" s="68" t="str">
        <f>IF(ListLayout[[#This Row],[List Name for Layout]]="","nest_relation2",IFERROR(VLOOKUP(ListLayout[[#This Row],[Relation 2]],RelationTable[[Display]:[RELID]],2,0),""))</f>
        <v/>
      </c>
      <c r="BC122" s="108"/>
      <c r="BD122" s="108"/>
      <c r="BE122" s="108"/>
    </row>
    <row r="123" spans="46:57">
      <c r="AT123" s="69" t="str">
        <f>'Table Seed Map'!$A$27&amp;"-"&amp;COUNTA($AV$1:ListLayout[[#This Row],[No]])-2</f>
        <v>List Layout-121</v>
      </c>
      <c r="AU123" s="62" t="s">
        <v>1898</v>
      </c>
      <c r="AV123" s="69">
        <f>IF(ListLayout[[#This Row],[List Name for Layout]]="","id",COUNTA($AU$2:ListLayout[[#This Row],[List Name for Layout]])+IF(ISNUMBER(VLOOKUP('Table Seed Map'!$A$27,SeedMap[],9,0)),VLOOKUP('Table Seed Map'!$A$27,SeedMap[],9,0),0))</f>
        <v>2126221</v>
      </c>
      <c r="AW123" s="69">
        <f>IFERROR(VLOOKUP(ListLayout[[#This Row],[List Name for Layout]],ResourceList[[ListDisplayName]:[No]],2,0),"resource_list")</f>
        <v>2123131</v>
      </c>
      <c r="AX123" s="69" t="s">
        <v>1477</v>
      </c>
      <c r="AY123" s="107" t="s">
        <v>886</v>
      </c>
      <c r="AZ123" s="69" t="str">
        <f>IF(ListLayout[[#This Row],[List Name for Layout]]="","relation",IFERROR(VLOOKUP(ListLayout[[#This Row],[Relation]],RelationTable[[Display]:[RELID]],2,0),""))</f>
        <v/>
      </c>
      <c r="BA123" s="69" t="str">
        <f>IF(ListLayout[[#This Row],[List Name for Layout]]="","nest_relation1",IFERROR(VLOOKUP(ListLayout[[#This Row],[Relation 1]],RelationTable[[Display]:[RELID]],2,0),""))</f>
        <v/>
      </c>
      <c r="BB123" s="69" t="str">
        <f>IF(ListLayout[[#This Row],[List Name for Layout]]="","nest_relation2",IFERROR(VLOOKUP(ListLayout[[#This Row],[Relation 2]],RelationTable[[Display]:[RELID]],2,0),""))</f>
        <v/>
      </c>
      <c r="BC123" s="107"/>
      <c r="BD123" s="107"/>
      <c r="BE123" s="107"/>
    </row>
    <row r="124" spans="46:57">
      <c r="AT124" s="68" t="str">
        <f>'Table Seed Map'!$A$27&amp;"-"&amp;COUNTA($AV$1:ListLayout[[#This Row],[No]])-2</f>
        <v>List Layout-122</v>
      </c>
      <c r="AU124" s="62" t="s">
        <v>1906</v>
      </c>
      <c r="AV124" s="68">
        <f>IF(ListLayout[[#This Row],[List Name for Layout]]="","id",COUNTA($AU$2:ListLayout[[#This Row],[List Name for Layout]])+IF(ISNUMBER(VLOOKUP('Table Seed Map'!$A$27,SeedMap[],9,0)),VLOOKUP('Table Seed Map'!$A$27,SeedMap[],9,0),0))</f>
        <v>2126222</v>
      </c>
      <c r="AW124" s="68">
        <f>IFERROR(VLOOKUP(ListLayout[[#This Row],[List Name for Layout]],ResourceList[[ListDisplayName]:[No]],2,0),"resource_list")</f>
        <v>2123132</v>
      </c>
      <c r="AX124" s="69" t="s">
        <v>1649</v>
      </c>
      <c r="AY124" s="107" t="s">
        <v>23</v>
      </c>
      <c r="AZ124" s="68">
        <f>IF(ListLayout[[#This Row],[List Name for Layout]]="","relation",IFERROR(VLOOKUP(ListLayout[[#This Row],[Relation]],RelationTable[[Display]:[RELID]],2,0),""))</f>
        <v>2109158</v>
      </c>
      <c r="BA124" s="68" t="str">
        <f>IF(ListLayout[[#This Row],[List Name for Layout]]="","nest_relation1",IFERROR(VLOOKUP(ListLayout[[#This Row],[Relation 1]],RelationTable[[Display]:[RELID]],2,0),""))</f>
        <v/>
      </c>
      <c r="BB124" s="68" t="str">
        <f>IF(ListLayout[[#This Row],[List Name for Layout]]="","nest_relation2",IFERROR(VLOOKUP(ListLayout[[#This Row],[Relation 2]],RelationTable[[Display]:[RELID]],2,0),""))</f>
        <v/>
      </c>
      <c r="BC124" s="107" t="s">
        <v>1648</v>
      </c>
      <c r="BD124" s="108"/>
      <c r="BE124" s="108"/>
    </row>
    <row r="125" spans="46:57">
      <c r="AT125" s="68" t="str">
        <f>'Table Seed Map'!$A$27&amp;"-"&amp;COUNTA($AV$1:ListLayout[[#This Row],[No]])-2</f>
        <v>List Layout-123</v>
      </c>
      <c r="AU125" s="62" t="s">
        <v>1906</v>
      </c>
      <c r="AV125" s="68">
        <f>IF(ListLayout[[#This Row],[List Name for Layout]]="","id",COUNTA($AU$2:ListLayout[[#This Row],[List Name for Layout]])+IF(ISNUMBER(VLOOKUP('Table Seed Map'!$A$27,SeedMap[],9,0)),VLOOKUP('Table Seed Map'!$A$27,SeedMap[],9,0),0))</f>
        <v>2126223</v>
      </c>
      <c r="AW125" s="68">
        <f>IFERROR(VLOOKUP(ListLayout[[#This Row],[List Name for Layout]],ResourceList[[ListDisplayName]:[No]],2,0),"resource_list")</f>
        <v>2123132</v>
      </c>
      <c r="AX125" s="69" t="s">
        <v>778</v>
      </c>
      <c r="AY125" s="107" t="s">
        <v>23</v>
      </c>
      <c r="AZ125" s="68">
        <f>IF(ListLayout[[#This Row],[List Name for Layout]]="","relation",IFERROR(VLOOKUP(ListLayout[[#This Row],[Relation]],RelationTable[[Display]:[RELID]],2,0),""))</f>
        <v>2109159</v>
      </c>
      <c r="BA125" s="68" t="str">
        <f>IF(ListLayout[[#This Row],[List Name for Layout]]="","nest_relation1",IFERROR(VLOOKUP(ListLayout[[#This Row],[Relation 1]],RelationTable[[Display]:[RELID]],2,0),""))</f>
        <v/>
      </c>
      <c r="BB125" s="68" t="str">
        <f>IF(ListLayout[[#This Row],[List Name for Layout]]="","nest_relation2",IFERROR(VLOOKUP(ListLayout[[#This Row],[Relation 2]],RelationTable[[Display]:[RELID]],2,0),""))</f>
        <v/>
      </c>
      <c r="BC125" s="107" t="s">
        <v>1650</v>
      </c>
      <c r="BD125" s="108"/>
      <c r="BE125" s="108"/>
    </row>
    <row r="126" spans="46:57">
      <c r="AT126" s="68" t="str">
        <f>'Table Seed Map'!$A$27&amp;"-"&amp;COUNTA($AV$1:ListLayout[[#This Row],[No]])-2</f>
        <v>List Layout-124</v>
      </c>
      <c r="AU126" s="62" t="s">
        <v>1906</v>
      </c>
      <c r="AV126" s="68">
        <f>IF(ListLayout[[#This Row],[List Name for Layout]]="","id",COUNTA($AU$2:ListLayout[[#This Row],[List Name for Layout]])+IF(ISNUMBER(VLOOKUP('Table Seed Map'!$A$27,SeedMap[],9,0)),VLOOKUP('Table Seed Map'!$A$27,SeedMap[],9,0),0))</f>
        <v>2126224</v>
      </c>
      <c r="AW126" s="68">
        <f>IFERROR(VLOOKUP(ListLayout[[#This Row],[List Name for Layout]],ResourceList[[ListDisplayName]:[No]],2,0),"resource_list")</f>
        <v>2123132</v>
      </c>
      <c r="AX126" s="69" t="s">
        <v>1094</v>
      </c>
      <c r="AY126" s="107" t="s">
        <v>23</v>
      </c>
      <c r="AZ126" s="68">
        <f>IF(ListLayout[[#This Row],[List Name for Layout]]="","relation",IFERROR(VLOOKUP(ListLayout[[#This Row],[Relation]],RelationTable[[Display]:[RELID]],2,0),""))</f>
        <v>2109189</v>
      </c>
      <c r="BA126" s="68" t="str">
        <f>IF(ListLayout[[#This Row],[List Name for Layout]]="","nest_relation1",IFERROR(VLOOKUP(ListLayout[[#This Row],[Relation 1]],RelationTable[[Display]:[RELID]],2,0),""))</f>
        <v/>
      </c>
      <c r="BB126" s="68" t="str">
        <f>IF(ListLayout[[#This Row],[List Name for Layout]]="","nest_relation2",IFERROR(VLOOKUP(ListLayout[[#This Row],[Relation 2]],RelationTable[[Display]:[RELID]],2,0),""))</f>
        <v/>
      </c>
      <c r="BC126" s="107" t="s">
        <v>1651</v>
      </c>
      <c r="BD126" s="108"/>
      <c r="BE126" s="108"/>
    </row>
    <row r="127" spans="46:57">
      <c r="AT127" s="69" t="str">
        <f>'Table Seed Map'!$A$27&amp;"-"&amp;COUNTA($AV$1:ListLayout[[#This Row],[No]])-2</f>
        <v>List Layout-125</v>
      </c>
      <c r="AU127" s="62" t="s">
        <v>1906</v>
      </c>
      <c r="AV127" s="69">
        <f>IF(ListLayout[[#This Row],[List Name for Layout]]="","id",COUNTA($AU$2:ListLayout[[#This Row],[List Name for Layout]])+IF(ISNUMBER(VLOOKUP('Table Seed Map'!$A$27,SeedMap[],9,0)),VLOOKUP('Table Seed Map'!$A$27,SeedMap[],9,0),0))</f>
        <v>2126225</v>
      </c>
      <c r="AW127" s="69">
        <f>IFERROR(VLOOKUP(ListLayout[[#This Row],[List Name for Layout]],ResourceList[[ListDisplayName]:[No]],2,0),"resource_list")</f>
        <v>2123132</v>
      </c>
      <c r="AX127" s="69" t="s">
        <v>1477</v>
      </c>
      <c r="AY127" s="107" t="s">
        <v>886</v>
      </c>
      <c r="AZ127" s="69" t="str">
        <f>IF(ListLayout[[#This Row],[List Name for Layout]]="","relation",IFERROR(VLOOKUP(ListLayout[[#This Row],[Relation]],RelationTable[[Display]:[RELID]],2,0),""))</f>
        <v/>
      </c>
      <c r="BA127" s="69" t="str">
        <f>IF(ListLayout[[#This Row],[List Name for Layout]]="","nest_relation1",IFERROR(VLOOKUP(ListLayout[[#This Row],[Relation 1]],RelationTable[[Display]:[RELID]],2,0),""))</f>
        <v/>
      </c>
      <c r="BB127" s="69" t="str">
        <f>IF(ListLayout[[#This Row],[List Name for Layout]]="","nest_relation2",IFERROR(VLOOKUP(ListLayout[[#This Row],[Relation 2]],RelationTable[[Display]:[RELID]],2,0),""))</f>
        <v/>
      </c>
      <c r="BC127" s="107"/>
      <c r="BD127" s="107"/>
      <c r="BE127" s="107"/>
    </row>
    <row r="128" spans="46:57">
      <c r="AT128" s="69" t="str">
        <f>'Table Seed Map'!$A$27&amp;"-"&amp;COUNTA($AV$1:ListLayout[[#This Row],[No]])-2</f>
        <v>List Layout-126</v>
      </c>
      <c r="AU128" s="62" t="s">
        <v>1917</v>
      </c>
      <c r="AV128" s="69">
        <f>IF(ListLayout[[#This Row],[List Name for Layout]]="","id",COUNTA($AU$2:ListLayout[[#This Row],[List Name for Layout]])+IF(ISNUMBER(VLOOKUP('Table Seed Map'!$A$27,SeedMap[],9,0)),VLOOKUP('Table Seed Map'!$A$27,SeedMap[],9,0),0))</f>
        <v>2126226</v>
      </c>
      <c r="AW128" s="69">
        <f>IFERROR(VLOOKUP(ListLayout[[#This Row],[List Name for Layout]],ResourceList[[ListDisplayName]:[No]],2,0),"resource_list")</f>
        <v>2123133</v>
      </c>
      <c r="AX128" s="69" t="s">
        <v>1</v>
      </c>
      <c r="AY128" s="107" t="s">
        <v>23</v>
      </c>
      <c r="AZ128" s="69" t="str">
        <f>IF(ListLayout[[#This Row],[List Name for Layout]]="","relation",IFERROR(VLOOKUP(ListLayout[[#This Row],[Relation]],RelationTable[[Display]:[RELID]],2,0),""))</f>
        <v/>
      </c>
      <c r="BA128" s="69" t="str">
        <f>IF(ListLayout[[#This Row],[List Name for Layout]]="","nest_relation1",IFERROR(VLOOKUP(ListLayout[[#This Row],[Relation 1]],RelationTable[[Display]:[RELID]],2,0),""))</f>
        <v/>
      </c>
      <c r="BB128" s="69" t="str">
        <f>IF(ListLayout[[#This Row],[List Name for Layout]]="","nest_relation2",IFERROR(VLOOKUP(ListLayout[[#This Row],[Relation 2]],RelationTable[[Display]:[RELID]],2,0),""))</f>
        <v/>
      </c>
      <c r="BC128" s="107"/>
      <c r="BD128" s="107"/>
      <c r="BE128" s="107"/>
    </row>
    <row r="129" spans="46:57">
      <c r="AT129" s="69" t="str">
        <f>'Table Seed Map'!$A$27&amp;"-"&amp;COUNTA($AV$1:ListLayout[[#This Row],[No]])-2</f>
        <v>List Layout-127</v>
      </c>
      <c r="AU129" s="62" t="s">
        <v>1917</v>
      </c>
      <c r="AV129" s="69">
        <f>IF(ListLayout[[#This Row],[List Name for Layout]]="","id",COUNTA($AU$2:ListLayout[[#This Row],[List Name for Layout]])+IF(ISNUMBER(VLOOKUP('Table Seed Map'!$A$27,SeedMap[],9,0)),VLOOKUP('Table Seed Map'!$A$27,SeedMap[],9,0),0))</f>
        <v>2126227</v>
      </c>
      <c r="AW129" s="69">
        <f>IFERROR(VLOOKUP(ListLayout[[#This Row],[List Name for Layout]],ResourceList[[ListDisplayName]:[No]],2,0),"resource_list")</f>
        <v>2123133</v>
      </c>
      <c r="AX129" s="69" t="s">
        <v>978</v>
      </c>
      <c r="AY129" s="107" t="s">
        <v>1671</v>
      </c>
      <c r="AZ129" s="69" t="str">
        <f>IF(ListLayout[[#This Row],[List Name for Layout]]="","relation",IFERROR(VLOOKUP(ListLayout[[#This Row],[Relation]],RelationTable[[Display]:[RELID]],2,0),""))</f>
        <v/>
      </c>
      <c r="BA129" s="69" t="str">
        <f>IF(ListLayout[[#This Row],[List Name for Layout]]="","nest_relation1",IFERROR(VLOOKUP(ListLayout[[#This Row],[Relation 1]],RelationTable[[Display]:[RELID]],2,0),""))</f>
        <v/>
      </c>
      <c r="BB129" s="69" t="str">
        <f>IF(ListLayout[[#This Row],[List Name for Layout]]="","nest_relation2",IFERROR(VLOOKUP(ListLayout[[#This Row],[Relation 2]],RelationTable[[Display]:[RELID]],2,0),""))</f>
        <v/>
      </c>
      <c r="BC129" s="107"/>
      <c r="BD129" s="107"/>
      <c r="BE129" s="107"/>
    </row>
    <row r="130" spans="46:57">
      <c r="AT130" s="69" t="str">
        <f>'Table Seed Map'!$A$27&amp;"-"&amp;COUNTA($AV$1:ListLayout[[#This Row],[No]])-2</f>
        <v>List Layout-128</v>
      </c>
      <c r="AU130" s="62" t="s">
        <v>1917</v>
      </c>
      <c r="AV130" s="69">
        <f>IF(ListLayout[[#This Row],[List Name for Layout]]="","id",COUNTA($AU$2:ListLayout[[#This Row],[List Name for Layout]])+IF(ISNUMBER(VLOOKUP('Table Seed Map'!$A$27,SeedMap[],9,0)),VLOOKUP('Table Seed Map'!$A$27,SeedMap[],9,0),0))</f>
        <v>2126228</v>
      </c>
      <c r="AW130" s="69">
        <f>IFERROR(VLOOKUP(ListLayout[[#This Row],[List Name for Layout]],ResourceList[[ListDisplayName]:[No]],2,0),"resource_list")</f>
        <v>2123133</v>
      </c>
      <c r="AX130" s="69" t="s">
        <v>1919</v>
      </c>
      <c r="AY130" s="107" t="s">
        <v>867</v>
      </c>
      <c r="AZ130" s="69" t="str">
        <f>IF(ListLayout[[#This Row],[List Name for Layout]]="","relation",IFERROR(VLOOKUP(ListLayout[[#This Row],[Relation]],RelationTable[[Display]:[RELID]],2,0),""))</f>
        <v/>
      </c>
      <c r="BA130" s="69" t="str">
        <f>IF(ListLayout[[#This Row],[List Name for Layout]]="","nest_relation1",IFERROR(VLOOKUP(ListLayout[[#This Row],[Relation 1]],RelationTable[[Display]:[RELID]],2,0),""))</f>
        <v/>
      </c>
      <c r="BB130" s="69" t="str">
        <f>IF(ListLayout[[#This Row],[List Name for Layout]]="","nest_relation2",IFERROR(VLOOKUP(ListLayout[[#This Row],[Relation 2]],RelationTable[[Display]:[RELID]],2,0),""))</f>
        <v/>
      </c>
      <c r="BC130" s="107"/>
      <c r="BD130" s="107"/>
      <c r="BE130" s="107"/>
    </row>
    <row r="131" spans="46:57">
      <c r="AT131" s="69" t="str">
        <f>'Table Seed Map'!$A$27&amp;"-"&amp;COUNTA($AV$1:ListLayout[[#This Row],[No]])-2</f>
        <v>List Layout-129</v>
      </c>
      <c r="AU131" s="62" t="s">
        <v>1917</v>
      </c>
      <c r="AV131" s="69">
        <f>IF(ListLayout[[#This Row],[List Name for Layout]]="","id",COUNTA($AU$2:ListLayout[[#This Row],[List Name for Layout]])+IF(ISNUMBER(VLOOKUP('Table Seed Map'!$A$27,SeedMap[],9,0)),VLOOKUP('Table Seed Map'!$A$27,SeedMap[],9,0),0))</f>
        <v>2126229</v>
      </c>
      <c r="AW131" s="69">
        <f>IFERROR(VLOOKUP(ListLayout[[#This Row],[List Name for Layout]],ResourceList[[ListDisplayName]:[No]],2,0),"resource_list")</f>
        <v>2123133</v>
      </c>
      <c r="AX131" s="69" t="s">
        <v>1920</v>
      </c>
      <c r="AY131" s="107" t="s">
        <v>869</v>
      </c>
      <c r="AZ131" s="69" t="str">
        <f>IF(ListLayout[[#This Row],[List Name for Layout]]="","relation",IFERROR(VLOOKUP(ListLayout[[#This Row],[Relation]],RelationTable[[Display]:[RELID]],2,0),""))</f>
        <v/>
      </c>
      <c r="BA131" s="69" t="str">
        <f>IF(ListLayout[[#This Row],[List Name for Layout]]="","nest_relation1",IFERROR(VLOOKUP(ListLayout[[#This Row],[Relation 1]],RelationTable[[Display]:[RELID]],2,0),""))</f>
        <v/>
      </c>
      <c r="BB131" s="69" t="str">
        <f>IF(ListLayout[[#This Row],[List Name for Layout]]="","nest_relation2",IFERROR(VLOOKUP(ListLayout[[#This Row],[Relation 2]],RelationTable[[Display]:[RELID]],2,0),""))</f>
        <v/>
      </c>
      <c r="BC131" s="107"/>
      <c r="BD131" s="107"/>
      <c r="BE131" s="107"/>
    </row>
    <row r="132" spans="46:57">
      <c r="AT132" s="69" t="str">
        <f>'Table Seed Map'!$A$27&amp;"-"&amp;COUNTA($AV$1:ListLayout[[#This Row],[No]])-2</f>
        <v>List Layout-130</v>
      </c>
      <c r="AU132" s="62" t="s">
        <v>1917</v>
      </c>
      <c r="AV132" s="69">
        <f>IF(ListLayout[[#This Row],[List Name for Layout]]="","id",COUNTA($AU$2:ListLayout[[#This Row],[List Name for Layout]])+IF(ISNUMBER(VLOOKUP('Table Seed Map'!$A$27,SeedMap[],9,0)),VLOOKUP('Table Seed Map'!$A$27,SeedMap[],9,0),0))</f>
        <v>2126230</v>
      </c>
      <c r="AW132" s="69">
        <f>IFERROR(VLOOKUP(ListLayout[[#This Row],[List Name for Layout]],ResourceList[[ListDisplayName]:[No]],2,0),"resource_list")</f>
        <v>2123133</v>
      </c>
      <c r="AX132" s="69" t="s">
        <v>1921</v>
      </c>
      <c r="AY132" s="107" t="s">
        <v>872</v>
      </c>
      <c r="AZ132" s="69" t="str">
        <f>IF(ListLayout[[#This Row],[List Name for Layout]]="","relation",IFERROR(VLOOKUP(ListLayout[[#This Row],[Relation]],RelationTable[[Display]:[RELID]],2,0),""))</f>
        <v/>
      </c>
      <c r="BA132" s="69" t="str">
        <f>IF(ListLayout[[#This Row],[List Name for Layout]]="","nest_relation1",IFERROR(VLOOKUP(ListLayout[[#This Row],[Relation 1]],RelationTable[[Display]:[RELID]],2,0),""))</f>
        <v/>
      </c>
      <c r="BB132" s="69" t="str">
        <f>IF(ListLayout[[#This Row],[List Name for Layout]]="","nest_relation2",IFERROR(VLOOKUP(ListLayout[[#This Row],[Relation 2]],RelationTable[[Display]:[RELID]],2,0),""))</f>
        <v/>
      </c>
      <c r="BC132" s="107"/>
      <c r="BD132" s="107"/>
      <c r="BE132" s="107"/>
    </row>
    <row r="133" spans="46:57">
      <c r="AT133" s="69" t="str">
        <f>'Table Seed Map'!$A$27&amp;"-"&amp;COUNTA($AV$1:ListLayout[[#This Row],[No]])-2</f>
        <v>List Layout-131</v>
      </c>
      <c r="AU133" s="62" t="s">
        <v>1917</v>
      </c>
      <c r="AV133" s="69">
        <f>IF(ListLayout[[#This Row],[List Name for Layout]]="","id",COUNTA($AU$2:ListLayout[[#This Row],[List Name for Layout]])+IF(ISNUMBER(VLOOKUP('Table Seed Map'!$A$27,SeedMap[],9,0)),VLOOKUP('Table Seed Map'!$A$27,SeedMap[],9,0),0))</f>
        <v>2126231</v>
      </c>
      <c r="AW133" s="69">
        <f>IFERROR(VLOOKUP(ListLayout[[#This Row],[List Name for Layout]],ResourceList[[ListDisplayName]:[No]],2,0),"resource_list")</f>
        <v>2123133</v>
      </c>
      <c r="AX133" s="69" t="s">
        <v>1668</v>
      </c>
      <c r="AY133" s="107" t="s">
        <v>873</v>
      </c>
      <c r="AZ133" s="69" t="str">
        <f>IF(ListLayout[[#This Row],[List Name for Layout]]="","relation",IFERROR(VLOOKUP(ListLayout[[#This Row],[Relation]],RelationTable[[Display]:[RELID]],2,0),""))</f>
        <v/>
      </c>
      <c r="BA133" s="69" t="str">
        <f>IF(ListLayout[[#This Row],[List Name for Layout]]="","nest_relation1",IFERROR(VLOOKUP(ListLayout[[#This Row],[Relation 1]],RelationTable[[Display]:[RELID]],2,0),""))</f>
        <v/>
      </c>
      <c r="BB133" s="69" t="str">
        <f>IF(ListLayout[[#This Row],[List Name for Layout]]="","nest_relation2",IFERROR(VLOOKUP(ListLayout[[#This Row],[Relation 2]],RelationTable[[Display]:[RELID]],2,0),""))</f>
        <v/>
      </c>
      <c r="BC133" s="107"/>
      <c r="BD133" s="107"/>
      <c r="BE133" s="107"/>
    </row>
    <row r="134" spans="46:57">
      <c r="AT134" s="69" t="str">
        <f>'Table Seed Map'!$A$27&amp;"-"&amp;COUNTA($AV$1:ListLayout[[#This Row],[No]])-2</f>
        <v>List Layout-132</v>
      </c>
      <c r="AU134" s="62" t="s">
        <v>1926</v>
      </c>
      <c r="AV134" s="69">
        <f>IF(ListLayout[[#This Row],[List Name for Layout]]="","id",COUNTA($AU$2:ListLayout[[#This Row],[List Name for Layout]])+IF(ISNUMBER(VLOOKUP('Table Seed Map'!$A$27,SeedMap[],9,0)),VLOOKUP('Table Seed Map'!$A$27,SeedMap[],9,0),0))</f>
        <v>2126232</v>
      </c>
      <c r="AW134" s="69">
        <f>IFERROR(VLOOKUP(ListLayout[[#This Row],[List Name for Layout]],ResourceList[[ListDisplayName]:[No]],2,0),"resource_list")</f>
        <v>2123134</v>
      </c>
      <c r="AX134" s="69" t="s">
        <v>1</v>
      </c>
      <c r="AY134" s="107" t="s">
        <v>23</v>
      </c>
      <c r="AZ134" s="69" t="str">
        <f>IF(ListLayout[[#This Row],[List Name for Layout]]="","relation",IFERROR(VLOOKUP(ListLayout[[#This Row],[Relation]],RelationTable[[Display]:[RELID]],2,0),""))</f>
        <v/>
      </c>
      <c r="BA134" s="69" t="str">
        <f>IF(ListLayout[[#This Row],[List Name for Layout]]="","nest_relation1",IFERROR(VLOOKUP(ListLayout[[#This Row],[Relation 1]],RelationTable[[Display]:[RELID]],2,0),""))</f>
        <v/>
      </c>
      <c r="BB134" s="69" t="str">
        <f>IF(ListLayout[[#This Row],[List Name for Layout]]="","nest_relation2",IFERROR(VLOOKUP(ListLayout[[#This Row],[Relation 2]],RelationTable[[Display]:[RELID]],2,0),""))</f>
        <v/>
      </c>
      <c r="BC134" s="107"/>
      <c r="BD134" s="107"/>
      <c r="BE134" s="107"/>
    </row>
    <row r="135" spans="46:57">
      <c r="AT135" s="69" t="str">
        <f>'Table Seed Map'!$A$27&amp;"-"&amp;COUNTA($AV$1:ListLayout[[#This Row],[No]])-2</f>
        <v>List Layout-133</v>
      </c>
      <c r="AU135" s="62" t="s">
        <v>1926</v>
      </c>
      <c r="AV135" s="69">
        <f>IF(ListLayout[[#This Row],[List Name for Layout]]="","id",COUNTA($AU$2:ListLayout[[#This Row],[List Name for Layout]])+IF(ISNUMBER(VLOOKUP('Table Seed Map'!$A$27,SeedMap[],9,0)),VLOOKUP('Table Seed Map'!$A$27,SeedMap[],9,0),0))</f>
        <v>2126233</v>
      </c>
      <c r="AW135" s="69">
        <f>IFERROR(VLOOKUP(ListLayout[[#This Row],[List Name for Layout]],ResourceList[[ListDisplayName]:[No]],2,0),"resource_list")</f>
        <v>2123134</v>
      </c>
      <c r="AX135" s="69" t="s">
        <v>1928</v>
      </c>
      <c r="AY135" s="107" t="s">
        <v>862</v>
      </c>
      <c r="AZ135" s="69" t="str">
        <f>IF(ListLayout[[#This Row],[List Name for Layout]]="","relation",IFERROR(VLOOKUP(ListLayout[[#This Row],[Relation]],RelationTable[[Display]:[RELID]],2,0),""))</f>
        <v/>
      </c>
      <c r="BA135" s="69" t="str">
        <f>IF(ListLayout[[#This Row],[List Name for Layout]]="","nest_relation1",IFERROR(VLOOKUP(ListLayout[[#This Row],[Relation 1]],RelationTable[[Display]:[RELID]],2,0),""))</f>
        <v/>
      </c>
      <c r="BB135" s="69" t="str">
        <f>IF(ListLayout[[#This Row],[List Name for Layout]]="","nest_relation2",IFERROR(VLOOKUP(ListLayout[[#This Row],[Relation 2]],RelationTable[[Display]:[RELID]],2,0),""))</f>
        <v/>
      </c>
      <c r="BC135" s="107"/>
      <c r="BD135" s="107"/>
      <c r="BE135" s="107"/>
    </row>
    <row r="136" spans="46:57">
      <c r="AT136" s="69" t="str">
        <f>'Table Seed Map'!$A$27&amp;"-"&amp;COUNTA($AV$1:ListLayout[[#This Row],[No]])-2</f>
        <v>List Layout-134</v>
      </c>
      <c r="AU136" s="62" t="s">
        <v>1926</v>
      </c>
      <c r="AV136" s="69">
        <f>IF(ListLayout[[#This Row],[List Name for Layout]]="","id",COUNTA($AU$2:ListLayout[[#This Row],[List Name for Layout]])+IF(ISNUMBER(VLOOKUP('Table Seed Map'!$A$27,SeedMap[],9,0)),VLOOKUP('Table Seed Map'!$A$27,SeedMap[],9,0),0))</f>
        <v>2126234</v>
      </c>
      <c r="AW136" s="69">
        <f>IFERROR(VLOOKUP(ListLayout[[#This Row],[List Name for Layout]],ResourceList[[ListDisplayName]:[No]],2,0),"resource_list")</f>
        <v>2123134</v>
      </c>
      <c r="AX136" s="69" t="s">
        <v>1929</v>
      </c>
      <c r="AY136" s="107" t="s">
        <v>867</v>
      </c>
      <c r="AZ136" s="69" t="str">
        <f>IF(ListLayout[[#This Row],[List Name for Layout]]="","relation",IFERROR(VLOOKUP(ListLayout[[#This Row],[Relation]],RelationTable[[Display]:[RELID]],2,0),""))</f>
        <v/>
      </c>
      <c r="BA136" s="69" t="str">
        <f>IF(ListLayout[[#This Row],[List Name for Layout]]="","nest_relation1",IFERROR(VLOOKUP(ListLayout[[#This Row],[Relation 1]],RelationTable[[Display]:[RELID]],2,0),""))</f>
        <v/>
      </c>
      <c r="BB136" s="69" t="str">
        <f>IF(ListLayout[[#This Row],[List Name for Layout]]="","nest_relation2",IFERROR(VLOOKUP(ListLayout[[#This Row],[Relation 2]],RelationTable[[Display]:[RELID]],2,0),""))</f>
        <v/>
      </c>
      <c r="BC136" s="107"/>
      <c r="BD136" s="107"/>
      <c r="BE136" s="107"/>
    </row>
    <row r="137" spans="46:57">
      <c r="AT137" s="69" t="str">
        <f>'Table Seed Map'!$A$27&amp;"-"&amp;COUNTA($AV$1:ListLayout[[#This Row],[No]])-2</f>
        <v>List Layout-135</v>
      </c>
      <c r="AU137" s="62" t="s">
        <v>1926</v>
      </c>
      <c r="AV137" s="69">
        <f>IF(ListLayout[[#This Row],[List Name for Layout]]="","id",COUNTA($AU$2:ListLayout[[#This Row],[List Name for Layout]])+IF(ISNUMBER(VLOOKUP('Table Seed Map'!$A$27,SeedMap[],9,0)),VLOOKUP('Table Seed Map'!$A$27,SeedMap[],9,0),0))</f>
        <v>2126235</v>
      </c>
      <c r="AW137" s="69">
        <f>IFERROR(VLOOKUP(ListLayout[[#This Row],[List Name for Layout]],ResourceList[[ListDisplayName]:[No]],2,0),"resource_list")</f>
        <v>2123134</v>
      </c>
      <c r="AX137" s="69" t="s">
        <v>1930</v>
      </c>
      <c r="AY137" s="107" t="s">
        <v>869</v>
      </c>
      <c r="AZ137" s="69" t="str">
        <f>IF(ListLayout[[#This Row],[List Name for Layout]]="","relation",IFERROR(VLOOKUP(ListLayout[[#This Row],[Relation]],RelationTable[[Display]:[RELID]],2,0),""))</f>
        <v/>
      </c>
      <c r="BA137" s="69" t="str">
        <f>IF(ListLayout[[#This Row],[List Name for Layout]]="","nest_relation1",IFERROR(VLOOKUP(ListLayout[[#This Row],[Relation 1]],RelationTable[[Display]:[RELID]],2,0),""))</f>
        <v/>
      </c>
      <c r="BB137" s="69" t="str">
        <f>IF(ListLayout[[#This Row],[List Name for Layout]]="","nest_relation2",IFERROR(VLOOKUP(ListLayout[[#This Row],[Relation 2]],RelationTable[[Display]:[RELID]],2,0),""))</f>
        <v/>
      </c>
      <c r="BC137" s="107"/>
      <c r="BD137" s="107"/>
      <c r="BE137" s="107"/>
    </row>
    <row r="138" spans="46:57">
      <c r="AT138" s="68" t="str">
        <f>'Table Seed Map'!$A$27&amp;"-"&amp;COUNTA($AV$1:ListLayout[[#This Row],[No]])-2</f>
        <v>List Layout-136</v>
      </c>
      <c r="AU138" s="62" t="s">
        <v>1926</v>
      </c>
      <c r="AV138" s="68">
        <f>IF(ListLayout[[#This Row],[List Name for Layout]]="","id",COUNTA($AU$2:ListLayout[[#This Row],[List Name for Layout]])+IF(ISNUMBER(VLOOKUP('Table Seed Map'!$A$27,SeedMap[],9,0)),VLOOKUP('Table Seed Map'!$A$27,SeedMap[],9,0),0))</f>
        <v>2126236</v>
      </c>
      <c r="AW138" s="68">
        <f>IFERROR(VLOOKUP(ListLayout[[#This Row],[List Name for Layout]],ResourceList[[ListDisplayName]:[No]],2,0),"resource_list")</f>
        <v>2123134</v>
      </c>
      <c r="AX138" s="69" t="s">
        <v>1921</v>
      </c>
      <c r="AY138" s="107" t="s">
        <v>872</v>
      </c>
      <c r="AZ138" s="68" t="str">
        <f>IF(ListLayout[[#This Row],[List Name for Layout]]="","relation",IFERROR(VLOOKUP(ListLayout[[#This Row],[Relation]],RelationTable[[Display]:[RELID]],2,0),""))</f>
        <v/>
      </c>
      <c r="BA138" s="68" t="str">
        <f>IF(ListLayout[[#This Row],[List Name for Layout]]="","nest_relation1",IFERROR(VLOOKUP(ListLayout[[#This Row],[Relation 1]],RelationTable[[Display]:[RELID]],2,0),""))</f>
        <v/>
      </c>
      <c r="BB138" s="68" t="str">
        <f>IF(ListLayout[[#This Row],[List Name for Layout]]="","nest_relation2",IFERROR(VLOOKUP(ListLayout[[#This Row],[Relation 2]],RelationTable[[Display]:[RELID]],2,0),""))</f>
        <v/>
      </c>
      <c r="BC138" s="108"/>
      <c r="BD138" s="108"/>
      <c r="BE138" s="108"/>
    </row>
    <row r="139" spans="46:57">
      <c r="AT139" s="69" t="str">
        <f>'Table Seed Map'!$A$27&amp;"-"&amp;COUNTA($AV$1:ListLayout[[#This Row],[No]])-2</f>
        <v>List Layout-137</v>
      </c>
      <c r="AU139" s="62" t="s">
        <v>1926</v>
      </c>
      <c r="AV139" s="69">
        <f>IF(ListLayout[[#This Row],[List Name for Layout]]="","id",COUNTA($AU$2:ListLayout[[#This Row],[List Name for Layout]])+IF(ISNUMBER(VLOOKUP('Table Seed Map'!$A$27,SeedMap[],9,0)),VLOOKUP('Table Seed Map'!$A$27,SeedMap[],9,0),0))</f>
        <v>2126237</v>
      </c>
      <c r="AW139" s="69">
        <f>IFERROR(VLOOKUP(ListLayout[[#This Row],[List Name for Layout]],ResourceList[[ListDisplayName]:[No]],2,0),"resource_list")</f>
        <v>2123134</v>
      </c>
      <c r="AX139" s="69" t="s">
        <v>1668</v>
      </c>
      <c r="AY139" s="107" t="s">
        <v>873</v>
      </c>
      <c r="AZ139" s="69" t="str">
        <f>IF(ListLayout[[#This Row],[List Name for Layout]]="","relation",IFERROR(VLOOKUP(ListLayout[[#This Row],[Relation]],RelationTable[[Display]:[RELID]],2,0),""))</f>
        <v/>
      </c>
      <c r="BA139" s="69" t="str">
        <f>IF(ListLayout[[#This Row],[List Name for Layout]]="","nest_relation1",IFERROR(VLOOKUP(ListLayout[[#This Row],[Relation 1]],RelationTable[[Display]:[RELID]],2,0),""))</f>
        <v/>
      </c>
      <c r="BB139" s="69" t="str">
        <f>IF(ListLayout[[#This Row],[List Name for Layout]]="","nest_relation2",IFERROR(VLOOKUP(ListLayout[[#This Row],[Relation 2]],RelationTable[[Display]:[RELID]],2,0),""))</f>
        <v/>
      </c>
      <c r="BC139" s="107"/>
      <c r="BD139" s="107"/>
      <c r="BE139" s="107"/>
    </row>
    <row r="140" spans="46:57">
      <c r="AT140" s="69" t="str">
        <f>'Table Seed Map'!$A$27&amp;"-"&amp;COUNTA($AV$1:ListLayout[[#This Row],[No]])-2</f>
        <v>List Layout-138</v>
      </c>
      <c r="AU140" s="2" t="s">
        <v>1968</v>
      </c>
      <c r="AV140" s="69">
        <f>IF(ListLayout[[#This Row],[List Name for Layout]]="","id",COUNTA($AU$2:ListLayout[[#This Row],[List Name for Layout]])+IF(ISNUMBER(VLOOKUP('Table Seed Map'!$A$27,SeedMap[],9,0)),VLOOKUP('Table Seed Map'!$A$27,SeedMap[],9,0),0))</f>
        <v>2126238</v>
      </c>
      <c r="AW140" s="69">
        <f>IFERROR(VLOOKUP(ListLayout[[#This Row],[List Name for Layout]],ResourceList[[ListDisplayName]:[No]],2,0),"resource_list")</f>
        <v>2123135</v>
      </c>
      <c r="AX140" s="69" t="s">
        <v>1</v>
      </c>
      <c r="AY140" s="14" t="s">
        <v>23</v>
      </c>
      <c r="AZ140" s="69" t="str">
        <f>IF(ListLayout[[#This Row],[List Name for Layout]]="","relation",IFERROR(VLOOKUP(ListLayout[[#This Row],[Relation]],RelationTable[[Display]:[RELID]],2,0),""))</f>
        <v/>
      </c>
      <c r="BA140" s="69" t="str">
        <f>IF(ListLayout[[#This Row],[List Name for Layout]]="","nest_relation1",IFERROR(VLOOKUP(ListLayout[[#This Row],[Relation 1]],RelationTable[[Display]:[RELID]],2,0),""))</f>
        <v/>
      </c>
      <c r="BB140" s="69" t="str">
        <f>IF(ListLayout[[#This Row],[List Name for Layout]]="","nest_relation2",IFERROR(VLOOKUP(ListLayout[[#This Row],[Relation 2]],RelationTable[[Display]:[RELID]],2,0),""))</f>
        <v/>
      </c>
      <c r="BC140" s="107"/>
      <c r="BD140" s="107"/>
      <c r="BE140" s="107"/>
    </row>
    <row r="141" spans="46:57">
      <c r="AT141" s="69" t="str">
        <f>'Table Seed Map'!$A$27&amp;"-"&amp;COUNTA($AV$1:ListLayout[[#This Row],[No]])-2</f>
        <v>List Layout-139</v>
      </c>
      <c r="AU141" s="2" t="s">
        <v>1968</v>
      </c>
      <c r="AV141" s="69">
        <f>IF(ListLayout[[#This Row],[List Name for Layout]]="","id",COUNTA($AU$2:ListLayout[[#This Row],[List Name for Layout]])+IF(ISNUMBER(VLOOKUP('Table Seed Map'!$A$27,SeedMap[],9,0)),VLOOKUP('Table Seed Map'!$A$27,SeedMap[],9,0),0))</f>
        <v>2126239</v>
      </c>
      <c r="AW141" s="69">
        <f>IFERROR(VLOOKUP(ListLayout[[#This Row],[List Name for Layout]],ResourceList[[ListDisplayName]:[No]],2,0),"resource_list")</f>
        <v>2123135</v>
      </c>
      <c r="AX141" s="16" t="s">
        <v>1950</v>
      </c>
      <c r="AY141" s="14" t="s">
        <v>23</v>
      </c>
      <c r="AZ141" s="69">
        <f>IF(ListLayout[[#This Row],[List Name for Layout]]="","relation",IFERROR(VLOOKUP(ListLayout[[#This Row],[Relation]],RelationTable[[Display]:[RELID]],2,0),""))</f>
        <v>2109190</v>
      </c>
      <c r="BA141" s="69" t="str">
        <f>IF(ListLayout[[#This Row],[List Name for Layout]]="","nest_relation1",IFERROR(VLOOKUP(ListLayout[[#This Row],[Relation 1]],RelationTable[[Display]:[RELID]],2,0),""))</f>
        <v/>
      </c>
      <c r="BB141" s="69" t="str">
        <f>IF(ListLayout[[#This Row],[List Name for Layout]]="","nest_relation2",IFERROR(VLOOKUP(ListLayout[[#This Row],[Relation 2]],RelationTable[[Display]:[RELID]],2,0),""))</f>
        <v/>
      </c>
      <c r="BC141" s="107" t="s">
        <v>1949</v>
      </c>
      <c r="BD141" s="107"/>
      <c r="BE141" s="107"/>
    </row>
    <row r="142" spans="46:57">
      <c r="AT142" s="16" t="str">
        <f>'Table Seed Map'!$A$27&amp;"-"&amp;COUNTA($AV$1:ListLayout[[#This Row],[No]])-2</f>
        <v>List Layout-140</v>
      </c>
      <c r="AU142" s="2" t="s">
        <v>1968</v>
      </c>
      <c r="AV142" s="16">
        <f>IF(ListLayout[[#This Row],[List Name for Layout]]="","id",COUNTA($AU$2:ListLayout[[#This Row],[List Name for Layout]])+IF(ISNUMBER(VLOOKUP('Table Seed Map'!$A$27,SeedMap[],9,0)),VLOOKUP('Table Seed Map'!$A$27,SeedMap[],9,0),0))</f>
        <v>2126240</v>
      </c>
      <c r="AW142" s="16">
        <f>IFERROR(VLOOKUP(ListLayout[[#This Row],[List Name for Layout]],ResourceList[[ListDisplayName]:[No]],2,0),"resource_list")</f>
        <v>2123135</v>
      </c>
      <c r="AX142" s="16" t="s">
        <v>1928</v>
      </c>
      <c r="AY142" s="14" t="s">
        <v>862</v>
      </c>
      <c r="AZ142" s="16" t="str">
        <f>IF(ListLayout[[#This Row],[List Name for Layout]]="","relation",IFERROR(VLOOKUP(ListLayout[[#This Row],[Relation]],RelationTable[[Display]:[RELID]],2,0),""))</f>
        <v/>
      </c>
      <c r="BA142" s="16" t="str">
        <f>IF(ListLayout[[#This Row],[List Name for Layout]]="","nest_relation1",IFERROR(VLOOKUP(ListLayout[[#This Row],[Relation 1]],RelationTable[[Display]:[RELID]],2,0),""))</f>
        <v/>
      </c>
      <c r="BB142" s="16" t="str">
        <f>IF(ListLayout[[#This Row],[List Name for Layout]]="","nest_relation2",IFERROR(VLOOKUP(ListLayout[[#This Row],[Relation 2]],RelationTable[[Display]:[RELID]],2,0),""))</f>
        <v/>
      </c>
      <c r="BC142" s="14"/>
      <c r="BD142" s="14"/>
      <c r="BE142" s="14"/>
    </row>
    <row r="143" spans="46:57">
      <c r="AT143" s="16" t="str">
        <f>'Table Seed Map'!$A$27&amp;"-"&amp;COUNTA($AV$1:ListLayout[[#This Row],[No]])-2</f>
        <v>List Layout-141</v>
      </c>
      <c r="AU143" s="2" t="s">
        <v>1969</v>
      </c>
      <c r="AV143" s="16">
        <f>IF(ListLayout[[#This Row],[List Name for Layout]]="","id",COUNTA($AU$2:ListLayout[[#This Row],[List Name for Layout]])+IF(ISNUMBER(VLOOKUP('Table Seed Map'!$A$27,SeedMap[],9,0)),VLOOKUP('Table Seed Map'!$A$27,SeedMap[],9,0),0))</f>
        <v>2126241</v>
      </c>
      <c r="AW143" s="16">
        <f>IFERROR(VLOOKUP(ListLayout[[#This Row],[List Name for Layout]],ResourceList[[ListDisplayName]:[No]],2,0),"resource_list")</f>
        <v>2123136</v>
      </c>
      <c r="AX143" s="16" t="s">
        <v>1</v>
      </c>
      <c r="AY143" s="14" t="s">
        <v>23</v>
      </c>
      <c r="AZ143" s="16" t="str">
        <f>IF(ListLayout[[#This Row],[List Name for Layout]]="","relation",IFERROR(VLOOKUP(ListLayout[[#This Row],[Relation]],RelationTable[[Display]:[RELID]],2,0),""))</f>
        <v/>
      </c>
      <c r="BA143" s="16" t="str">
        <f>IF(ListLayout[[#This Row],[List Name for Layout]]="","nest_relation1",IFERROR(VLOOKUP(ListLayout[[#This Row],[Relation 1]],RelationTable[[Display]:[RELID]],2,0),""))</f>
        <v/>
      </c>
      <c r="BB143" s="16" t="str">
        <f>IF(ListLayout[[#This Row],[List Name for Layout]]="","nest_relation2",IFERROR(VLOOKUP(ListLayout[[#This Row],[Relation 2]],RelationTable[[Display]:[RELID]],2,0),""))</f>
        <v/>
      </c>
      <c r="BC143" s="14"/>
      <c r="BD143" s="14"/>
      <c r="BE143" s="14"/>
    </row>
    <row r="144" spans="46:57">
      <c r="AT144" s="16" t="str">
        <f>'Table Seed Map'!$A$27&amp;"-"&amp;COUNTA($AV$1:ListLayout[[#This Row],[No]])-2</f>
        <v>List Layout-142</v>
      </c>
      <c r="AU144" s="2" t="s">
        <v>1969</v>
      </c>
      <c r="AV144" s="16">
        <f>IF(ListLayout[[#This Row],[List Name for Layout]]="","id",COUNTA($AU$2:ListLayout[[#This Row],[List Name for Layout]])+IF(ISNUMBER(VLOOKUP('Table Seed Map'!$A$27,SeedMap[],9,0)),VLOOKUP('Table Seed Map'!$A$27,SeedMap[],9,0),0))</f>
        <v>2126242</v>
      </c>
      <c r="AW144" s="16">
        <f>IFERROR(VLOOKUP(ListLayout[[#This Row],[List Name for Layout]],ResourceList[[ListDisplayName]:[No]],2,0),"resource_list")</f>
        <v>2123136</v>
      </c>
      <c r="AX144" s="16" t="s">
        <v>978</v>
      </c>
      <c r="AY144" s="14" t="s">
        <v>1671</v>
      </c>
      <c r="AZ144" s="16" t="str">
        <f>IF(ListLayout[[#This Row],[List Name for Layout]]="","relation",IFERROR(VLOOKUP(ListLayout[[#This Row],[Relation]],RelationTable[[Display]:[RELID]],2,0),""))</f>
        <v/>
      </c>
      <c r="BA144" s="16" t="str">
        <f>IF(ListLayout[[#This Row],[List Name for Layout]]="","nest_relation1",IFERROR(VLOOKUP(ListLayout[[#This Row],[Relation 1]],RelationTable[[Display]:[RELID]],2,0),""))</f>
        <v/>
      </c>
      <c r="BB144" s="16" t="str">
        <f>IF(ListLayout[[#This Row],[List Name for Layout]]="","nest_relation2",IFERROR(VLOOKUP(ListLayout[[#This Row],[Relation 2]],RelationTable[[Display]:[RELID]],2,0),""))</f>
        <v/>
      </c>
      <c r="BC144" s="14"/>
      <c r="BD144" s="14"/>
      <c r="BE144" s="14"/>
    </row>
    <row r="145" spans="46:57">
      <c r="AT145" s="16" t="str">
        <f>'Table Seed Map'!$A$27&amp;"-"&amp;COUNTA($AV$1:ListLayout[[#This Row],[No]])-2</f>
        <v>List Layout-143</v>
      </c>
      <c r="AU145" s="2" t="s">
        <v>1969</v>
      </c>
      <c r="AV145" s="16">
        <f>IF(ListLayout[[#This Row],[List Name for Layout]]="","id",COUNTA($AU$2:ListLayout[[#This Row],[List Name for Layout]])+IF(ISNUMBER(VLOOKUP('Table Seed Map'!$A$27,SeedMap[],9,0)),VLOOKUP('Table Seed Map'!$A$27,SeedMap[],9,0),0))</f>
        <v>2126243</v>
      </c>
      <c r="AW145" s="16">
        <f>IFERROR(VLOOKUP(ListLayout[[#This Row],[List Name for Layout]],ResourceList[[ListDisplayName]:[No]],2,0),"resource_list")</f>
        <v>2123136</v>
      </c>
      <c r="AX145" s="16" t="s">
        <v>1919</v>
      </c>
      <c r="AY145" s="14" t="s">
        <v>867</v>
      </c>
      <c r="AZ145" s="16" t="str">
        <f>IF(ListLayout[[#This Row],[List Name for Layout]]="","relation",IFERROR(VLOOKUP(ListLayout[[#This Row],[Relation]],RelationTable[[Display]:[RELID]],2,0),""))</f>
        <v/>
      </c>
      <c r="BA145" s="16" t="str">
        <f>IF(ListLayout[[#This Row],[List Name for Layout]]="","nest_relation1",IFERROR(VLOOKUP(ListLayout[[#This Row],[Relation 1]],RelationTable[[Display]:[RELID]],2,0),""))</f>
        <v/>
      </c>
      <c r="BB145" s="16" t="str">
        <f>IF(ListLayout[[#This Row],[List Name for Layout]]="","nest_relation2",IFERROR(VLOOKUP(ListLayout[[#This Row],[Relation 2]],RelationTable[[Display]:[RELID]],2,0),""))</f>
        <v/>
      </c>
      <c r="BC145" s="14"/>
      <c r="BD145" s="14"/>
      <c r="BE145" s="14"/>
    </row>
    <row r="146" spans="46:57">
      <c r="AT146" s="16" t="str">
        <f>'Table Seed Map'!$A$27&amp;"-"&amp;COUNTA($AV$1:ListLayout[[#This Row],[No]])-2</f>
        <v>List Layout-144</v>
      </c>
      <c r="AU146" s="2" t="s">
        <v>1970</v>
      </c>
      <c r="AV146" s="16">
        <f>IF(ListLayout[[#This Row],[List Name for Layout]]="","id",COUNTA($AU$2:ListLayout[[#This Row],[List Name for Layout]])+IF(ISNUMBER(VLOOKUP('Table Seed Map'!$A$27,SeedMap[],9,0)),VLOOKUP('Table Seed Map'!$A$27,SeedMap[],9,0),0))</f>
        <v>2126244</v>
      </c>
      <c r="AW146" s="16">
        <f>IFERROR(VLOOKUP(ListLayout[[#This Row],[List Name for Layout]],ResourceList[[ListDisplayName]:[No]],2,0),"resource_list")</f>
        <v>2123137</v>
      </c>
      <c r="AX146" s="16" t="s">
        <v>1</v>
      </c>
      <c r="AY146" s="14" t="s">
        <v>23</v>
      </c>
      <c r="AZ146" s="16" t="str">
        <f>IF(ListLayout[[#This Row],[List Name for Layout]]="","relation",IFERROR(VLOOKUP(ListLayout[[#This Row],[Relation]],RelationTable[[Display]:[RELID]],2,0),""))</f>
        <v/>
      </c>
      <c r="BA146" s="16" t="str">
        <f>IF(ListLayout[[#This Row],[List Name for Layout]]="","nest_relation1",IFERROR(VLOOKUP(ListLayout[[#This Row],[Relation 1]],RelationTable[[Display]:[RELID]],2,0),""))</f>
        <v/>
      </c>
      <c r="BB146" s="16" t="str">
        <f>IF(ListLayout[[#This Row],[List Name for Layout]]="","nest_relation2",IFERROR(VLOOKUP(ListLayout[[#This Row],[Relation 2]],RelationTable[[Display]:[RELID]],2,0),""))</f>
        <v/>
      </c>
      <c r="BC146" s="14"/>
      <c r="BD146" s="14"/>
      <c r="BE146" s="14"/>
    </row>
    <row r="147" spans="46:57">
      <c r="AT147" s="16" t="str">
        <f>'Table Seed Map'!$A$27&amp;"-"&amp;COUNTA($AV$1:ListLayout[[#This Row],[No]])-2</f>
        <v>List Layout-145</v>
      </c>
      <c r="AU147" s="2" t="s">
        <v>1970</v>
      </c>
      <c r="AV147" s="16">
        <f>IF(ListLayout[[#This Row],[List Name for Layout]]="","id",COUNTA($AU$2:ListLayout[[#This Row],[List Name for Layout]])+IF(ISNUMBER(VLOOKUP('Table Seed Map'!$A$27,SeedMap[],9,0)),VLOOKUP('Table Seed Map'!$A$27,SeedMap[],9,0),0))</f>
        <v>2126245</v>
      </c>
      <c r="AW147" s="16">
        <f>IFERROR(VLOOKUP(ListLayout[[#This Row],[List Name for Layout]],ResourceList[[ListDisplayName]:[No]],2,0),"resource_list")</f>
        <v>2123137</v>
      </c>
      <c r="AX147" s="16" t="s">
        <v>978</v>
      </c>
      <c r="AY147" s="14" t="s">
        <v>1671</v>
      </c>
      <c r="AZ147" s="16" t="str">
        <f>IF(ListLayout[[#This Row],[List Name for Layout]]="","relation",IFERROR(VLOOKUP(ListLayout[[#This Row],[Relation]],RelationTable[[Display]:[RELID]],2,0),""))</f>
        <v/>
      </c>
      <c r="BA147" s="16" t="str">
        <f>IF(ListLayout[[#This Row],[List Name for Layout]]="","nest_relation1",IFERROR(VLOOKUP(ListLayout[[#This Row],[Relation 1]],RelationTable[[Display]:[RELID]],2,0),""))</f>
        <v/>
      </c>
      <c r="BB147" s="16" t="str">
        <f>IF(ListLayout[[#This Row],[List Name for Layout]]="","nest_relation2",IFERROR(VLOOKUP(ListLayout[[#This Row],[Relation 2]],RelationTable[[Display]:[RELID]],2,0),""))</f>
        <v/>
      </c>
      <c r="BC147" s="14"/>
      <c r="BD147" s="14"/>
      <c r="BE147" s="14"/>
    </row>
    <row r="148" spans="46:57">
      <c r="AT148" s="16" t="str">
        <f>'Table Seed Map'!$A$27&amp;"-"&amp;COUNTA($AV$1:ListLayout[[#This Row],[No]])-2</f>
        <v>List Layout-146</v>
      </c>
      <c r="AU148" s="2" t="s">
        <v>1970</v>
      </c>
      <c r="AV148" s="16">
        <f>IF(ListLayout[[#This Row],[List Name for Layout]]="","id",COUNTA($AU$2:ListLayout[[#This Row],[List Name for Layout]])+IF(ISNUMBER(VLOOKUP('Table Seed Map'!$A$27,SeedMap[],9,0)),VLOOKUP('Table Seed Map'!$A$27,SeedMap[],9,0),0))</f>
        <v>2126246</v>
      </c>
      <c r="AW148" s="16">
        <f>IFERROR(VLOOKUP(ListLayout[[#This Row],[List Name for Layout]],ResourceList[[ListDisplayName]:[No]],2,0),"resource_list")</f>
        <v>2123137</v>
      </c>
      <c r="AX148" s="16" t="s">
        <v>1951</v>
      </c>
      <c r="AY148" s="14" t="s">
        <v>867</v>
      </c>
      <c r="AZ148" s="16" t="str">
        <f>IF(ListLayout[[#This Row],[List Name for Layout]]="","relation",IFERROR(VLOOKUP(ListLayout[[#This Row],[Relation]],RelationTable[[Display]:[RELID]],2,0),""))</f>
        <v/>
      </c>
      <c r="BA148" s="16" t="str">
        <f>IF(ListLayout[[#This Row],[List Name for Layout]]="","nest_relation1",IFERROR(VLOOKUP(ListLayout[[#This Row],[Relation 1]],RelationTable[[Display]:[RELID]],2,0),""))</f>
        <v/>
      </c>
      <c r="BB148" s="16" t="str">
        <f>IF(ListLayout[[#This Row],[List Name for Layout]]="","nest_relation2",IFERROR(VLOOKUP(ListLayout[[#This Row],[Relation 2]],RelationTable[[Display]:[RELID]],2,0),""))</f>
        <v/>
      </c>
      <c r="BC148" s="14"/>
      <c r="BD148" s="14"/>
      <c r="BE148" s="14"/>
    </row>
    <row r="149" spans="46:57">
      <c r="AT149" s="16" t="str">
        <f>'Table Seed Map'!$A$27&amp;"-"&amp;COUNTA($AV$1:ListLayout[[#This Row],[No]])-2</f>
        <v>List Layout-147</v>
      </c>
      <c r="AU149" s="2" t="s">
        <v>1970</v>
      </c>
      <c r="AV149" s="16">
        <f>IF(ListLayout[[#This Row],[List Name for Layout]]="","id",COUNTA($AU$2:ListLayout[[#This Row],[List Name for Layout]])+IF(ISNUMBER(VLOOKUP('Table Seed Map'!$A$27,SeedMap[],9,0)),VLOOKUP('Table Seed Map'!$A$27,SeedMap[],9,0),0))</f>
        <v>2126247</v>
      </c>
      <c r="AW149" s="16">
        <f>IFERROR(VLOOKUP(ListLayout[[#This Row],[List Name for Layout]],ResourceList[[ListDisplayName]:[No]],2,0),"resource_list")</f>
        <v>2123137</v>
      </c>
      <c r="AX149" s="16" t="s">
        <v>1952</v>
      </c>
      <c r="AY149" s="14" t="s">
        <v>869</v>
      </c>
      <c r="AZ149" s="16" t="str">
        <f>IF(ListLayout[[#This Row],[List Name for Layout]]="","relation",IFERROR(VLOOKUP(ListLayout[[#This Row],[Relation]],RelationTable[[Display]:[RELID]],2,0),""))</f>
        <v/>
      </c>
      <c r="BA149" s="16" t="str">
        <f>IF(ListLayout[[#This Row],[List Name for Layout]]="","nest_relation1",IFERROR(VLOOKUP(ListLayout[[#This Row],[Relation 1]],RelationTable[[Display]:[RELID]],2,0),""))</f>
        <v/>
      </c>
      <c r="BB149" s="16" t="str">
        <f>IF(ListLayout[[#This Row],[List Name for Layout]]="","nest_relation2",IFERROR(VLOOKUP(ListLayout[[#This Row],[Relation 2]],RelationTable[[Display]:[RELID]],2,0),""))</f>
        <v/>
      </c>
      <c r="BC149" s="14"/>
      <c r="BD149" s="14"/>
      <c r="BE149" s="14"/>
    </row>
    <row r="150" spans="46:57">
      <c r="AT150" s="16" t="str">
        <f>'Table Seed Map'!$A$27&amp;"-"&amp;COUNTA($AV$1:ListLayout[[#This Row],[No]])-2</f>
        <v>List Layout-148</v>
      </c>
      <c r="AU150" s="2" t="s">
        <v>1970</v>
      </c>
      <c r="AV150" s="16">
        <f>IF(ListLayout[[#This Row],[List Name for Layout]]="","id",COUNTA($AU$2:ListLayout[[#This Row],[List Name for Layout]])+IF(ISNUMBER(VLOOKUP('Table Seed Map'!$A$27,SeedMap[],9,0)),VLOOKUP('Table Seed Map'!$A$27,SeedMap[],9,0),0))</f>
        <v>2126248</v>
      </c>
      <c r="AW150" s="16">
        <f>IFERROR(VLOOKUP(ListLayout[[#This Row],[List Name for Layout]],ResourceList[[ListDisplayName]:[No]],2,0),"resource_list")</f>
        <v>2123137</v>
      </c>
      <c r="AX150" s="16" t="s">
        <v>1921</v>
      </c>
      <c r="AY150" s="14" t="s">
        <v>872</v>
      </c>
      <c r="AZ150" s="16" t="str">
        <f>IF(ListLayout[[#This Row],[List Name for Layout]]="","relation",IFERROR(VLOOKUP(ListLayout[[#This Row],[Relation]],RelationTable[[Display]:[RELID]],2,0),""))</f>
        <v/>
      </c>
      <c r="BA150" s="16" t="str">
        <f>IF(ListLayout[[#This Row],[List Name for Layout]]="","nest_relation1",IFERROR(VLOOKUP(ListLayout[[#This Row],[Relation 1]],RelationTable[[Display]:[RELID]],2,0),""))</f>
        <v/>
      </c>
      <c r="BB150" s="16" t="str">
        <f>IF(ListLayout[[#This Row],[List Name for Layout]]="","nest_relation2",IFERROR(VLOOKUP(ListLayout[[#This Row],[Relation 2]],RelationTable[[Display]:[RELID]],2,0),""))</f>
        <v/>
      </c>
      <c r="BC150" s="14"/>
      <c r="BD150" s="14"/>
      <c r="BE150" s="14"/>
    </row>
    <row r="151" spans="46:57">
      <c r="AT151" s="16" t="str">
        <f>'Table Seed Map'!$A$27&amp;"-"&amp;COUNTA($AV$1:ListLayout[[#This Row],[No]])-2</f>
        <v>List Layout-149</v>
      </c>
      <c r="AU151" s="2" t="s">
        <v>1970</v>
      </c>
      <c r="AV151" s="16">
        <f>IF(ListLayout[[#This Row],[List Name for Layout]]="","id",COUNTA($AU$2:ListLayout[[#This Row],[List Name for Layout]])+IF(ISNUMBER(VLOOKUP('Table Seed Map'!$A$27,SeedMap[],9,0)),VLOOKUP('Table Seed Map'!$A$27,SeedMap[],9,0),0))</f>
        <v>2126249</v>
      </c>
      <c r="AW151" s="16">
        <f>IFERROR(VLOOKUP(ListLayout[[#This Row],[List Name for Layout]],ResourceList[[ListDisplayName]:[No]],2,0),"resource_list")</f>
        <v>2123137</v>
      </c>
      <c r="AX151" s="16" t="s">
        <v>1668</v>
      </c>
      <c r="AY151" s="14" t="s">
        <v>873</v>
      </c>
      <c r="AZ151" s="16" t="str">
        <f>IF(ListLayout[[#This Row],[List Name for Layout]]="","relation",IFERROR(VLOOKUP(ListLayout[[#This Row],[Relation]],RelationTable[[Display]:[RELID]],2,0),""))</f>
        <v/>
      </c>
      <c r="BA151" s="16" t="str">
        <f>IF(ListLayout[[#This Row],[List Name for Layout]]="","nest_relation1",IFERROR(VLOOKUP(ListLayout[[#This Row],[Relation 1]],RelationTable[[Display]:[RELID]],2,0),""))</f>
        <v/>
      </c>
      <c r="BB151" s="16" t="str">
        <f>IF(ListLayout[[#This Row],[List Name for Layout]]="","nest_relation2",IFERROR(VLOOKUP(ListLayout[[#This Row],[Relation 2]],RelationTable[[Display]:[RELID]],2,0),""))</f>
        <v/>
      </c>
      <c r="BC151" s="14"/>
      <c r="BD151" s="14"/>
      <c r="BE151" s="14"/>
    </row>
    <row r="152" spans="46:57">
      <c r="AT152" s="16" t="str">
        <f>'Table Seed Map'!$A$27&amp;"-"&amp;COUNTA($AV$1:ListLayout[[#This Row],[No]])-2</f>
        <v>List Layout-150</v>
      </c>
      <c r="AU152" s="2" t="s">
        <v>1971</v>
      </c>
      <c r="AV152" s="16">
        <f>IF(ListLayout[[#This Row],[List Name for Layout]]="","id",COUNTA($AU$2:ListLayout[[#This Row],[List Name for Layout]])+IF(ISNUMBER(VLOOKUP('Table Seed Map'!$A$27,SeedMap[],9,0)),VLOOKUP('Table Seed Map'!$A$27,SeedMap[],9,0),0))</f>
        <v>2126250</v>
      </c>
      <c r="AW152" s="16">
        <f>IFERROR(VLOOKUP(ListLayout[[#This Row],[List Name for Layout]],ResourceList[[ListDisplayName]:[No]],2,0),"resource_list")</f>
        <v>2123138</v>
      </c>
      <c r="AX152" s="69" t="s">
        <v>1</v>
      </c>
      <c r="AY152" s="14" t="s">
        <v>23</v>
      </c>
      <c r="AZ152" s="69" t="str">
        <f>IF(ListLayout[[#This Row],[List Name for Layout]]="","relation",IFERROR(VLOOKUP(ListLayout[[#This Row],[Relation]],RelationTable[[Display]:[RELID]],2,0),""))</f>
        <v/>
      </c>
      <c r="BA152" s="69" t="str">
        <f>IF(ListLayout[[#This Row],[List Name for Layout]]="","nest_relation1",IFERROR(VLOOKUP(ListLayout[[#This Row],[Relation 1]],RelationTable[[Display]:[RELID]],2,0),""))</f>
        <v/>
      </c>
      <c r="BB152" s="69" t="str">
        <f>IF(ListLayout[[#This Row],[List Name for Layout]]="","nest_relation2",IFERROR(VLOOKUP(ListLayout[[#This Row],[Relation 2]],RelationTable[[Display]:[RELID]],2,0),""))</f>
        <v/>
      </c>
      <c r="BC152" s="107"/>
      <c r="BD152" s="14"/>
      <c r="BE152" s="14"/>
    </row>
    <row r="153" spans="46:57">
      <c r="AT153" s="15" t="str">
        <f>'Table Seed Map'!$A$27&amp;"-"&amp;COUNTA($AV$1:ListLayout[[#This Row],[No]])-2</f>
        <v>List Layout-151</v>
      </c>
      <c r="AU153" s="2" t="s">
        <v>1971</v>
      </c>
      <c r="AV153" s="15">
        <f>IF(ListLayout[[#This Row],[List Name for Layout]]="","id",COUNTA($AU$2:ListLayout[[#This Row],[List Name for Layout]])+IF(ISNUMBER(VLOOKUP('Table Seed Map'!$A$27,SeedMap[],9,0)),VLOOKUP('Table Seed Map'!$A$27,SeedMap[],9,0),0))</f>
        <v>2126251</v>
      </c>
      <c r="AW153" s="15">
        <f>IFERROR(VLOOKUP(ListLayout[[#This Row],[List Name for Layout]],ResourceList[[ListDisplayName]:[No]],2,0),"resource_list")</f>
        <v>2123138</v>
      </c>
      <c r="AX153" s="16" t="s">
        <v>1950</v>
      </c>
      <c r="AY153" s="14" t="s">
        <v>23</v>
      </c>
      <c r="AZ153" s="69">
        <f>IF(ListLayout[[#This Row],[List Name for Layout]]="","relation",IFERROR(VLOOKUP(ListLayout[[#This Row],[Relation]],RelationTable[[Display]:[RELID]],2,0),""))</f>
        <v>2109190</v>
      </c>
      <c r="BA153" s="69" t="str">
        <f>IF(ListLayout[[#This Row],[List Name for Layout]]="","nest_relation1",IFERROR(VLOOKUP(ListLayout[[#This Row],[Relation 1]],RelationTable[[Display]:[RELID]],2,0),""))</f>
        <v/>
      </c>
      <c r="BB153" s="69" t="str">
        <f>IF(ListLayout[[#This Row],[List Name for Layout]]="","nest_relation2",IFERROR(VLOOKUP(ListLayout[[#This Row],[Relation 2]],RelationTable[[Display]:[RELID]],2,0),""))</f>
        <v/>
      </c>
      <c r="BC153" s="107" t="s">
        <v>1949</v>
      </c>
      <c r="BD153" s="13"/>
      <c r="BE153" s="13"/>
    </row>
    <row r="154" spans="46:57">
      <c r="AT154" s="16" t="str">
        <f>'Table Seed Map'!$A$27&amp;"-"&amp;COUNTA($AV$1:ListLayout[[#This Row],[No]])-2</f>
        <v>List Layout-152</v>
      </c>
      <c r="AU154" s="2" t="s">
        <v>1972</v>
      </c>
      <c r="AV154" s="16">
        <f>IF(ListLayout[[#This Row],[List Name for Layout]]="","id",COUNTA($AU$2:ListLayout[[#This Row],[List Name for Layout]])+IF(ISNUMBER(VLOOKUP('Table Seed Map'!$A$27,SeedMap[],9,0)),VLOOKUP('Table Seed Map'!$A$27,SeedMap[],9,0),0))</f>
        <v>2126252</v>
      </c>
      <c r="AW154" s="16">
        <f>IFERROR(VLOOKUP(ListLayout[[#This Row],[List Name for Layout]],ResourceList[[ListDisplayName]:[No]],2,0),"resource_list")</f>
        <v>2123139</v>
      </c>
      <c r="AX154" s="16" t="s">
        <v>1</v>
      </c>
      <c r="AY154" s="14" t="s">
        <v>23</v>
      </c>
      <c r="AZ154" s="16" t="str">
        <f>IF(ListLayout[[#This Row],[List Name for Layout]]="","relation",IFERROR(VLOOKUP(ListLayout[[#This Row],[Relation]],RelationTable[[Display]:[RELID]],2,0),""))</f>
        <v/>
      </c>
      <c r="BA154" s="16" t="str">
        <f>IF(ListLayout[[#This Row],[List Name for Layout]]="","nest_relation1",IFERROR(VLOOKUP(ListLayout[[#This Row],[Relation 1]],RelationTable[[Display]:[RELID]],2,0),""))</f>
        <v/>
      </c>
      <c r="BB154" s="16" t="str">
        <f>IF(ListLayout[[#This Row],[List Name for Layout]]="","nest_relation2",IFERROR(VLOOKUP(ListLayout[[#This Row],[Relation 2]],RelationTable[[Display]:[RELID]],2,0),""))</f>
        <v/>
      </c>
      <c r="BC154" s="14"/>
      <c r="BD154" s="14"/>
      <c r="BE154" s="14"/>
    </row>
    <row r="155" spans="46:57">
      <c r="AT155" s="15" t="str">
        <f>'Table Seed Map'!$A$27&amp;"-"&amp;COUNTA($AV$1:ListLayout[[#This Row],[No]])-2</f>
        <v>List Layout-153</v>
      </c>
      <c r="AU155" s="2" t="s">
        <v>1972</v>
      </c>
      <c r="AV155" s="15">
        <f>IF(ListLayout[[#This Row],[List Name for Layout]]="","id",COUNTA($AU$2:ListLayout[[#This Row],[List Name for Layout]])+IF(ISNUMBER(VLOOKUP('Table Seed Map'!$A$27,SeedMap[],9,0)),VLOOKUP('Table Seed Map'!$A$27,SeedMap[],9,0),0))</f>
        <v>2126253</v>
      </c>
      <c r="AW155" s="15">
        <f>IFERROR(VLOOKUP(ListLayout[[#This Row],[List Name for Layout]],ResourceList[[ListDisplayName]:[No]],2,0),"resource_list")</f>
        <v>2123139</v>
      </c>
      <c r="AX155" s="16" t="s">
        <v>978</v>
      </c>
      <c r="AY155" s="14" t="s">
        <v>1671</v>
      </c>
      <c r="AZ155" s="15" t="str">
        <f>IF(ListLayout[[#This Row],[List Name for Layout]]="","relation",IFERROR(VLOOKUP(ListLayout[[#This Row],[Relation]],RelationTable[[Display]:[RELID]],2,0),""))</f>
        <v/>
      </c>
      <c r="BA155" s="15" t="str">
        <f>IF(ListLayout[[#This Row],[List Name for Layout]]="","nest_relation1",IFERROR(VLOOKUP(ListLayout[[#This Row],[Relation 1]],RelationTable[[Display]:[RELID]],2,0),""))</f>
        <v/>
      </c>
      <c r="BB155" s="15" t="str">
        <f>IF(ListLayout[[#This Row],[List Name for Layout]]="","nest_relation2",IFERROR(VLOOKUP(ListLayout[[#This Row],[Relation 2]],RelationTable[[Display]:[RELID]],2,0),""))</f>
        <v/>
      </c>
      <c r="BC155" s="13"/>
      <c r="BD155" s="13"/>
      <c r="BE155" s="13"/>
    </row>
    <row r="156" spans="46:57">
      <c r="AT156" s="15" t="str">
        <f>'Table Seed Map'!$A$27&amp;"-"&amp;COUNTA($AV$1:ListLayout[[#This Row],[No]])-2</f>
        <v>List Layout-154</v>
      </c>
      <c r="AU156" s="2" t="s">
        <v>1972</v>
      </c>
      <c r="AV156" s="15">
        <f>IF(ListLayout[[#This Row],[List Name for Layout]]="","id",COUNTA($AU$2:ListLayout[[#This Row],[List Name for Layout]])+IF(ISNUMBER(VLOOKUP('Table Seed Map'!$A$27,SeedMap[],9,0)),VLOOKUP('Table Seed Map'!$A$27,SeedMap[],9,0),0))</f>
        <v>2126254</v>
      </c>
      <c r="AW156" s="15">
        <f>IFERROR(VLOOKUP(ListLayout[[#This Row],[List Name for Layout]],ResourceList[[ListDisplayName]:[No]],2,0),"resource_list")</f>
        <v>2123139</v>
      </c>
      <c r="AX156" s="16" t="s">
        <v>1919</v>
      </c>
      <c r="AY156" s="14" t="s">
        <v>867</v>
      </c>
      <c r="AZ156" s="15" t="str">
        <f>IF(ListLayout[[#This Row],[List Name for Layout]]="","relation",IFERROR(VLOOKUP(ListLayout[[#This Row],[Relation]],RelationTable[[Display]:[RELID]],2,0),""))</f>
        <v/>
      </c>
      <c r="BA156" s="15" t="str">
        <f>IF(ListLayout[[#This Row],[List Name for Layout]]="","nest_relation1",IFERROR(VLOOKUP(ListLayout[[#This Row],[Relation 1]],RelationTable[[Display]:[RELID]],2,0),""))</f>
        <v/>
      </c>
      <c r="BB156" s="15" t="str">
        <f>IF(ListLayout[[#This Row],[List Name for Layout]]="","nest_relation2",IFERROR(VLOOKUP(ListLayout[[#This Row],[Relation 2]],RelationTable[[Display]:[RELID]],2,0),""))</f>
        <v/>
      </c>
      <c r="BC156" s="13"/>
      <c r="BD156" s="13"/>
      <c r="BE156" s="13"/>
    </row>
    <row r="157" spans="46:57">
      <c r="AT157" s="16" t="str">
        <f>'Table Seed Map'!$A$27&amp;"-"&amp;COUNTA($AV$1:ListLayout[[#This Row],[No]])-2</f>
        <v>List Layout-155</v>
      </c>
      <c r="AU157" s="62" t="s">
        <v>1957</v>
      </c>
      <c r="AV157" s="16">
        <f>IF(ListLayout[[#This Row],[List Name for Layout]]="","id",COUNTA($AU$2:ListLayout[[#This Row],[List Name for Layout]])+IF(ISNUMBER(VLOOKUP('Table Seed Map'!$A$27,SeedMap[],9,0)),VLOOKUP('Table Seed Map'!$A$27,SeedMap[],9,0),0))</f>
        <v>2126255</v>
      </c>
      <c r="AW157" s="16">
        <f>IFERROR(VLOOKUP(ListLayout[[#This Row],[List Name for Layout]],ResourceList[[ListDisplayName]:[No]],2,0),"resource_list")</f>
        <v>2123140</v>
      </c>
      <c r="AX157" s="16" t="s">
        <v>1</v>
      </c>
      <c r="AY157" s="14" t="s">
        <v>23</v>
      </c>
      <c r="AZ157" s="16" t="str">
        <f>IF(ListLayout[[#This Row],[List Name for Layout]]="","relation",IFERROR(VLOOKUP(ListLayout[[#This Row],[Relation]],RelationTable[[Display]:[RELID]],2,0),""))</f>
        <v/>
      </c>
      <c r="BA157" s="16" t="str">
        <f>IF(ListLayout[[#This Row],[List Name for Layout]]="","nest_relation1",IFERROR(VLOOKUP(ListLayout[[#This Row],[Relation 1]],RelationTable[[Display]:[RELID]],2,0),""))</f>
        <v/>
      </c>
      <c r="BB157" s="16" t="str">
        <f>IF(ListLayout[[#This Row],[List Name for Layout]]="","nest_relation2",IFERROR(VLOOKUP(ListLayout[[#This Row],[Relation 2]],RelationTable[[Display]:[RELID]],2,0),""))</f>
        <v/>
      </c>
      <c r="BC157" s="14"/>
      <c r="BD157" s="14"/>
      <c r="BE157" s="14"/>
    </row>
    <row r="158" spans="46:57">
      <c r="AT158" s="15" t="str">
        <f>'Table Seed Map'!$A$27&amp;"-"&amp;COUNTA($AV$1:ListLayout[[#This Row],[No]])-2</f>
        <v>List Layout-156</v>
      </c>
      <c r="AU158" s="62" t="s">
        <v>1957</v>
      </c>
      <c r="AV158" s="15">
        <f>IF(ListLayout[[#This Row],[List Name for Layout]]="","id",COUNTA($AU$2:ListLayout[[#This Row],[List Name for Layout]])+IF(ISNUMBER(VLOOKUP('Table Seed Map'!$A$27,SeedMap[],9,0)),VLOOKUP('Table Seed Map'!$A$27,SeedMap[],9,0),0))</f>
        <v>2126256</v>
      </c>
      <c r="AW158" s="15">
        <f>IFERROR(VLOOKUP(ListLayout[[#This Row],[List Name for Layout]],ResourceList[[ListDisplayName]:[No]],2,0),"resource_list")</f>
        <v>2123140</v>
      </c>
      <c r="AX158" s="16" t="s">
        <v>978</v>
      </c>
      <c r="AY158" s="14" t="s">
        <v>1671</v>
      </c>
      <c r="AZ158" s="15" t="str">
        <f>IF(ListLayout[[#This Row],[List Name for Layout]]="","relation",IFERROR(VLOOKUP(ListLayout[[#This Row],[Relation]],RelationTable[[Display]:[RELID]],2,0),""))</f>
        <v/>
      </c>
      <c r="BA158" s="15" t="str">
        <f>IF(ListLayout[[#This Row],[List Name for Layout]]="","nest_relation1",IFERROR(VLOOKUP(ListLayout[[#This Row],[Relation 1]],RelationTable[[Display]:[RELID]],2,0),""))</f>
        <v/>
      </c>
      <c r="BB158" s="15" t="str">
        <f>IF(ListLayout[[#This Row],[List Name for Layout]]="","nest_relation2",IFERROR(VLOOKUP(ListLayout[[#This Row],[Relation 2]],RelationTable[[Display]:[RELID]],2,0),""))</f>
        <v/>
      </c>
      <c r="BC158" s="13"/>
      <c r="BD158" s="13"/>
      <c r="BE158" s="13"/>
    </row>
    <row r="159" spans="46:57">
      <c r="AT159" s="15" t="str">
        <f>'Table Seed Map'!$A$27&amp;"-"&amp;COUNTA($AV$1:ListLayout[[#This Row],[No]])-2</f>
        <v>List Layout-157</v>
      </c>
      <c r="AU159" s="62" t="s">
        <v>1957</v>
      </c>
      <c r="AV159" s="15">
        <f>IF(ListLayout[[#This Row],[List Name for Layout]]="","id",COUNTA($AU$2:ListLayout[[#This Row],[List Name for Layout]])+IF(ISNUMBER(VLOOKUP('Table Seed Map'!$A$27,SeedMap[],9,0)),VLOOKUP('Table Seed Map'!$A$27,SeedMap[],9,0),0))</f>
        <v>2126257</v>
      </c>
      <c r="AW159" s="15">
        <f>IFERROR(VLOOKUP(ListLayout[[#This Row],[List Name for Layout]],ResourceList[[ListDisplayName]:[No]],2,0),"resource_list")</f>
        <v>2123140</v>
      </c>
      <c r="AX159" s="16" t="s">
        <v>1919</v>
      </c>
      <c r="AY159" s="14" t="s">
        <v>867</v>
      </c>
      <c r="AZ159" s="15" t="str">
        <f>IF(ListLayout[[#This Row],[List Name for Layout]]="","relation",IFERROR(VLOOKUP(ListLayout[[#This Row],[Relation]],RelationTable[[Display]:[RELID]],2,0),""))</f>
        <v/>
      </c>
      <c r="BA159" s="15" t="str">
        <f>IF(ListLayout[[#This Row],[List Name for Layout]]="","nest_relation1",IFERROR(VLOOKUP(ListLayout[[#This Row],[Relation 1]],RelationTable[[Display]:[RELID]],2,0),""))</f>
        <v/>
      </c>
      <c r="BB159" s="15" t="str">
        <f>IF(ListLayout[[#This Row],[List Name for Layout]]="","nest_relation2",IFERROR(VLOOKUP(ListLayout[[#This Row],[Relation 2]],RelationTable[[Display]:[RELID]],2,0),""))</f>
        <v/>
      </c>
      <c r="BC159" s="13"/>
      <c r="BD159" s="13"/>
      <c r="BE159" s="13"/>
    </row>
    <row r="160" spans="46:57">
      <c r="AT160" s="16" t="str">
        <f>'Table Seed Map'!$A$27&amp;"-"&amp;COUNTA($AV$1:ListLayout[[#This Row],[No]])-2</f>
        <v>List Layout-158</v>
      </c>
      <c r="AU160" s="62" t="s">
        <v>1957</v>
      </c>
      <c r="AV160" s="16">
        <f>IF(ListLayout[[#This Row],[List Name for Layout]]="","id",COUNTA($AU$2:ListLayout[[#This Row],[List Name for Layout]])+IF(ISNUMBER(VLOOKUP('Table Seed Map'!$A$27,SeedMap[],9,0)),VLOOKUP('Table Seed Map'!$A$27,SeedMap[],9,0),0))</f>
        <v>2126258</v>
      </c>
      <c r="AW160" s="16">
        <f>IFERROR(VLOOKUP(ListLayout[[#This Row],[List Name for Layout]],ResourceList[[ListDisplayName]:[No]],2,0),"resource_list")</f>
        <v>2123140</v>
      </c>
      <c r="AX160" s="16" t="s">
        <v>1920</v>
      </c>
      <c r="AY160" s="14" t="s">
        <v>869</v>
      </c>
      <c r="AZ160" s="16" t="str">
        <f>IF(ListLayout[[#This Row],[List Name for Layout]]="","relation",IFERROR(VLOOKUP(ListLayout[[#This Row],[Relation]],RelationTable[[Display]:[RELID]],2,0),""))</f>
        <v/>
      </c>
      <c r="BA160" s="16" t="str">
        <f>IF(ListLayout[[#This Row],[List Name for Layout]]="","nest_relation1",IFERROR(VLOOKUP(ListLayout[[#This Row],[Relation 1]],RelationTable[[Display]:[RELID]],2,0),""))</f>
        <v/>
      </c>
      <c r="BB160" s="16" t="str">
        <f>IF(ListLayout[[#This Row],[List Name for Layout]]="","nest_relation2",IFERROR(VLOOKUP(ListLayout[[#This Row],[Relation 2]],RelationTable[[Display]:[RELID]],2,0),""))</f>
        <v/>
      </c>
      <c r="BC160" s="14"/>
      <c r="BD160" s="14"/>
      <c r="BE160" s="14"/>
    </row>
    <row r="161" spans="46:57">
      <c r="AT161" s="15" t="str">
        <f>'Table Seed Map'!$A$27&amp;"-"&amp;COUNTA($AV$1:ListLayout[[#This Row],[No]])-2</f>
        <v>List Layout-159</v>
      </c>
      <c r="AU161" s="62" t="s">
        <v>1957</v>
      </c>
      <c r="AV161" s="15">
        <f>IF(ListLayout[[#This Row],[List Name for Layout]]="","id",COUNTA($AU$2:ListLayout[[#This Row],[List Name for Layout]])+IF(ISNUMBER(VLOOKUP('Table Seed Map'!$A$27,SeedMap[],9,0)),VLOOKUP('Table Seed Map'!$A$27,SeedMap[],9,0),0))</f>
        <v>2126259</v>
      </c>
      <c r="AW161" s="15">
        <f>IFERROR(VLOOKUP(ListLayout[[#This Row],[List Name for Layout]],ResourceList[[ListDisplayName]:[No]],2,0),"resource_list")</f>
        <v>2123140</v>
      </c>
      <c r="AX161" s="16" t="s">
        <v>1921</v>
      </c>
      <c r="AY161" s="14" t="s">
        <v>872</v>
      </c>
      <c r="AZ161" s="15" t="str">
        <f>IF(ListLayout[[#This Row],[List Name for Layout]]="","relation",IFERROR(VLOOKUP(ListLayout[[#This Row],[Relation]],RelationTable[[Display]:[RELID]],2,0),""))</f>
        <v/>
      </c>
      <c r="BA161" s="15" t="str">
        <f>IF(ListLayout[[#This Row],[List Name for Layout]]="","nest_relation1",IFERROR(VLOOKUP(ListLayout[[#This Row],[Relation 1]],RelationTable[[Display]:[RELID]],2,0),""))</f>
        <v/>
      </c>
      <c r="BB161" s="15" t="str">
        <f>IF(ListLayout[[#This Row],[List Name for Layout]]="","nest_relation2",IFERROR(VLOOKUP(ListLayout[[#This Row],[Relation 2]],RelationTable[[Display]:[RELID]],2,0),""))</f>
        <v/>
      </c>
      <c r="BC161" s="13"/>
      <c r="BD161" s="13"/>
      <c r="BE161" s="13"/>
    </row>
    <row r="162" spans="46:57">
      <c r="AT162" s="16" t="str">
        <f>'Table Seed Map'!$A$27&amp;"-"&amp;COUNTA($AV$1:ListLayout[[#This Row],[No]])-2</f>
        <v>List Layout-160</v>
      </c>
      <c r="AU162" s="62" t="s">
        <v>1957</v>
      </c>
      <c r="AV162" s="16">
        <f>IF(ListLayout[[#This Row],[List Name for Layout]]="","id",COUNTA($AU$2:ListLayout[[#This Row],[List Name for Layout]])+IF(ISNUMBER(VLOOKUP('Table Seed Map'!$A$27,SeedMap[],9,0)),VLOOKUP('Table Seed Map'!$A$27,SeedMap[],9,0),0))</f>
        <v>2126260</v>
      </c>
      <c r="AW162" s="16">
        <f>IFERROR(VLOOKUP(ListLayout[[#This Row],[List Name for Layout]],ResourceList[[ListDisplayName]:[No]],2,0),"resource_list")</f>
        <v>2123140</v>
      </c>
      <c r="AX162" s="16" t="s">
        <v>1668</v>
      </c>
      <c r="AY162" s="14" t="s">
        <v>873</v>
      </c>
      <c r="AZ162" s="16" t="str">
        <f>IF(ListLayout[[#This Row],[List Name for Layout]]="","relation",IFERROR(VLOOKUP(ListLayout[[#This Row],[Relation]],RelationTable[[Display]:[RELID]],2,0),""))</f>
        <v/>
      </c>
      <c r="BA162" s="16" t="str">
        <f>IF(ListLayout[[#This Row],[List Name for Layout]]="","nest_relation1",IFERROR(VLOOKUP(ListLayout[[#This Row],[Relation 1]],RelationTable[[Display]:[RELID]],2,0),""))</f>
        <v/>
      </c>
      <c r="BB162" s="16" t="str">
        <f>IF(ListLayout[[#This Row],[List Name for Layout]]="","nest_relation2",IFERROR(VLOOKUP(ListLayout[[#This Row],[Relation 2]],RelationTable[[Display]:[RELID]],2,0),""))</f>
        <v/>
      </c>
      <c r="BC162" s="14"/>
      <c r="BD162" s="14"/>
      <c r="BE162" s="14"/>
    </row>
    <row r="163" spans="46:57">
      <c r="AT163" s="69" t="str">
        <f>'Table Seed Map'!$A$27&amp;"-"&amp;COUNTA($AV$1:ListLayout[[#This Row],[No]])-2</f>
        <v>List Layout-161</v>
      </c>
      <c r="AU163" s="62" t="s">
        <v>2021</v>
      </c>
      <c r="AV163" s="69">
        <f>IF(ListLayout[[#This Row],[List Name for Layout]]="","id",COUNTA($AU$2:ListLayout[[#This Row],[List Name for Layout]])+IF(ISNUMBER(VLOOKUP('Table Seed Map'!$A$27,SeedMap[],9,0)),VLOOKUP('Table Seed Map'!$A$27,SeedMap[],9,0),0))</f>
        <v>2126261</v>
      </c>
      <c r="AW163" s="69">
        <f>IFERROR(VLOOKUP(ListLayout[[#This Row],[List Name for Layout]],ResourceList[[ListDisplayName]:[No]],2,0),"resource_list")</f>
        <v>2123142</v>
      </c>
      <c r="AX163" s="69" t="s">
        <v>1649</v>
      </c>
      <c r="AY163" s="107" t="s">
        <v>23</v>
      </c>
      <c r="AZ163" s="69">
        <f>IF(ListLayout[[#This Row],[List Name for Layout]]="","relation",IFERROR(VLOOKUP(ListLayout[[#This Row],[Relation]],RelationTable[[Display]:[RELID]],2,0),""))</f>
        <v>2109158</v>
      </c>
      <c r="BA163" s="69" t="str">
        <f>IF(ListLayout[[#This Row],[List Name for Layout]]="","nest_relation1",IFERROR(VLOOKUP(ListLayout[[#This Row],[Relation 1]],RelationTable[[Display]:[RELID]],2,0),""))</f>
        <v/>
      </c>
      <c r="BB163" s="69" t="str">
        <f>IF(ListLayout[[#This Row],[List Name for Layout]]="","nest_relation2",IFERROR(VLOOKUP(ListLayout[[#This Row],[Relation 2]],RelationTable[[Display]:[RELID]],2,0),""))</f>
        <v/>
      </c>
      <c r="BC163" s="107" t="s">
        <v>1648</v>
      </c>
      <c r="BD163" s="107"/>
      <c r="BE163" s="107"/>
    </row>
    <row r="164" spans="46:57">
      <c r="AT164" s="68" t="str">
        <f>'Table Seed Map'!$A$27&amp;"-"&amp;COUNTA($AV$1:ListLayout[[#This Row],[No]])-2</f>
        <v>List Layout-162</v>
      </c>
      <c r="AU164" s="62" t="s">
        <v>2021</v>
      </c>
      <c r="AV164" s="68">
        <f>IF(ListLayout[[#This Row],[List Name for Layout]]="","id",COUNTA($AU$2:ListLayout[[#This Row],[List Name for Layout]])+IF(ISNUMBER(VLOOKUP('Table Seed Map'!$A$27,SeedMap[],9,0)),VLOOKUP('Table Seed Map'!$A$27,SeedMap[],9,0),0))</f>
        <v>2126262</v>
      </c>
      <c r="AW164" s="68">
        <f>IFERROR(VLOOKUP(ListLayout[[#This Row],[List Name for Layout]],ResourceList[[ListDisplayName]:[No]],2,0),"resource_list")</f>
        <v>2123142</v>
      </c>
      <c r="AX164" s="69" t="s">
        <v>778</v>
      </c>
      <c r="AY164" s="107" t="s">
        <v>23</v>
      </c>
      <c r="AZ164" s="68">
        <f>IF(ListLayout[[#This Row],[List Name for Layout]]="","relation",IFERROR(VLOOKUP(ListLayout[[#This Row],[Relation]],RelationTable[[Display]:[RELID]],2,0),""))</f>
        <v>2109159</v>
      </c>
      <c r="BA164" s="68" t="str">
        <f>IF(ListLayout[[#This Row],[List Name for Layout]]="","nest_relation1",IFERROR(VLOOKUP(ListLayout[[#This Row],[Relation 1]],RelationTable[[Display]:[RELID]],2,0),""))</f>
        <v/>
      </c>
      <c r="BB164" s="68" t="str">
        <f>IF(ListLayout[[#This Row],[List Name for Layout]]="","nest_relation2",IFERROR(VLOOKUP(ListLayout[[#This Row],[Relation 2]],RelationTable[[Display]:[RELID]],2,0),""))</f>
        <v/>
      </c>
      <c r="BC164" s="107" t="s">
        <v>1650</v>
      </c>
      <c r="BD164" s="108"/>
      <c r="BE164" s="108"/>
    </row>
    <row r="165" spans="46:57">
      <c r="AT165" s="68" t="str">
        <f>'Table Seed Map'!$A$27&amp;"-"&amp;COUNTA($AV$1:ListLayout[[#This Row],[No]])-2</f>
        <v>List Layout-163</v>
      </c>
      <c r="AU165" s="62" t="s">
        <v>2021</v>
      </c>
      <c r="AV165" s="68">
        <f>IF(ListLayout[[#This Row],[List Name for Layout]]="","id",COUNTA($AU$2:ListLayout[[#This Row],[List Name for Layout]])+IF(ISNUMBER(VLOOKUP('Table Seed Map'!$A$27,SeedMap[],9,0)),VLOOKUP('Table Seed Map'!$A$27,SeedMap[],9,0),0))</f>
        <v>2126263</v>
      </c>
      <c r="AW165" s="68">
        <f>IFERROR(VLOOKUP(ListLayout[[#This Row],[List Name for Layout]],ResourceList[[ListDisplayName]:[No]],2,0),"resource_list")</f>
        <v>2123142</v>
      </c>
      <c r="AX165" s="69" t="s">
        <v>1094</v>
      </c>
      <c r="AY165" s="107" t="s">
        <v>23</v>
      </c>
      <c r="AZ165" s="68">
        <f>IF(ListLayout[[#This Row],[List Name for Layout]]="","relation",IFERROR(VLOOKUP(ListLayout[[#This Row],[Relation]],RelationTable[[Display]:[RELID]],2,0),""))</f>
        <v>2109189</v>
      </c>
      <c r="BA165" s="68" t="str">
        <f>IF(ListLayout[[#This Row],[List Name for Layout]]="","nest_relation1",IFERROR(VLOOKUP(ListLayout[[#This Row],[Relation 1]],RelationTable[[Display]:[RELID]],2,0),""))</f>
        <v/>
      </c>
      <c r="BB165" s="68" t="str">
        <f>IF(ListLayout[[#This Row],[List Name for Layout]]="","nest_relation2",IFERROR(VLOOKUP(ListLayout[[#This Row],[Relation 2]],RelationTable[[Display]:[RELID]],2,0),""))</f>
        <v/>
      </c>
      <c r="BC165" s="107" t="s">
        <v>1651</v>
      </c>
      <c r="BD165" s="108"/>
      <c r="BE165" s="108"/>
    </row>
    <row r="166" spans="46:57">
      <c r="AT166" s="68" t="str">
        <f>'Table Seed Map'!$A$27&amp;"-"&amp;COUNTA($AV$1:ListLayout[[#This Row],[No]])-2</f>
        <v>List Layout-164</v>
      </c>
      <c r="AU166" s="62" t="s">
        <v>2021</v>
      </c>
      <c r="AV166" s="68">
        <f>IF(ListLayout[[#This Row],[List Name for Layout]]="","id",COUNTA($AU$2:ListLayout[[#This Row],[List Name for Layout]])+IF(ISNUMBER(VLOOKUP('Table Seed Map'!$A$27,SeedMap[],9,0)),VLOOKUP('Table Seed Map'!$A$27,SeedMap[],9,0),0))</f>
        <v>2126264</v>
      </c>
      <c r="AW166" s="68">
        <f>IFERROR(VLOOKUP(ListLayout[[#This Row],[List Name for Layout]],ResourceList[[ListDisplayName]:[No]],2,0),"resource_list")</f>
        <v>2123142</v>
      </c>
      <c r="AX166" s="69" t="s">
        <v>1477</v>
      </c>
      <c r="AY166" s="107" t="s">
        <v>886</v>
      </c>
      <c r="AZ166" s="68" t="str">
        <f>IF(ListLayout[[#This Row],[List Name for Layout]]="","relation",IFERROR(VLOOKUP(ListLayout[[#This Row],[Relation]],RelationTable[[Display]:[RELID]],2,0),""))</f>
        <v/>
      </c>
      <c r="BA166" s="68" t="str">
        <f>IF(ListLayout[[#This Row],[List Name for Layout]]="","nest_relation1",IFERROR(VLOOKUP(ListLayout[[#This Row],[Relation 1]],RelationTable[[Display]:[RELID]],2,0),""))</f>
        <v/>
      </c>
      <c r="BB166" s="68" t="str">
        <f>IF(ListLayout[[#This Row],[List Name for Layout]]="","nest_relation2",IFERROR(VLOOKUP(ListLayout[[#This Row],[Relation 2]],RelationTable[[Display]:[RELID]],2,0),""))</f>
        <v/>
      </c>
      <c r="BC166" s="108"/>
      <c r="BD166" s="108"/>
      <c r="BE166" s="108"/>
    </row>
    <row r="167" spans="46:57">
      <c r="AT167" s="69" t="str">
        <f>'Table Seed Map'!$A$27&amp;"-"&amp;COUNTA($AV$1:ListLayout[[#This Row],[No]])-2</f>
        <v>List Layout-165</v>
      </c>
      <c r="AU167" s="62" t="s">
        <v>2027</v>
      </c>
      <c r="AV167" s="69">
        <f>IF(ListLayout[[#This Row],[List Name for Layout]]="","id",COUNTA($AU$2:ListLayout[[#This Row],[List Name for Layout]])+IF(ISNUMBER(VLOOKUP('Table Seed Map'!$A$27,SeedMap[],9,0)),VLOOKUP('Table Seed Map'!$A$27,SeedMap[],9,0),0))</f>
        <v>2126265</v>
      </c>
      <c r="AW167" s="69">
        <f>IFERROR(VLOOKUP(ListLayout[[#This Row],[List Name for Layout]],ResourceList[[ListDisplayName]:[No]],2,0),"resource_list")</f>
        <v>2123143</v>
      </c>
      <c r="AX167" s="69" t="s">
        <v>307</v>
      </c>
      <c r="AY167" s="107" t="s">
        <v>21</v>
      </c>
      <c r="AZ167" s="69" t="str">
        <f>IF(ListLayout[[#This Row],[List Name for Layout]]="","relation",IFERROR(VLOOKUP(ListLayout[[#This Row],[Relation]],RelationTable[[Display]:[RELID]],2,0),""))</f>
        <v/>
      </c>
      <c r="BA167" s="69" t="str">
        <f>IF(ListLayout[[#This Row],[List Name for Layout]]="","nest_relation1",IFERROR(VLOOKUP(ListLayout[[#This Row],[Relation 1]],RelationTable[[Display]:[RELID]],2,0),""))</f>
        <v/>
      </c>
      <c r="BB167" s="69" t="str">
        <f>IF(ListLayout[[#This Row],[List Name for Layout]]="","nest_relation2",IFERROR(VLOOKUP(ListLayout[[#This Row],[Relation 2]],RelationTable[[Display]:[RELID]],2,0),""))</f>
        <v/>
      </c>
      <c r="BC167" s="107"/>
      <c r="BD167" s="107"/>
      <c r="BE167" s="107"/>
    </row>
    <row r="168" spans="46:57">
      <c r="AT168" s="68" t="str">
        <f>'Table Seed Map'!$A$27&amp;"-"&amp;COUNTA($AV$1:ListLayout[[#This Row],[No]])-2</f>
        <v>List Layout-166</v>
      </c>
      <c r="AU168" s="62" t="s">
        <v>2027</v>
      </c>
      <c r="AV168" s="68">
        <f>IF(ListLayout[[#This Row],[List Name for Layout]]="","id",COUNTA($AU$2:ListLayout[[#This Row],[List Name for Layout]])+IF(ISNUMBER(VLOOKUP('Table Seed Map'!$A$27,SeedMap[],9,0)),VLOOKUP('Table Seed Map'!$A$27,SeedMap[],9,0),0))</f>
        <v>2126266</v>
      </c>
      <c r="AW168" s="68">
        <f>IFERROR(VLOOKUP(ListLayout[[#This Row],[List Name for Layout]],ResourceList[[ListDisplayName]:[No]],2,0),"resource_list")</f>
        <v>2123143</v>
      </c>
      <c r="AX168" s="69" t="s">
        <v>785</v>
      </c>
      <c r="AY168" s="107" t="s">
        <v>23</v>
      </c>
      <c r="AZ168" s="68">
        <f>IF(ListLayout[[#This Row],[List Name for Layout]]="","relation",IFERROR(VLOOKUP(ListLayout[[#This Row],[Relation]],RelationTable[[Display]:[RELID]],2,0),""))</f>
        <v>2109147</v>
      </c>
      <c r="BA168" s="68" t="str">
        <f>IF(ListLayout[[#This Row],[List Name for Layout]]="","nest_relation1",IFERROR(VLOOKUP(ListLayout[[#This Row],[Relation 1]],RelationTable[[Display]:[RELID]],2,0),""))</f>
        <v/>
      </c>
      <c r="BB168" s="68" t="str">
        <f>IF(ListLayout[[#This Row],[List Name for Layout]]="","nest_relation2",IFERROR(VLOOKUP(ListLayout[[#This Row],[Relation 2]],RelationTable[[Display]:[RELID]],2,0),""))</f>
        <v/>
      </c>
      <c r="BC168" s="107" t="s">
        <v>1478</v>
      </c>
      <c r="BD168" s="108"/>
      <c r="BE168" s="108"/>
    </row>
    <row r="169" spans="46:57">
      <c r="AT169" s="68" t="str">
        <f>'Table Seed Map'!$A$27&amp;"-"&amp;COUNTA($AV$1:ListLayout[[#This Row],[No]])-2</f>
        <v>List Layout-167</v>
      </c>
      <c r="AU169" s="62" t="s">
        <v>2027</v>
      </c>
      <c r="AV169" s="68">
        <f>IF(ListLayout[[#This Row],[List Name for Layout]]="","id",COUNTA($AU$2:ListLayout[[#This Row],[List Name for Layout]])+IF(ISNUMBER(VLOOKUP('Table Seed Map'!$A$27,SeedMap[],9,0)),VLOOKUP('Table Seed Map'!$A$27,SeedMap[],9,0),0))</f>
        <v>2126267</v>
      </c>
      <c r="AW169" s="68">
        <f>IFERROR(VLOOKUP(ListLayout[[#This Row],[List Name for Layout]],ResourceList[[ListDisplayName]:[No]],2,0),"resource_list")</f>
        <v>2123143</v>
      </c>
      <c r="AX169" s="69" t="s">
        <v>1337</v>
      </c>
      <c r="AY169" s="107" t="s">
        <v>827</v>
      </c>
      <c r="AZ169" s="68" t="str">
        <f>IF(ListLayout[[#This Row],[List Name for Layout]]="","relation",IFERROR(VLOOKUP(ListLayout[[#This Row],[Relation]],RelationTable[[Display]:[RELID]],2,0),""))</f>
        <v/>
      </c>
      <c r="BA169" s="68" t="str">
        <f>IF(ListLayout[[#This Row],[List Name for Layout]]="","nest_relation1",IFERROR(VLOOKUP(ListLayout[[#This Row],[Relation 1]],RelationTable[[Display]:[RELID]],2,0),""))</f>
        <v/>
      </c>
      <c r="BB169" s="68" t="str">
        <f>IF(ListLayout[[#This Row],[List Name for Layout]]="","nest_relation2",IFERROR(VLOOKUP(ListLayout[[#This Row],[Relation 2]],RelationTable[[Display]:[RELID]],2,0),""))</f>
        <v/>
      </c>
      <c r="BC169" s="108"/>
      <c r="BD169" s="108"/>
      <c r="BE169" s="108"/>
    </row>
    <row r="170" spans="46:57">
      <c r="AT170" s="68" t="str">
        <f>'Table Seed Map'!$A$27&amp;"-"&amp;COUNTA($AV$1:ListLayout[[#This Row],[No]])-2</f>
        <v>List Layout-168</v>
      </c>
      <c r="AU170" s="62" t="s">
        <v>2027</v>
      </c>
      <c r="AV170" s="68">
        <f>IF(ListLayout[[#This Row],[List Name for Layout]]="","id",COUNTA($AU$2:ListLayout[[#This Row],[List Name for Layout]])+IF(ISNUMBER(VLOOKUP('Table Seed Map'!$A$27,SeedMap[],9,0)),VLOOKUP('Table Seed Map'!$A$27,SeedMap[],9,0),0))</f>
        <v>2126268</v>
      </c>
      <c r="AW170" s="68">
        <f>IFERROR(VLOOKUP(ListLayout[[#This Row],[List Name for Layout]],ResourceList[[ListDisplayName]:[No]],2,0),"resource_list")</f>
        <v>2123143</v>
      </c>
      <c r="AX170" s="69" t="s">
        <v>1477</v>
      </c>
      <c r="AY170" s="107" t="s">
        <v>886</v>
      </c>
      <c r="AZ170" s="68" t="str">
        <f>IF(ListLayout[[#This Row],[List Name for Layout]]="","relation",IFERROR(VLOOKUP(ListLayout[[#This Row],[Relation]],RelationTable[[Display]:[RELID]],2,0),""))</f>
        <v/>
      </c>
      <c r="BA170" s="68" t="str">
        <f>IF(ListLayout[[#This Row],[List Name for Layout]]="","nest_relation1",IFERROR(VLOOKUP(ListLayout[[#This Row],[Relation 1]],RelationTable[[Display]:[RELID]],2,0),""))</f>
        <v/>
      </c>
      <c r="BB170" s="68" t="str">
        <f>IF(ListLayout[[#This Row],[List Name for Layout]]="","nest_relation2",IFERROR(VLOOKUP(ListLayout[[#This Row],[Relation 2]],RelationTable[[Display]:[RELID]],2,0),""))</f>
        <v/>
      </c>
      <c r="BC170" s="108"/>
      <c r="BD170" s="108"/>
      <c r="BE170" s="108"/>
    </row>
    <row r="171" spans="46:57">
      <c r="AT171" s="69" t="str">
        <f>'Table Seed Map'!$A$27&amp;"-"&amp;COUNTA($AV$1:ListLayout[[#This Row],[No]])-2</f>
        <v>List Layout-169</v>
      </c>
      <c r="AU171" s="62" t="s">
        <v>2035</v>
      </c>
      <c r="AV171" s="69">
        <f>IF(ListLayout[[#This Row],[List Name for Layout]]="","id",COUNTA($AU$2:ListLayout[[#This Row],[List Name for Layout]])+IF(ISNUMBER(VLOOKUP('Table Seed Map'!$A$27,SeedMap[],9,0)),VLOOKUP('Table Seed Map'!$A$27,SeedMap[],9,0),0))</f>
        <v>2126269</v>
      </c>
      <c r="AW171" s="69">
        <f>IFERROR(VLOOKUP(ListLayout[[#This Row],[List Name for Layout]],ResourceList[[ListDisplayName]:[No]],2,0),"resource_list")</f>
        <v>2123144</v>
      </c>
      <c r="AX171" s="69" t="s">
        <v>779</v>
      </c>
      <c r="AY171" s="107" t="s">
        <v>23</v>
      </c>
      <c r="AZ171" s="69">
        <f>IF(ListLayout[[#This Row],[List Name for Layout]]="","relation",IFERROR(VLOOKUP(ListLayout[[#This Row],[Relation]],RelationTable[[Display]:[RELID]],2,0),""))</f>
        <v>2109153</v>
      </c>
      <c r="BA171" s="69" t="str">
        <f>IF(ListLayout[[#This Row],[List Name for Layout]]="","nest_relation1",IFERROR(VLOOKUP(ListLayout[[#This Row],[Relation 1]],RelationTable[[Display]:[RELID]],2,0),""))</f>
        <v/>
      </c>
      <c r="BB171" s="69" t="str">
        <f>IF(ListLayout[[#This Row],[List Name for Layout]]="","nest_relation2",IFERROR(VLOOKUP(ListLayout[[#This Row],[Relation 2]],RelationTable[[Display]:[RELID]],2,0),""))</f>
        <v/>
      </c>
      <c r="BC171" s="107" t="s">
        <v>1634</v>
      </c>
      <c r="BD171" s="107"/>
      <c r="BE171" s="107"/>
    </row>
    <row r="172" spans="46:57">
      <c r="AT172" s="68" t="str">
        <f>'Table Seed Map'!$A$27&amp;"-"&amp;COUNTA($AV$1:ListLayout[[#This Row],[No]])-2</f>
        <v>List Layout-170</v>
      </c>
      <c r="AU172" s="62" t="s">
        <v>2035</v>
      </c>
      <c r="AV172" s="68">
        <f>IF(ListLayout[[#This Row],[List Name for Layout]]="","id",COUNTA($AU$2:ListLayout[[#This Row],[List Name for Layout]])+IF(ISNUMBER(VLOOKUP('Table Seed Map'!$A$27,SeedMap[],9,0)),VLOOKUP('Table Seed Map'!$A$27,SeedMap[],9,0),0))</f>
        <v>2126270</v>
      </c>
      <c r="AW172" s="68">
        <f>IFERROR(VLOOKUP(ListLayout[[#This Row],[List Name for Layout]],ResourceList[[ListDisplayName]:[No]],2,0),"resource_list")</f>
        <v>2123144</v>
      </c>
      <c r="AX172" s="69" t="s">
        <v>104</v>
      </c>
      <c r="AY172" s="107" t="s">
        <v>854</v>
      </c>
      <c r="AZ172" s="68">
        <f>IF(ListLayout[[#This Row],[List Name for Layout]]="","relation",IFERROR(VLOOKUP(ListLayout[[#This Row],[Relation]],RelationTable[[Display]:[RELID]],2,0),""))</f>
        <v>2109154</v>
      </c>
      <c r="BA172" s="68" t="str">
        <f>IF(ListLayout[[#This Row],[List Name for Layout]]="","nest_relation1",IFERROR(VLOOKUP(ListLayout[[#This Row],[Relation 1]],RelationTable[[Display]:[RELID]],2,0),""))</f>
        <v/>
      </c>
      <c r="BB172" s="68" t="str">
        <f>IF(ListLayout[[#This Row],[List Name for Layout]]="","nest_relation2",IFERROR(VLOOKUP(ListLayout[[#This Row],[Relation 2]],RelationTable[[Display]:[RELID]],2,0),""))</f>
        <v/>
      </c>
      <c r="BC172" s="107" t="s">
        <v>1635</v>
      </c>
      <c r="BD172" s="108"/>
      <c r="BE172" s="108"/>
    </row>
    <row r="173" spans="46:57">
      <c r="AT173" s="68" t="str">
        <f>'Table Seed Map'!$A$27&amp;"-"&amp;COUNTA($AV$1:ListLayout[[#This Row],[No]])-2</f>
        <v>List Layout-171</v>
      </c>
      <c r="AU173" s="62" t="s">
        <v>2035</v>
      </c>
      <c r="AV173" s="68">
        <f>IF(ListLayout[[#This Row],[List Name for Layout]]="","id",COUNTA($AU$2:ListLayout[[#This Row],[List Name for Layout]])+IF(ISNUMBER(VLOOKUP('Table Seed Map'!$A$27,SeedMap[],9,0)),VLOOKUP('Table Seed Map'!$A$27,SeedMap[],9,0),0))</f>
        <v>2126271</v>
      </c>
      <c r="AW173" s="68">
        <f>IFERROR(VLOOKUP(ListLayout[[#This Row],[List Name for Layout]],ResourceList[[ListDisplayName]:[No]],2,0),"resource_list")</f>
        <v>2123144</v>
      </c>
      <c r="AX173" s="69" t="s">
        <v>1033</v>
      </c>
      <c r="AY173" s="107" t="s">
        <v>1642</v>
      </c>
      <c r="AZ173" s="68">
        <f>IF(ListLayout[[#This Row],[List Name for Layout]]="","relation",IFERROR(VLOOKUP(ListLayout[[#This Row],[Relation]],RelationTable[[Display]:[RELID]],2,0),""))</f>
        <v>2109155</v>
      </c>
      <c r="BA173" s="68" t="str">
        <f>IF(ListLayout[[#This Row],[List Name for Layout]]="","nest_relation1",IFERROR(VLOOKUP(ListLayout[[#This Row],[Relation 1]],RelationTable[[Display]:[RELID]],2,0),""))</f>
        <v/>
      </c>
      <c r="BB173" s="68" t="str">
        <f>IF(ListLayout[[#This Row],[List Name for Layout]]="","nest_relation2",IFERROR(VLOOKUP(ListLayout[[#This Row],[Relation 2]],RelationTable[[Display]:[RELID]],2,0),""))</f>
        <v/>
      </c>
      <c r="BC173" s="107" t="s">
        <v>1636</v>
      </c>
      <c r="BD173" s="108"/>
      <c r="BE173" s="108"/>
    </row>
    <row r="174" spans="46:57">
      <c r="AT174" s="68" t="str">
        <f>'Table Seed Map'!$A$27&amp;"-"&amp;COUNTA($AV$1:ListLayout[[#This Row],[No]])-2</f>
        <v>List Layout-172</v>
      </c>
      <c r="AU174" s="62" t="s">
        <v>2035</v>
      </c>
      <c r="AV174" s="68">
        <f>IF(ListLayout[[#This Row],[List Name for Layout]]="","id",COUNTA($AU$2:ListLayout[[#This Row],[List Name for Layout]])+IF(ISNUMBER(VLOOKUP('Table Seed Map'!$A$27,SeedMap[],9,0)),VLOOKUP('Table Seed Map'!$A$27,SeedMap[],9,0),0))</f>
        <v>2126272</v>
      </c>
      <c r="AW174" s="68">
        <f>IFERROR(VLOOKUP(ListLayout[[#This Row],[List Name for Layout]],ResourceList[[ListDisplayName]:[No]],2,0),"resource_list")</f>
        <v>2123144</v>
      </c>
      <c r="AX174" s="69" t="s">
        <v>900</v>
      </c>
      <c r="AY174" s="107" t="s">
        <v>23</v>
      </c>
      <c r="AZ174" s="68">
        <f>IF(ListLayout[[#This Row],[List Name for Layout]]="","relation",IFERROR(VLOOKUP(ListLayout[[#This Row],[Relation]],RelationTable[[Display]:[RELID]],2,0),""))</f>
        <v>2109188</v>
      </c>
      <c r="BA174" s="68" t="str">
        <f>IF(ListLayout[[#This Row],[List Name for Layout]]="","nest_relation1",IFERROR(VLOOKUP(ListLayout[[#This Row],[Relation 1]],RelationTable[[Display]:[RELID]],2,0),""))</f>
        <v/>
      </c>
      <c r="BB174" s="68" t="str">
        <f>IF(ListLayout[[#This Row],[List Name for Layout]]="","nest_relation2",IFERROR(VLOOKUP(ListLayout[[#This Row],[Relation 2]],RelationTable[[Display]:[RELID]],2,0),""))</f>
        <v/>
      </c>
      <c r="BC174" s="107" t="s">
        <v>1257</v>
      </c>
      <c r="BD174" s="108"/>
      <c r="BE174" s="108"/>
    </row>
    <row r="175" spans="46:57">
      <c r="AT175" s="68" t="str">
        <f>'Table Seed Map'!$A$27&amp;"-"&amp;COUNTA($AV$1:ListLayout[[#This Row],[No]])-2</f>
        <v>List Layout-173</v>
      </c>
      <c r="AU175" s="62" t="s">
        <v>2035</v>
      </c>
      <c r="AV175" s="68">
        <f>IF(ListLayout[[#This Row],[List Name for Layout]]="","id",COUNTA($AU$2:ListLayout[[#This Row],[List Name for Layout]])+IF(ISNUMBER(VLOOKUP('Table Seed Map'!$A$27,SeedMap[],9,0)),VLOOKUP('Table Seed Map'!$A$27,SeedMap[],9,0),0))</f>
        <v>2126273</v>
      </c>
      <c r="AW175" s="68">
        <f>IFERROR(VLOOKUP(ListLayout[[#This Row],[List Name for Layout]],ResourceList[[ListDisplayName]:[No]],2,0),"resource_list")</f>
        <v>2123144</v>
      </c>
      <c r="AX175" s="69" t="s">
        <v>1262</v>
      </c>
      <c r="AY175" s="107" t="s">
        <v>856</v>
      </c>
      <c r="AZ175" s="68" t="str">
        <f>IF(ListLayout[[#This Row],[List Name for Layout]]="","relation",IFERROR(VLOOKUP(ListLayout[[#This Row],[Relation]],RelationTable[[Display]:[RELID]],2,0),""))</f>
        <v/>
      </c>
      <c r="BA175" s="68" t="str">
        <f>IF(ListLayout[[#This Row],[List Name for Layout]]="","nest_relation1",IFERROR(VLOOKUP(ListLayout[[#This Row],[Relation 1]],RelationTable[[Display]:[RELID]],2,0),""))</f>
        <v/>
      </c>
      <c r="BB175" s="68" t="str">
        <f>IF(ListLayout[[#This Row],[List Name for Layout]]="","nest_relation2",IFERROR(VLOOKUP(ListLayout[[#This Row],[Relation 2]],RelationTable[[Display]:[RELID]],2,0),""))</f>
        <v/>
      </c>
      <c r="BC175" s="108"/>
      <c r="BD175" s="108"/>
      <c r="BE175" s="108"/>
    </row>
    <row r="176" spans="46:57">
      <c r="AT176" s="68" t="str">
        <f>'Table Seed Map'!$A$27&amp;"-"&amp;COUNTA($AV$1:ListLayout[[#This Row],[No]])-2</f>
        <v>List Layout-174</v>
      </c>
      <c r="AU176" s="62" t="s">
        <v>2035</v>
      </c>
      <c r="AV176" s="68">
        <f>IF(ListLayout[[#This Row],[List Name for Layout]]="","id",COUNTA($AU$2:ListLayout[[#This Row],[List Name for Layout]])+IF(ISNUMBER(VLOOKUP('Table Seed Map'!$A$27,SeedMap[],9,0)),VLOOKUP('Table Seed Map'!$A$27,SeedMap[],9,0),0))</f>
        <v>2126274</v>
      </c>
      <c r="AW176" s="68">
        <f>IFERROR(VLOOKUP(ListLayout[[#This Row],[List Name for Layout]],ResourceList[[ListDisplayName]:[No]],2,0),"resource_list")</f>
        <v>2123144</v>
      </c>
      <c r="AX176" s="69" t="s">
        <v>1477</v>
      </c>
      <c r="AY176" s="107" t="s">
        <v>886</v>
      </c>
      <c r="AZ176" s="68" t="str">
        <f>IF(ListLayout[[#This Row],[List Name for Layout]]="","relation",IFERROR(VLOOKUP(ListLayout[[#This Row],[Relation]],RelationTable[[Display]:[RELID]],2,0),""))</f>
        <v/>
      </c>
      <c r="BA176" s="68" t="str">
        <f>IF(ListLayout[[#This Row],[List Name for Layout]]="","nest_relation1",IFERROR(VLOOKUP(ListLayout[[#This Row],[Relation 1]],RelationTable[[Display]:[RELID]],2,0),""))</f>
        <v/>
      </c>
      <c r="BB176" s="68" t="str">
        <f>IF(ListLayout[[#This Row],[List Name for Layout]]="","nest_relation2",IFERROR(VLOOKUP(ListLayout[[#This Row],[Relation 2]],RelationTable[[Display]:[RELID]],2,0),""))</f>
        <v/>
      </c>
      <c r="BC176" s="108"/>
      <c r="BD176" s="108"/>
      <c r="BE176" s="108"/>
    </row>
  </sheetData>
  <dataValidations count="4">
    <dataValidation type="list" allowBlank="1" showInputMessage="1" showErrorMessage="1" sqref="AO2:AR2 P2:S82 BC2:BE176">
      <formula1>Relations</formula1>
    </dataValidation>
    <dataValidation type="list" allowBlank="1" showInputMessage="1" showErrorMessage="1" sqref="AG2 M2:M82 AU2:AU176">
      <formula1>ListNames</formula1>
    </dataValidation>
    <dataValidation type="list" allowBlank="1" showInputMessage="1" showErrorMessage="1" sqref="B2:B46">
      <formula1>Resources</formula1>
    </dataValidation>
    <dataValidation type="list" allowBlank="1" showInputMessage="1" showErrorMessage="1" sqref="O2:O82">
      <formula1>Scopes</formula1>
    </dataValidation>
  </dataValidations>
  <pageMargins left="0.7" right="0.7" top="0.75" bottom="0.75" header="0.3" footer="0.3"/>
  <pageSetup paperSize="9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1"/>
  <sheetViews>
    <sheetView topLeftCell="B1" workbookViewId="0">
      <selection activeCell="L15" sqref="L15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1343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1554</v>
      </c>
      <c r="G3" s="107"/>
      <c r="H3" s="107" t="s">
        <v>23</v>
      </c>
      <c r="I3" s="111"/>
      <c r="J3" s="75">
        <f>[No]</f>
        <v>2128101</v>
      </c>
      <c r="L3" s="62" t="s">
        <v>1556</v>
      </c>
      <c r="M3" s="63">
        <f>VLOOKUP(DataExtra[[#This Row],[Data Name]],ResourceData[[DataDisplayName]:[No]],2,0)</f>
        <v>2128101</v>
      </c>
      <c r="N3" s="62"/>
      <c r="O3" s="62" t="s">
        <v>1459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1556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1561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1188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1553</v>
      </c>
      <c r="G4" s="107"/>
      <c r="H4" s="107" t="s">
        <v>23</v>
      </c>
      <c r="I4" s="111"/>
      <c r="J4" s="75">
        <f>[No]</f>
        <v>2128102</v>
      </c>
      <c r="L4" s="62" t="s">
        <v>1556</v>
      </c>
      <c r="M4" s="63">
        <f>VLOOKUP(DataExtra[[#This Row],[Data Name]],ResourceData[[DataDisplayName]:[No]],2,0)</f>
        <v>2128101</v>
      </c>
      <c r="N4" s="62"/>
      <c r="O4" s="62" t="s">
        <v>1460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1557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1544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1561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1459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1555</v>
      </c>
      <c r="G5" s="107"/>
      <c r="H5" s="107" t="s">
        <v>23</v>
      </c>
      <c r="I5" s="111"/>
      <c r="J5" s="75">
        <f>[No]</f>
        <v>2128103</v>
      </c>
      <c r="L5" s="62" t="s">
        <v>1556</v>
      </c>
      <c r="M5" s="63">
        <f>VLOOKUP(DataExtra[[#This Row],[Data Name]],ResourceData[[DataDisplayName]:[No]],2,0)</f>
        <v>2128101</v>
      </c>
      <c r="N5" s="62"/>
      <c r="O5" s="62" t="s">
        <v>1375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1557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1540</v>
      </c>
      <c r="AP5" s="69" t="str">
        <f>'Table Seed Map'!$A$33&amp;"-"&amp;-1+COUNTA($AQ$1:DataViewSectionItem[[#This Row],[Data Section for Items]])</f>
        <v>Data View Section Items-3</v>
      </c>
      <c r="AQ5" s="62" t="s">
        <v>1561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1460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1579</v>
      </c>
      <c r="G6" s="107"/>
      <c r="H6" s="107" t="s">
        <v>23</v>
      </c>
      <c r="I6" s="111"/>
      <c r="J6" s="75">
        <f>[No]</f>
        <v>2128104</v>
      </c>
      <c r="L6" s="62" t="s">
        <v>1557</v>
      </c>
      <c r="M6" s="63">
        <f>VLOOKUP(DataExtra[[#This Row],[Data Name]],ResourceData[[DataDisplayName]:[No]],2,0)</f>
        <v>2128102</v>
      </c>
      <c r="N6" s="62"/>
      <c r="O6" s="62" t="s">
        <v>1540</v>
      </c>
      <c r="P6" s="62" t="s">
        <v>1551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1557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1541</v>
      </c>
      <c r="AP6" s="69" t="str">
        <f>'Table Seed Map'!$A$33&amp;"-"&amp;-1+COUNTA($AQ$1:DataViewSectionItem[[#This Row],[Data Section for Items]])</f>
        <v>Data View Section Items-4</v>
      </c>
      <c r="AQ6" s="62" t="s">
        <v>1561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1375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1712</v>
      </c>
      <c r="G7" s="107"/>
      <c r="H7" s="107" t="s">
        <v>23</v>
      </c>
      <c r="I7" s="111"/>
      <c r="J7" s="75">
        <f>[No]</f>
        <v>2128105</v>
      </c>
      <c r="L7" s="62" t="s">
        <v>1557</v>
      </c>
      <c r="M7" s="63">
        <f>VLOOKUP(DataExtra[[#This Row],[Data Name]],ResourceData[[DataDisplayName]:[No]],2,0)</f>
        <v>2128102</v>
      </c>
      <c r="N7" s="62"/>
      <c r="O7" s="62" t="s">
        <v>1541</v>
      </c>
      <c r="P7" s="62" t="s">
        <v>1550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1557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1542</v>
      </c>
      <c r="AP7" s="69" t="str">
        <f>'Table Seed Map'!$A$33&amp;"-"&amp;-1+COUNTA($AQ$1:DataViewSectionItem[[#This Row],[Data Section for Items]])</f>
        <v>Data View Section Items-5</v>
      </c>
      <c r="AQ7" s="62" t="s">
        <v>1562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1162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1730</v>
      </c>
      <c r="G8" s="107"/>
      <c r="H8" s="107" t="s">
        <v>23</v>
      </c>
      <c r="I8" s="111"/>
      <c r="J8" s="75">
        <f>[No]</f>
        <v>2128106</v>
      </c>
      <c r="L8" s="62" t="s">
        <v>1557</v>
      </c>
      <c r="M8" s="63">
        <f>VLOOKUP(DataExtra[[#This Row],[Data Name]],ResourceData[[DataDisplayName]:[No]],2,0)</f>
        <v>2128102</v>
      </c>
      <c r="N8" s="62"/>
      <c r="O8" s="62" t="s">
        <v>1541</v>
      </c>
      <c r="P8" s="62" t="s">
        <v>1552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1560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1562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1462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1745</v>
      </c>
      <c r="G9" s="14"/>
      <c r="H9" s="14" t="s">
        <v>23</v>
      </c>
      <c r="I9" s="113"/>
      <c r="J9" s="79">
        <f>[No]</f>
        <v>2128107</v>
      </c>
      <c r="L9" s="62" t="s">
        <v>1557</v>
      </c>
      <c r="M9" s="63">
        <f>VLOOKUP(DataExtra[[#This Row],[Data Name]],ResourceData[[DataDisplayName]:[No]],2,0)</f>
        <v>2128102</v>
      </c>
      <c r="N9" s="62"/>
      <c r="O9" s="62" t="s">
        <v>1542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1583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1562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1188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1750</v>
      </c>
      <c r="G10" s="14"/>
      <c r="H10" s="14" t="s">
        <v>854</v>
      </c>
      <c r="I10" s="113"/>
      <c r="J10" s="79">
        <f>[No]</f>
        <v>2128108</v>
      </c>
      <c r="L10" s="62" t="s">
        <v>1557</v>
      </c>
      <c r="M10" s="63">
        <f>VLOOKUP(DataExtra[[#This Row],[Data Name]],ResourceData[[DataDisplayName]:[No]],2,0)</f>
        <v>2128102</v>
      </c>
      <c r="N10" s="62"/>
      <c r="O10" s="62" t="s">
        <v>1543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1583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1094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1545</v>
      </c>
      <c r="AP10" s="69" t="str">
        <f>'Table Seed Map'!$A$33&amp;"-"&amp;-1+COUNTA($AQ$1:DataViewSectionItem[[#This Row],[Data Section for Items]])</f>
        <v>Data View Section Items-8</v>
      </c>
      <c r="AQ10" s="62" t="s">
        <v>1562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1189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1760</v>
      </c>
      <c r="G11" s="107"/>
      <c r="H11" s="107" t="s">
        <v>23</v>
      </c>
      <c r="I11" s="111"/>
      <c r="J11" s="75">
        <f>[No]</f>
        <v>2128109</v>
      </c>
      <c r="L11" s="62" t="s">
        <v>1560</v>
      </c>
      <c r="M11" s="63">
        <f>VLOOKUP(DataExtra[[#This Row],[Data Name]],ResourceData[[DataDisplayName]:[No]],2,0)</f>
        <v>2128103</v>
      </c>
      <c r="N11" s="62"/>
      <c r="O11" s="62" t="s">
        <v>1168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1583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1584</v>
      </c>
      <c r="AP11" s="69" t="str">
        <f>'Table Seed Map'!$A$33&amp;"-"&amp;-1+COUNTA($AQ$1:DataViewSectionItem[[#This Row],[Data Section for Items]])</f>
        <v>Data View Section Items-9</v>
      </c>
      <c r="AQ11" s="62" t="s">
        <v>1562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1217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1543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1768</v>
      </c>
      <c r="G12" s="107"/>
      <c r="H12" s="107" t="s">
        <v>23</v>
      </c>
      <c r="I12" s="111"/>
      <c r="J12" s="75">
        <f>[No]</f>
        <v>2128110</v>
      </c>
      <c r="L12" s="62" t="s">
        <v>1583</v>
      </c>
      <c r="M12" s="63">
        <f>VLOOKUP(DataExtra[[#This Row],[Data Name]],ResourceData[[DataDisplayName]:[No]],2,0)</f>
        <v>2128104</v>
      </c>
      <c r="N12" s="62"/>
      <c r="O12" s="62" t="s">
        <v>1545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1583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1466</v>
      </c>
      <c r="AP12" s="69" t="str">
        <f>'Table Seed Map'!$A$33&amp;"-"&amp;-1+COUNTA($AQ$1:DataViewSectionItem[[#This Row],[Data Section for Items]])</f>
        <v>Data View Section Items-10</v>
      </c>
      <c r="AQ12" s="62" t="s">
        <v>1562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1196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1780</v>
      </c>
      <c r="G13" s="107"/>
      <c r="H13" s="107" t="s">
        <v>21</v>
      </c>
      <c r="I13" s="111"/>
      <c r="J13" s="75">
        <f>[No]</f>
        <v>2128111</v>
      </c>
      <c r="L13" s="62" t="s">
        <v>1583</v>
      </c>
      <c r="M13" s="63">
        <f>VLOOKUP(DataExtra[[#This Row],[Data Name]],ResourceData[[DataDisplayName]:[No]],2,0)</f>
        <v>2128104</v>
      </c>
      <c r="N13" s="62"/>
      <c r="O13" s="62" t="s">
        <v>1584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1713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1563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A14" s="63" t="str">
        <f>'Table Seed Map'!$A$29&amp;"-"&amp;COUNTA($E$1:ResourceData[[#This Row],[Resource]])-2</f>
        <v>Resource Data-12</v>
      </c>
      <c r="B14" s="62" t="s">
        <v>792</v>
      </c>
      <c r="C14" s="63" t="str">
        <f>ResourceData[[#This Row],[Resource Name]]&amp;"/"&amp;ResourceData[[#This Row],[Name]]</f>
        <v>HubShift/HubShiftEditData</v>
      </c>
      <c r="D14" s="69">
        <f>IF(COUNTA($E$1:ResourceData[[#This Row],[Resource]])=2,"id",-2+COUNTA($E$1:ResourceData[[#This Row],[Resource]])+IF(ISNUMBER(VLOOKUP('Table Seed Map'!$A$29,SeedMap[],9,0)),VLOOKUP('Table Seed Map'!$A$29,SeedMap[],9,0),0))</f>
        <v>2128112</v>
      </c>
      <c r="E14" s="69">
        <f>IFERROR(VLOOKUP(ResourceData[[#This Row],[Resource Name]],ResourceTable[[RName]:[No]],3,0),"resource")</f>
        <v>2106127</v>
      </c>
      <c r="F14" s="107" t="s">
        <v>1867</v>
      </c>
      <c r="G14" s="107"/>
      <c r="H14" s="107" t="s">
        <v>21</v>
      </c>
      <c r="I14" s="111"/>
      <c r="J14" s="75">
        <f>[No]</f>
        <v>2128112</v>
      </c>
      <c r="L14" s="62" t="s">
        <v>1583</v>
      </c>
      <c r="M14" s="63">
        <f>VLOOKUP(DataExtra[[#This Row],[Data Name]],ResourceData[[DataDisplayName]:[No]],2,0)</f>
        <v>2128104</v>
      </c>
      <c r="N14" s="62"/>
      <c r="O14" s="62" t="s">
        <v>1585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1731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1563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1188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A15" s="63" t="str">
        <f>'Table Seed Map'!$A$29&amp;"-"&amp;COUNTA($E$1:ResourceData[[#This Row],[Resource]])-2</f>
        <v>Resource Data-13</v>
      </c>
      <c r="B15" s="62" t="s">
        <v>790</v>
      </c>
      <c r="C15" s="63" t="str">
        <f>ResourceData[[#This Row],[Resource Name]]&amp;"/"&amp;ResourceData[[#This Row],[Name]]</f>
        <v>OrderItemServiceUser/OrderItemServiceData</v>
      </c>
      <c r="D15" s="69">
        <f>IF(COUNTA($E$1:ResourceData[[#This Row],[Resource]])=2,"id",-2+COUNTA($E$1:ResourceData[[#This Row],[Resource]])+IF(ISNUMBER(VLOOKUP('Table Seed Map'!$A$29,SeedMap[],9,0)),VLOOKUP('Table Seed Map'!$A$29,SeedMap[],9,0),0))</f>
        <v>2128113</v>
      </c>
      <c r="E15" s="69">
        <f>IFERROR(VLOOKUP(ResourceData[[#This Row],[Resource Name]],ResourceTable[[RName]:[No]],3,0),"resource")</f>
        <v>2106123</v>
      </c>
      <c r="F15" s="107" t="s">
        <v>1995</v>
      </c>
      <c r="G15" s="107"/>
      <c r="H15" s="107" t="s">
        <v>845</v>
      </c>
      <c r="I15" s="111"/>
      <c r="J15" s="75">
        <f>[No]</f>
        <v>2128113</v>
      </c>
      <c r="L15" s="62" t="s">
        <v>1583</v>
      </c>
      <c r="M15" s="63">
        <f>VLOOKUP(DataExtra[[#This Row],[Data Name]],ResourceData[[DataDisplayName]:[No]],2,0)</f>
        <v>2128104</v>
      </c>
      <c r="N15" s="62"/>
      <c r="O15" s="62" t="s">
        <v>1466</v>
      </c>
      <c r="P15" s="62" t="s">
        <v>1586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1731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1734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1732</v>
      </c>
      <c r="AP15" s="69" t="str">
        <f>'Table Seed Map'!$A$33&amp;"-"&amp;-1+COUNTA($AQ$1:DataViewSectionItem[[#This Row],[Data Section for Items]])</f>
        <v>Data View Section Items-13</v>
      </c>
      <c r="AQ15" s="62" t="s">
        <v>1563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1551</v>
      </c>
    </row>
    <row r="16" spans="1:49">
      <c r="L16" s="62" t="s">
        <v>1713</v>
      </c>
      <c r="M16" s="63">
        <f>VLOOKUP(DataExtra[[#This Row],[Data Name]],ResourceData[[DataDisplayName]:[No]],2,0)</f>
        <v>2128105</v>
      </c>
      <c r="N16" s="62"/>
      <c r="O16" s="62" t="s">
        <v>1470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1564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1552</v>
      </c>
    </row>
    <row r="17" spans="12:49">
      <c r="L17" s="62" t="s">
        <v>1713</v>
      </c>
      <c r="M17" s="63">
        <f>VLOOKUP(DataExtra[[#This Row],[Data Name]],ResourceData[[DataDisplayName]:[No]],2,0)</f>
        <v>2128105</v>
      </c>
      <c r="N17" s="62"/>
      <c r="O17" s="62" t="s">
        <v>1546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1564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1550</v>
      </c>
    </row>
    <row r="18" spans="12:49">
      <c r="L18" s="62" t="s">
        <v>1731</v>
      </c>
      <c r="M18" s="63">
        <f>VLOOKUP(DataExtra[[#This Row],[Data Name]],ResourceData[[DataDisplayName]:[No]],2,0)</f>
        <v>2128106</v>
      </c>
      <c r="N18" s="62"/>
      <c r="O18" s="62" t="s">
        <v>1634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1565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1731</v>
      </c>
      <c r="M19" s="63">
        <f>VLOOKUP(DataExtra[[#This Row],[Data Name]],ResourceData[[DataDisplayName]:[No]],2,0)</f>
        <v>2128106</v>
      </c>
      <c r="N19" s="62"/>
      <c r="O19" s="62" t="s">
        <v>1635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1565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1196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1731</v>
      </c>
      <c r="M20" s="63">
        <f>VLOOKUP(DataExtra[[#This Row],[Data Name]],ResourceData[[DataDisplayName]:[No]],2,0)</f>
        <v>2128106</v>
      </c>
      <c r="N20" s="62"/>
      <c r="O20" s="62" t="s">
        <v>1636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1565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1546</v>
      </c>
    </row>
    <row r="21" spans="12:49">
      <c r="L21" s="62" t="s">
        <v>1731</v>
      </c>
      <c r="M21" s="63">
        <f>VLOOKUP(DataExtra[[#This Row],[Data Name]],ResourceData[[DataDisplayName]:[No]],2,0)</f>
        <v>2128106</v>
      </c>
      <c r="N21" s="62"/>
      <c r="O21" s="62" t="s">
        <v>1257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1578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1162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1168</v>
      </c>
    </row>
    <row r="22" spans="12:49">
      <c r="L22" s="62" t="s">
        <v>1731</v>
      </c>
      <c r="M22" s="63">
        <f>VLOOKUP(DataExtra[[#This Row],[Data Name]],ResourceData[[DataDisplayName]:[No]],2,0)</f>
        <v>2128106</v>
      </c>
      <c r="N22" s="62"/>
      <c r="O22" s="62" t="s">
        <v>1732</v>
      </c>
      <c r="P22" s="62" t="s">
        <v>1650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1578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1462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1168</v>
      </c>
    </row>
    <row r="23" spans="12:49">
      <c r="L23" s="62" t="s">
        <v>1731</v>
      </c>
      <c r="M23" s="63">
        <f>VLOOKUP(DataExtra[[#This Row],[Data Name]],ResourceData[[DataDisplayName]:[No]],2,0)</f>
        <v>2128106</v>
      </c>
      <c r="N23" s="62"/>
      <c r="O23" s="62" t="s">
        <v>1854</v>
      </c>
      <c r="P23" s="62"/>
      <c r="Q23" s="62"/>
      <c r="R23" s="62"/>
      <c r="S23" s="63" t="str">
        <f>'Table Seed Map'!$A$30&amp;"-"&amp;COUNT($V$1:DataExtra[[#This Row],[Scope ID]])</f>
        <v>Data Scopes-0</v>
      </c>
      <c r="T2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3" s="69">
        <f>IF(DataExtra[[#This Row],[DID]]=0,"resource_data",DataExtra[[#This Row],[DID]])</f>
        <v>2128106</v>
      </c>
      <c r="V23" s="69" t="str">
        <f>IFERROR(VLOOKUP(DataExtra[[#This Row],[Scope Name]],ResourceScopes[[ScopesDisplayNames]:[No]],2,0),IF(DataExtra[[#This Row],[DID]]=0,"scope",""))</f>
        <v/>
      </c>
      <c r="W23" s="63" t="str">
        <f>'Table Seed Map'!$A$31&amp;"-"&amp;COUNT($Z$1:DataExtra[[#This Row],[Relation]])</f>
        <v>Data Relations-21</v>
      </c>
      <c r="X2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2130121</v>
      </c>
      <c r="Y23" s="69">
        <f>IF(DataExtra[[#This Row],[DID]]=0,"resource_data",DataExtra[[#This Row],[DID]])</f>
        <v>2128106</v>
      </c>
      <c r="Z23" s="69">
        <f>IFERROR(VLOOKUP(DataExtra[[#This Row],[Relation Name]],RelationTable[[Display]:[RELID]],2,0),IF(DataExtra[[#This Row],[DID]]=0,"relation",""))</f>
        <v>2109194</v>
      </c>
      <c r="AA23" s="69" t="str">
        <f>IFERROR(VLOOKUP(DataExtra[[#This Row],[R1 Name]],RelationTable[[Display]:[RELID]],2,0),IF(DataExtra[[#This Row],[DID]]=0,"nest_relation1",""))</f>
        <v/>
      </c>
      <c r="AB23" s="69" t="str">
        <f>IFERROR(VLOOKUP(DataExtra[[#This Row],[R2 Name]],RelationTable[[Display]:[RELID]],2,0),IF(DataExtra[[#This Row],[DID]]=0,"nest_relation2",""))</f>
        <v/>
      </c>
      <c r="AC23" s="69" t="str">
        <f>IFERROR(VLOOKUP(DataExtra[[#This Row],[R3 Name]],RelationTable[[Display]:[RELID]],2,0),IF(DataExtra[[#This Row],[DID]]=0,"nest_relation3",""))</f>
        <v/>
      </c>
      <c r="AP23" s="69" t="str">
        <f>'Table Seed Map'!$A$33&amp;"-"&amp;-1+COUNTA($AQ$1:DataViewSectionItem[[#This Row],[Data Section for Items]])</f>
        <v>Data View Section Items-21</v>
      </c>
      <c r="AQ23" s="62" t="s">
        <v>1587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1585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1587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1196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1588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1588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1188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1589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1589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1462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1590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1586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1590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1465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1714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1470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1714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1715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1546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1714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1196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1733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1636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1733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1635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1733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1257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1733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1855</v>
      </c>
      <c r="AU37" s="107" t="s">
        <v>23</v>
      </c>
      <c r="AV37" s="69">
        <f>IF(DataViewSectionItem[[#This Row],[Data Section for Items]]="","relation",IFERROR(VLOOKUP(DataViewSectionItem[[#This Row],[Relation]],RelationTable[[Display]:[RELID]],2,0),""))</f>
        <v>2109194</v>
      </c>
      <c r="AW37" s="107" t="s">
        <v>1854</v>
      </c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1733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2131112</v>
      </c>
      <c r="AT38" s="69" t="s">
        <v>1477</v>
      </c>
      <c r="AU38" s="107" t="s">
        <v>886</v>
      </c>
      <c r="AV38" s="69" t="str">
        <f>IF(DataViewSectionItem[[#This Row],[Data Section for Items]]="","relation",IFERROR(VLOOKUP(DataViewSectionItem[[#This Row],[Relation]],RelationTable[[Display]:[RELID]],2,0),""))</f>
        <v/>
      </c>
      <c r="AW38" s="107"/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1735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2109159</v>
      </c>
      <c r="AW39" s="107" t="s">
        <v>1650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1735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78</v>
      </c>
      <c r="AU40" s="107" t="s">
        <v>23</v>
      </c>
      <c r="AV40" s="69">
        <f>IF(DataViewSectionItem[[#This Row],[Data Section for Items]]="","relation",IFERROR(VLOOKUP(DataViewSectionItem[[#This Row],[Relation]],RelationTable[[Display]:[RELID]],2,0),""))</f>
        <v>2109189</v>
      </c>
      <c r="AW40" s="107" t="s">
        <v>1651</v>
      </c>
    </row>
    <row r="41" spans="42:49">
      <c r="AP41" s="69" t="str">
        <f>'Table Seed Map'!$A$33&amp;"-"&amp;-1+COUNTA($AQ$1:DataViewSectionItem[[#This Row],[Data Section for Items]])</f>
        <v>Data View Section Items-39</v>
      </c>
      <c r="AQ41" s="62" t="s">
        <v>1735</v>
      </c>
      <c r="AR4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2132139</v>
      </c>
      <c r="AS41" s="69">
        <f>IF(DataViewSectionItem[[#This Row],[Data Section for Items]]="","section",VLOOKUP(DataViewSectionItem[[#This Row],[Data Section for Items]],DataViewSection[[DataSectionDisplayName]:[No]],2,0))</f>
        <v>2131113</v>
      </c>
      <c r="AT41" s="69" t="s">
        <v>1477</v>
      </c>
      <c r="AU41" s="107" t="s">
        <v>886</v>
      </c>
      <c r="AV41" s="69" t="str">
        <f>IF(DataViewSectionItem[[#This Row],[Data Section for Items]]="","relation",IFERROR(VLOOKUP(DataViewSectionItem[[#This Row],[Relation]],RelationTable[[Display]:[RELID]],2,0),""))</f>
        <v/>
      </c>
      <c r="AW41" s="107"/>
    </row>
  </sheetData>
  <dataValidations count="5">
    <dataValidation type="list" allowBlank="1" showInputMessage="1" showErrorMessage="1" sqref="AN2:AN15 AW2:AW41 O2:R23">
      <formula1>Relations</formula1>
    </dataValidation>
    <dataValidation type="list" allowBlank="1" showInputMessage="1" showErrorMessage="1" sqref="B2:B15">
      <formula1>Resources</formula1>
    </dataValidation>
    <dataValidation type="list" allowBlank="1" showInputMessage="1" showErrorMessage="1" sqref="AF2:AF15 L2:L23">
      <formula1>DataNames</formula1>
    </dataValidation>
    <dataValidation type="list" allowBlank="1" showInputMessage="1" showErrorMessage="1" sqref="N2:N23">
      <formula1>Scopes</formula1>
    </dataValidation>
    <dataValidation type="list" allowBlank="1" showInputMessage="1" showErrorMessage="1" sqref="AQ2:AQ4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44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87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9" s="6">
        <f ca="1">IF(IDNMaps[[#This Row],[Type]]="","",COUNTIF($K$1:IDNMaps[[#This Row],[Type]],IDNMaps[[#This Row],[Type]]))</f>
        <v>28</v>
      </c>
      <c r="M29" s="6" t="str">
        <f ca="1">IFERROR(VLOOKUP(IDNMaps[[#This Row],[Type]],RecordCount[],6,0)&amp;"-"&amp;IDNMaps[[#This Row],[Type Count]],"")</f>
        <v>Resource Forms-28</v>
      </c>
      <c r="N29" s="6" t="str">
        <f ca="1">IFERROR(VLOOKUP(IDNMaps[[#This Row],[Primary]],INDIRECT(VLOOKUP(IDNMaps[[#This Row],[Type]],RecordCount[],2,0)),VLOOKUP(IDNMaps[[#This Row],[Type]],RecordCount[],7,0),0),"")</f>
        <v>OrderItemServiceUser/JobStartForm</v>
      </c>
      <c r="O29" s="6" t="str">
        <f ca="1">IF(IDNMaps[[#This Row],[Name]]="","","("&amp;IDNMaps[[#This Row],[Type]]&amp;") "&amp;IDNMaps[[#This Row],[Name]])</f>
        <v>(Forms) OrderItemServiceUser/JobStartForm</v>
      </c>
      <c r="P29" s="6">
        <f ca="1">IFERROR(VLOOKUP(IDNMaps[[#This Row],[Primary]],INDIRECT(VLOOKUP(IDNMaps[[#This Row],[Type]],RecordCount[],2,0)),VLOOKUP(IDNMaps[[#This Row],[Type]],RecordCount[],8,0),0),"")</f>
        <v>2110128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0" s="6">
        <f ca="1">IF(IDNMaps[[#This Row],[Type]]="","",COUNTIF($K$1:IDNMaps[[#This Row],[Type]],IDNMaps[[#This Row],[Type]]))</f>
        <v>29</v>
      </c>
      <c r="M30" s="6" t="str">
        <f ca="1">IFERROR(VLOOKUP(IDNMaps[[#This Row],[Type]],RecordCount[],6,0)&amp;"-"&amp;IDNMaps[[#This Row],[Type Count]],"")</f>
        <v>Resource Forms-29</v>
      </c>
      <c r="N30" s="6" t="str">
        <f ca="1">IFERROR(VLOOKUP(IDNMaps[[#This Row],[Primary]],INDIRECT(VLOOKUP(IDNMaps[[#This Row],[Type]],RecordCount[],2,0)),VLOOKUP(IDNMaps[[#This Row],[Type]],RecordCount[],7,0),0),"")</f>
        <v>OrderItemServiceUser/FinishJobForm</v>
      </c>
      <c r="O30" s="6" t="str">
        <f ca="1">IF(IDNMaps[[#This Row],[Name]]="","","("&amp;IDNMaps[[#This Row],[Type]]&amp;") "&amp;IDNMaps[[#This Row],[Name]])</f>
        <v>(Forms) OrderItemServiceUser/FinishJobForm</v>
      </c>
      <c r="P30" s="6">
        <f ca="1">IFERROR(VLOOKUP(IDNMaps[[#This Row],[Primary]],INDIRECT(VLOOKUP(IDNMaps[[#This Row],[Type]],RecordCount[],2,0)),VLOOKUP(IDNMaps[[#This Row],[Type]],RecordCount[],8,0),0),"")</f>
        <v>2110129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</v>
      </c>
      <c r="M31" s="6" t="str">
        <f ca="1">IFERROR(VLOOKUP(IDNMaps[[#This Row],[Type]],RecordCount[],6,0)&amp;"-"&amp;IDNMaps[[#This Row],[Type Count]],"")</f>
        <v>Resource Lists-1</v>
      </c>
      <c r="N31" s="6" t="str">
        <f ca="1">IFERROR(VLOOKUP(IDNMaps[[#This Row],[Primary]],INDIRECT(VLOOKUP(IDNMaps[[#This Row],[Type]],RecordCount[],2,0)),VLOOKUP(IDNMaps[[#This Row],[Type]],RecordCount[],7,0),0),"")</f>
        <v>Group/EmployeeGroups</v>
      </c>
      <c r="O31" s="6" t="str">
        <f ca="1">IF(IDNMaps[[#This Row],[Name]]="","","("&amp;IDNMaps[[#This Row],[Type]]&amp;") "&amp;IDNMaps[[#This Row],[Name]])</f>
        <v>(Lists) Group/EmployeeGroups</v>
      </c>
      <c r="P31" s="6">
        <f ca="1">IFERROR(VLOOKUP(IDNMaps[[#This Row],[Primary]],INDIRECT(VLOOKUP(IDNMaps[[#This Row],[Type]],RecordCount[],2,0)),VLOOKUP(IDNMaps[[#This Row],[Type]],RecordCount[],8,0),0),"")</f>
        <v>2123101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2</v>
      </c>
      <c r="M32" s="6" t="str">
        <f ca="1">IFERROR(VLOOKUP(IDNMaps[[#This Row],[Type]],RecordCount[],6,0)&amp;"-"&amp;IDNMaps[[#This Row],[Type Count]],"")</f>
        <v>Resource Lists-2</v>
      </c>
      <c r="N32" s="6" t="str">
        <f ca="1">IFERROR(VLOOKUP(IDNMaps[[#This Row],[Primary]],INDIRECT(VLOOKUP(IDNMaps[[#This Row],[Type]],RecordCount[],2,0)),VLOOKUP(IDNMaps[[#This Row],[Type]],RecordCount[],7,0),0),"")</f>
        <v>Owner/OwnerList</v>
      </c>
      <c r="O32" s="6" t="str">
        <f ca="1">IF(IDNMaps[[#This Row],[Name]]="","","("&amp;IDNMaps[[#This Row],[Type]]&amp;") "&amp;IDNMaps[[#This Row],[Name]])</f>
        <v>(Lists) Owner/OwnerList</v>
      </c>
      <c r="P32" s="6">
        <f ca="1">IFERROR(VLOOKUP(IDNMaps[[#This Row],[Primary]],INDIRECT(VLOOKUP(IDNMaps[[#This Row],[Type]],RecordCount[],2,0)),VLOOKUP(IDNMaps[[#This Row],[Type]],RecordCount[],8,0),0),"")</f>
        <v>2123102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3</v>
      </c>
      <c r="M33" s="6" t="str">
        <f ca="1">IFERROR(VLOOKUP(IDNMaps[[#This Row],[Type]],RecordCount[],6,0)&amp;"-"&amp;IDNMaps[[#This Row],[Type Count]],"")</f>
        <v>Resource Lists-3</v>
      </c>
      <c r="N33" s="6" t="str">
        <f ca="1">IFERROR(VLOOKUP(IDNMaps[[#This Row],[Primary]],INDIRECT(VLOOKUP(IDNMaps[[#This Row],[Type]],RecordCount[],2,0)),VLOOKUP(IDNMaps[[#This Row],[Type]],RecordCount[],7,0),0),"")</f>
        <v>Employee/EmployeeList</v>
      </c>
      <c r="O33" s="6" t="str">
        <f ca="1">IF(IDNMaps[[#This Row],[Name]]="","","("&amp;IDNMaps[[#This Row],[Type]]&amp;") "&amp;IDNMaps[[#This Row],[Name]])</f>
        <v>(Lists) Employee/EmployeeList</v>
      </c>
      <c r="P33" s="6">
        <f ca="1">IFERROR(VLOOKUP(IDNMaps[[#This Row],[Primary]],INDIRECT(VLOOKUP(IDNMaps[[#This Row],[Type]],RecordCount[],2,0)),VLOOKUP(IDNMaps[[#This Row],[Type]],RecordCount[],8,0),0),"")</f>
        <v>2123103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4</v>
      </c>
      <c r="M34" s="6" t="str">
        <f ca="1">IFERROR(VLOOKUP(IDNMaps[[#This Row],[Type]],RecordCount[],6,0)&amp;"-"&amp;IDNMaps[[#This Row],[Type Count]],"")</f>
        <v>Resource Lists-4</v>
      </c>
      <c r="N34" s="6" t="str">
        <f ca="1">IFERROR(VLOOKUP(IDNMaps[[#This Row],[Primary]],INDIRECT(VLOOKUP(IDNMaps[[#This Row],[Type]],RecordCount[],2,0)),VLOOKUP(IDNMaps[[#This Row],[Type]],RecordCount[],7,0),0),"")</f>
        <v>Employee/ManagersList</v>
      </c>
      <c r="O34" s="6" t="str">
        <f ca="1">IF(IDNMaps[[#This Row],[Name]]="","","("&amp;IDNMaps[[#This Row],[Type]]&amp;") "&amp;IDNMaps[[#This Row],[Name]])</f>
        <v>(Lists) Employee/ManagersList</v>
      </c>
      <c r="P34" s="6">
        <f ca="1">IFERROR(VLOOKUP(IDNMaps[[#This Row],[Primary]],INDIRECT(VLOOKUP(IDNMaps[[#This Row],[Type]],RecordCount[],2,0)),VLOOKUP(IDNMaps[[#This Row],[Type]],RecordCount[],8,0),0),"")</f>
        <v>2123104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5</v>
      </c>
      <c r="M35" s="6" t="str">
        <f ca="1">IFERROR(VLOOKUP(IDNMaps[[#This Row],[Type]],RecordCount[],6,0)&amp;"-"&amp;IDNMaps[[#This Row],[Type Count]],"")</f>
        <v>Resource Lists-5</v>
      </c>
      <c r="N35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5" s="6" t="str">
        <f ca="1">IF(IDNMaps[[#This Row],[Name]]="","","("&amp;IDNMaps[[#This Row],[Type]]&amp;") "&amp;IDNMaps[[#This Row],[Name]])</f>
        <v>(Lists) Employee/ServiceProvidersList</v>
      </c>
      <c r="P35" s="6">
        <f ca="1">IFERROR(VLOOKUP(IDNMaps[[#This Row],[Primary]],INDIRECT(VLOOKUP(IDNMaps[[#This Row],[Type]],RecordCount[],2,0)),VLOOKUP(IDNMaps[[#This Row],[Type]],RecordCount[],8,0),0),"")</f>
        <v>2123105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6</v>
      </c>
      <c r="M36" s="6" t="str">
        <f ca="1">IFERROR(VLOOKUP(IDNMaps[[#This Row],[Type]],RecordCount[],6,0)&amp;"-"&amp;IDNMaps[[#This Row],[Type Count]],"")</f>
        <v>Resource Lists-6</v>
      </c>
      <c r="N36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6" s="6" t="str">
        <f ca="1">IF(IDNMaps[[#This Row],[Name]]="","","("&amp;IDNMaps[[#This Row],[Type]]&amp;") "&amp;IDNMaps[[#This Row],[Name]])</f>
        <v>(Lists) Employee/MyHubProviderList</v>
      </c>
      <c r="P36" s="6">
        <f ca="1">IFERROR(VLOOKUP(IDNMaps[[#This Row],[Primary]],INDIRECT(VLOOKUP(IDNMaps[[#This Row],[Type]],RecordCount[],2,0)),VLOOKUP(IDNMaps[[#This Row],[Type]],RecordCount[],8,0),0),"")</f>
        <v>2123106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7</v>
      </c>
      <c r="M37" s="6" t="str">
        <f ca="1">IFERROR(VLOOKUP(IDNMaps[[#This Row],[Type]],RecordCount[],6,0)&amp;"-"&amp;IDNMaps[[#This Row],[Type Count]],"")</f>
        <v>Resource Lists-7</v>
      </c>
      <c r="N37" s="6" t="str">
        <f ca="1">IFERROR(VLOOKUP(IDNMaps[[#This Row],[Primary]],INDIRECT(VLOOKUP(IDNMaps[[#This Row],[Type]],RecordCount[],2,0)),VLOOKUP(IDNMaps[[#This Row],[Type]],RecordCount[],7,0),0),"")</f>
        <v>Customer/CustomerList</v>
      </c>
      <c r="O37" s="6" t="str">
        <f ca="1">IF(IDNMaps[[#This Row],[Name]]="","","("&amp;IDNMaps[[#This Row],[Type]]&amp;") "&amp;IDNMaps[[#This Row],[Name]])</f>
        <v>(Lists) Customer/CustomerList</v>
      </c>
      <c r="P37" s="6">
        <f ca="1">IFERROR(VLOOKUP(IDNMaps[[#This Row],[Primary]],INDIRECT(VLOOKUP(IDNMaps[[#This Row],[Type]],RecordCount[],2,0)),VLOOKUP(IDNMaps[[#This Row],[Type]],RecordCount[],8,0),0),"")</f>
        <v>2123107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8</v>
      </c>
      <c r="M38" s="6" t="str">
        <f ca="1">IFERROR(VLOOKUP(IDNMaps[[#This Row],[Type]],RecordCount[],6,0)&amp;"-"&amp;IDNMaps[[#This Row],[Type Count]],"")</f>
        <v>Resource Lists-8</v>
      </c>
      <c r="N38" s="6" t="str">
        <f ca="1">IFERROR(VLOOKUP(IDNMaps[[#This Row],[Primary]],INDIRECT(VLOOKUP(IDNMaps[[#This Row],[Type]],RecordCount[],2,0)),VLOOKUP(IDNMaps[[#This Row],[Type]],RecordCount[],7,0),0),"")</f>
        <v>Hub/HubList</v>
      </c>
      <c r="O38" s="6" t="str">
        <f ca="1">IF(IDNMaps[[#This Row],[Name]]="","","("&amp;IDNMaps[[#This Row],[Type]]&amp;") "&amp;IDNMaps[[#This Row],[Name]])</f>
        <v>(Lists) Hub/HubList</v>
      </c>
      <c r="P38" s="6">
        <f ca="1">IFERROR(VLOOKUP(IDNMaps[[#This Row],[Primary]],INDIRECT(VLOOKUP(IDNMaps[[#This Row],[Type]],RecordCount[],2,0)),VLOOKUP(IDNMaps[[#This Row],[Type]],RecordCount[],8,0),0),"")</f>
        <v>2123108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9</v>
      </c>
      <c r="M39" s="6" t="str">
        <f ca="1">IFERROR(VLOOKUP(IDNMaps[[#This Row],[Type]],RecordCount[],6,0)&amp;"-"&amp;IDNMaps[[#This Row],[Type Count]],"")</f>
        <v>Resource Lists-9</v>
      </c>
      <c r="N39" s="6" t="str">
        <f ca="1">IFERROR(VLOOKUP(IDNMaps[[#This Row],[Primary]],INDIRECT(VLOOKUP(IDNMaps[[#This Row],[Type]],RecordCount[],2,0)),VLOOKUP(IDNMaps[[#This Row],[Type]],RecordCount[],7,0),0),"")</f>
        <v>Service/ServiceList</v>
      </c>
      <c r="O39" s="6" t="str">
        <f ca="1">IF(IDNMaps[[#This Row],[Name]]="","","("&amp;IDNMaps[[#This Row],[Type]]&amp;") "&amp;IDNMaps[[#This Row],[Name]])</f>
        <v>(Lists) Service/ServiceList</v>
      </c>
      <c r="P39" s="6">
        <f ca="1">IFERROR(VLOOKUP(IDNMaps[[#This Row],[Primary]],INDIRECT(VLOOKUP(IDNMaps[[#This Row],[Type]],RecordCount[],2,0)),VLOOKUP(IDNMaps[[#This Row],[Type]],RecordCount[],8,0),0),"")</f>
        <v>2123109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10</v>
      </c>
      <c r="M40" s="6" t="str">
        <f ca="1">IFERROR(VLOOKUP(IDNMaps[[#This Row],[Type]],RecordCount[],6,0)&amp;"-"&amp;IDNMaps[[#This Row],[Type Count]],"")</f>
        <v>Resource Lists-10</v>
      </c>
      <c r="N40" s="6" t="str">
        <f ca="1">IFERROR(VLOOKUP(IDNMaps[[#This Row],[Primary]],INDIRECT(VLOOKUP(IDNMaps[[#This Row],[Type]],RecordCount[],2,0)),VLOOKUP(IDNMaps[[#This Row],[Type]],RecordCount[],7,0),0),"")</f>
        <v>Item/ItemList</v>
      </c>
      <c r="O40" s="6" t="str">
        <f ca="1">IF(IDNMaps[[#This Row],[Name]]="","","("&amp;IDNMaps[[#This Row],[Type]]&amp;") "&amp;IDNMaps[[#This Row],[Name]])</f>
        <v>(Lists) Item/ItemList</v>
      </c>
      <c r="P40" s="6">
        <f ca="1">IFERROR(VLOOKUP(IDNMaps[[#This Row],[Primary]],INDIRECT(VLOOKUP(IDNMaps[[#This Row],[Type]],RecordCount[],2,0)),VLOOKUP(IDNMaps[[#This Row],[Type]],RecordCount[],8,0),0),"")</f>
        <v>2123110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11</v>
      </c>
      <c r="M41" s="6" t="str">
        <f ca="1">IFERROR(VLOOKUP(IDNMaps[[#This Row],[Type]],RecordCount[],6,0)&amp;"-"&amp;IDNMaps[[#This Row],[Type Count]],"")</f>
        <v>Resource Lists-11</v>
      </c>
      <c r="N41" s="6" t="str">
        <f ca="1">IFERROR(VLOOKUP(IDNMaps[[#This Row],[Primary]],INDIRECT(VLOOKUP(IDNMaps[[#This Row],[Type]],RecordCount[],2,0)),VLOOKUP(IDNMaps[[#This Row],[Type]],RecordCount[],7,0),0),"")</f>
        <v>Shelf/ShelveList</v>
      </c>
      <c r="O41" s="6" t="str">
        <f ca="1">IF(IDNMaps[[#This Row],[Name]]="","","("&amp;IDNMaps[[#This Row],[Type]]&amp;") "&amp;IDNMaps[[#This Row],[Name]])</f>
        <v>(Lists) Shelf/ShelveList</v>
      </c>
      <c r="P41" s="6">
        <f ca="1">IFERROR(VLOOKUP(IDNMaps[[#This Row],[Primary]],INDIRECT(VLOOKUP(IDNMaps[[#This Row],[Type]],RecordCount[],2,0)),VLOOKUP(IDNMaps[[#This Row],[Type]],RecordCount[],8,0),0),"")</f>
        <v>2123111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12</v>
      </c>
      <c r="M42" s="6" t="str">
        <f ca="1">IFERROR(VLOOKUP(IDNMaps[[#This Row],[Type]],RecordCount[],6,0)&amp;"-"&amp;IDNMaps[[#This Row],[Type Count]],"")</f>
        <v>Resource Lists-12</v>
      </c>
      <c r="N42" s="6" t="str">
        <f ca="1">IFERROR(VLOOKUP(IDNMaps[[#This Row],[Primary]],INDIRECT(VLOOKUP(IDNMaps[[#This Row],[Type]],RecordCount[],2,0)),VLOOKUP(IDNMaps[[#This Row],[Type]],RecordCount[],7,0),0),"")</f>
        <v>Pricelist/PriceList</v>
      </c>
      <c r="O42" s="6" t="str">
        <f ca="1">IF(IDNMaps[[#This Row],[Name]]="","","("&amp;IDNMaps[[#This Row],[Type]]&amp;") "&amp;IDNMaps[[#This Row],[Name]])</f>
        <v>(Lists) Pricelist/PriceList</v>
      </c>
      <c r="P42" s="6">
        <f ca="1">IFERROR(VLOOKUP(IDNMaps[[#This Row],[Primary]],INDIRECT(VLOOKUP(IDNMaps[[#This Row],[Type]],RecordCount[],2,0)),VLOOKUP(IDNMaps[[#This Row],[Type]],RecordCount[],8,0),0),"")</f>
        <v>2123112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13</v>
      </c>
      <c r="M43" s="6" t="str">
        <f ca="1">IFERROR(VLOOKUP(IDNMaps[[#This Row],[Type]],RecordCount[],6,0)&amp;"-"&amp;IDNMaps[[#This Row],[Type Count]],"")</f>
        <v>Resource Lists-13</v>
      </c>
      <c r="N43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3" s="6" t="str">
        <f ca="1">IF(IDNMaps[[#This Row],[Name]]="","","("&amp;IDNMaps[[#This Row],[Type]]&amp;") "&amp;IDNMaps[[#This Row],[Name]])</f>
        <v>(Lists) IdentityLabel/IdentityLabelList</v>
      </c>
      <c r="P43" s="6">
        <f ca="1">IFERROR(VLOOKUP(IDNMaps[[#This Row],[Primary]],INDIRECT(VLOOKUP(IDNMaps[[#This Row],[Type]],RecordCount[],2,0)),VLOOKUP(IDNMaps[[#This Row],[Type]],RecordCount[],8,0),0),"")</f>
        <v>2123113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14</v>
      </c>
      <c r="M44" s="6" t="str">
        <f ca="1">IFERROR(VLOOKUP(IDNMaps[[#This Row],[Type]],RecordCount[],6,0)&amp;"-"&amp;IDNMaps[[#This Row],[Type Count]],"")</f>
        <v>Resource Lists-14</v>
      </c>
      <c r="N44" s="6" t="str">
        <f ca="1">IFERROR(VLOOKUP(IDNMaps[[#This Row],[Primary]],INDIRECT(VLOOKUP(IDNMaps[[#This Row],[Type]],RecordCount[],2,0)),VLOOKUP(IDNMaps[[#This Row],[Type]],RecordCount[],7,0),0),"")</f>
        <v>Order/OrderList</v>
      </c>
      <c r="O44" s="6" t="str">
        <f ca="1">IF(IDNMaps[[#This Row],[Name]]="","","("&amp;IDNMaps[[#This Row],[Type]]&amp;") "&amp;IDNMaps[[#This Row],[Name]])</f>
        <v>(Lists) Order/OrderList</v>
      </c>
      <c r="P44" s="6">
        <f ca="1">IFERROR(VLOOKUP(IDNMaps[[#This Row],[Primary]],INDIRECT(VLOOKUP(IDNMaps[[#This Row],[Type]],RecordCount[],2,0)),VLOOKUP(IDNMaps[[#This Row],[Type]],RecordCount[],8,0),0),"")</f>
        <v>2123114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15</v>
      </c>
      <c r="M45" s="6" t="str">
        <f ca="1">IFERROR(VLOOKUP(IDNMaps[[#This Row],[Type]],RecordCount[],6,0)&amp;"-"&amp;IDNMaps[[#This Row],[Type Count]],"")</f>
        <v>Resource Lists-15</v>
      </c>
      <c r="N45" s="6" t="str">
        <f ca="1">IFERROR(VLOOKUP(IDNMaps[[#This Row],[Primary]],INDIRECT(VLOOKUP(IDNMaps[[#This Row],[Type]],RecordCount[],2,0)),VLOOKUP(IDNMaps[[#This Row],[Type]],RecordCount[],7,0),0),"")</f>
        <v>Invoice/InvoiceList</v>
      </c>
      <c r="O45" s="6" t="str">
        <f ca="1">IF(IDNMaps[[#This Row],[Name]]="","","("&amp;IDNMaps[[#This Row],[Type]]&amp;") "&amp;IDNMaps[[#This Row],[Name]])</f>
        <v>(Lists) Invoice/InvoiceList</v>
      </c>
      <c r="P45" s="6">
        <f ca="1">IFERROR(VLOOKUP(IDNMaps[[#This Row],[Primary]],INDIRECT(VLOOKUP(IDNMaps[[#This Row],[Type]],RecordCount[],2,0)),VLOOKUP(IDNMaps[[#This Row],[Type]],RecordCount[],8,0),0),"")</f>
        <v>2123115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16</v>
      </c>
      <c r="M46" s="6" t="str">
        <f ca="1">IFERROR(VLOOKUP(IDNMaps[[#This Row],[Type]],RecordCount[],6,0)&amp;"-"&amp;IDNMaps[[#This Row],[Type Count]],"")</f>
        <v>Resource Lists-16</v>
      </c>
      <c r="N46" s="6" t="str">
        <f ca="1">IFERROR(VLOOKUP(IDNMaps[[#This Row],[Primary]],INDIRECT(VLOOKUP(IDNMaps[[#This Row],[Type]],RecordCount[],2,0)),VLOOKUP(IDNMaps[[#This Row],[Type]],RecordCount[],7,0),0),"")</f>
        <v>Receipt/ReceiptList</v>
      </c>
      <c r="O46" s="6" t="str">
        <f ca="1">IF(IDNMaps[[#This Row],[Name]]="","","("&amp;IDNMaps[[#This Row],[Type]]&amp;") "&amp;IDNMaps[[#This Row],[Name]])</f>
        <v>(Lists) Receipt/ReceiptList</v>
      </c>
      <c r="P46" s="6">
        <f ca="1">IFERROR(VLOOKUP(IDNMaps[[#This Row],[Primary]],INDIRECT(VLOOKUP(IDNMaps[[#This Row],[Type]],RecordCount[],2,0)),VLOOKUP(IDNMaps[[#This Row],[Type]],RecordCount[],8,0),0),"")</f>
        <v>2123116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17</v>
      </c>
      <c r="M47" s="6" t="str">
        <f ca="1">IFERROR(VLOOKUP(IDNMaps[[#This Row],[Type]],RecordCount[],6,0)&amp;"-"&amp;IDNMaps[[#This Row],[Type Count]],"")</f>
        <v>Resource Lists-17</v>
      </c>
      <c r="N47" s="6" t="str">
        <f ca="1">IFERROR(VLOOKUP(IDNMaps[[#This Row],[Primary]],INDIRECT(VLOOKUP(IDNMaps[[#This Row],[Type]],RecordCount[],2,0)),VLOOKUP(IDNMaps[[#This Row],[Type]],RecordCount[],7,0),0),"")</f>
        <v>Delivery/DeliveryList</v>
      </c>
      <c r="O47" s="6" t="str">
        <f ca="1">IF(IDNMaps[[#This Row],[Name]]="","","("&amp;IDNMaps[[#This Row],[Type]]&amp;") "&amp;IDNMaps[[#This Row],[Name]])</f>
        <v>(Lists) Delivery/DeliveryList</v>
      </c>
      <c r="P47" s="6">
        <f ca="1">IFERROR(VLOOKUP(IDNMaps[[#This Row],[Primary]],INDIRECT(VLOOKUP(IDNMaps[[#This Row],[Type]],RecordCount[],2,0)),VLOOKUP(IDNMaps[[#This Row],[Type]],RecordCount[],8,0),0),"")</f>
        <v>2123117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18</v>
      </c>
      <c r="M48" s="6" t="str">
        <f ca="1">IFERROR(VLOOKUP(IDNMaps[[#This Row],[Type]],RecordCount[],6,0)&amp;"-"&amp;IDNMaps[[#This Row],[Type Count]],"")</f>
        <v>Resource Lists-18</v>
      </c>
      <c r="N48" s="6" t="str">
        <f ca="1">IFERROR(VLOOKUP(IDNMaps[[#This Row],[Primary]],INDIRECT(VLOOKUP(IDNMaps[[#This Row],[Type]],RecordCount[],2,0)),VLOOKUP(IDNMaps[[#This Row],[Type]],RecordCount[],7,0),0),"")</f>
        <v>HubShift/HubShiftList</v>
      </c>
      <c r="O48" s="6" t="str">
        <f ca="1">IF(IDNMaps[[#This Row],[Name]]="","","("&amp;IDNMaps[[#This Row],[Type]]&amp;") "&amp;IDNMaps[[#This Row],[Name]])</f>
        <v>(Lists) HubShift/HubShiftList</v>
      </c>
      <c r="P48" s="6">
        <f ca="1">IFERROR(VLOOKUP(IDNMaps[[#This Row],[Primary]],INDIRECT(VLOOKUP(IDNMaps[[#This Row],[Type]],RecordCount[],2,0)),VLOOKUP(IDNMaps[[#This Row],[Type]],RecordCount[],8,0),0),"")</f>
        <v>2123118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19</v>
      </c>
      <c r="M49" s="6" t="str">
        <f ca="1">IFERROR(VLOOKUP(IDNMaps[[#This Row],[Type]],RecordCount[],6,0)&amp;"-"&amp;IDNMaps[[#This Row],[Type Count]],"")</f>
        <v>Resource Lists-19</v>
      </c>
      <c r="N49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9" s="6" t="str">
        <f ca="1">IF(IDNMaps[[#This Row],[Name]]="","","("&amp;IDNMaps[[#This Row],[Type]]&amp;") "&amp;IDNMaps[[#This Row],[Name]])</f>
        <v>(Lists) PricelistContent/PLContentsList</v>
      </c>
      <c r="P49" s="6">
        <f ca="1">IFERROR(VLOOKUP(IDNMaps[[#This Row],[Primary]],INDIRECT(VLOOKUP(IDNMaps[[#This Row],[Type]],RecordCount[],2,0)),VLOOKUP(IDNMaps[[#This Row],[Type]],RecordCount[],8,0),0),"")</f>
        <v>2123119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20</v>
      </c>
      <c r="M50" s="6" t="str">
        <f ca="1">IFERROR(VLOOKUP(IDNMaps[[#This Row],[Type]],RecordCount[],6,0)&amp;"-"&amp;IDNMaps[[#This Row],[Type Count]],"")</f>
        <v>Resource Lists-20</v>
      </c>
      <c r="N50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50" s="6" t="str">
        <f ca="1">IF(IDNMaps[[#This Row],[Name]]="","","("&amp;IDNMaps[[#This Row],[Type]]&amp;") "&amp;IDNMaps[[#This Row],[Name]])</f>
        <v>(Lists) ItemService/ItemServiceList</v>
      </c>
      <c r="P50" s="6">
        <f ca="1">IFERROR(VLOOKUP(IDNMaps[[#This Row],[Primary]],INDIRECT(VLOOKUP(IDNMaps[[#This Row],[Type]],RecordCount[],2,0)),VLOOKUP(IDNMaps[[#This Row],[Type]],RecordCount[],8,0),0),"")</f>
        <v>2123120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21</v>
      </c>
      <c r="M51" s="6" t="str">
        <f ca="1">IFERROR(VLOOKUP(IDNMaps[[#This Row],[Type]],RecordCount[],6,0)&amp;"-"&amp;IDNMaps[[#This Row],[Type Count]],"")</f>
        <v>Resource Lists-21</v>
      </c>
      <c r="N51" s="6" t="str">
        <f ca="1">IFERROR(VLOOKUP(IDNMaps[[#This Row],[Primary]],INDIRECT(VLOOKUP(IDNMaps[[#This Row],[Type]],RecordCount[],2,0)),VLOOKUP(IDNMaps[[#This Row],[Type]],RecordCount[],7,0),0),"")</f>
        <v>OrderItem/OrderItemsList</v>
      </c>
      <c r="O51" s="6" t="str">
        <f ca="1">IF(IDNMaps[[#This Row],[Name]]="","","("&amp;IDNMaps[[#This Row],[Type]]&amp;") "&amp;IDNMaps[[#This Row],[Name]])</f>
        <v>(Lists) OrderItem/OrderItemsList</v>
      </c>
      <c r="P51" s="6">
        <f ca="1">IFERROR(VLOOKUP(IDNMaps[[#This Row],[Primary]],INDIRECT(VLOOKUP(IDNMaps[[#This Row],[Type]],RecordCount[],2,0)),VLOOKUP(IDNMaps[[#This Row],[Type]],RecordCount[],8,0),0),"")</f>
        <v>2123121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22</v>
      </c>
      <c r="M52" s="6" t="str">
        <f ca="1">IFERROR(VLOOKUP(IDNMaps[[#This Row],[Type]],RecordCount[],6,0)&amp;"-"&amp;IDNMaps[[#This Row],[Type Count]],"")</f>
        <v>Resource Lists-22</v>
      </c>
      <c r="N52" s="6" t="str">
        <f ca="1">IFERROR(VLOOKUP(IDNMaps[[#This Row],[Primary]],INDIRECT(VLOOKUP(IDNMaps[[#This Row],[Type]],RecordCount[],2,0)),VLOOKUP(IDNMaps[[#This Row],[Type]],RecordCount[],7,0),0),"")</f>
        <v>OrderItemService/OISList</v>
      </c>
      <c r="O52" s="6" t="str">
        <f ca="1">IF(IDNMaps[[#This Row],[Name]]="","","("&amp;IDNMaps[[#This Row],[Type]]&amp;") "&amp;IDNMaps[[#This Row],[Name]])</f>
        <v>(Lists) OrderItemService/OISList</v>
      </c>
      <c r="P52" s="6">
        <f ca="1">IFERROR(VLOOKUP(IDNMaps[[#This Row],[Primary]],INDIRECT(VLOOKUP(IDNMaps[[#This Row],[Type]],RecordCount[],2,0)),VLOOKUP(IDNMaps[[#This Row],[Type]],RecordCount[],8,0),0),"")</f>
        <v>2123122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23</v>
      </c>
      <c r="M53" s="6" t="str">
        <f ca="1">IFERROR(VLOOKUP(IDNMaps[[#This Row],[Type]],RecordCount[],6,0)&amp;"-"&amp;IDNMaps[[#This Row],[Type Count]],"")</f>
        <v>Resource Lists-23</v>
      </c>
      <c r="N53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3" s="6" t="str">
        <f ca="1">IF(IDNMaps[[#This Row],[Name]]="","","("&amp;IDNMaps[[#This Row],[Type]]&amp;") "&amp;IDNMaps[[#This Row],[Name]])</f>
        <v>(Lists) OrderItemServiceUser/OISUList</v>
      </c>
      <c r="P53" s="6">
        <f ca="1">IFERROR(VLOOKUP(IDNMaps[[#This Row],[Primary]],INDIRECT(VLOOKUP(IDNMaps[[#This Row],[Type]],RecordCount[],2,0)),VLOOKUP(IDNMaps[[#This Row],[Type]],RecordCount[],8,0),0),"")</f>
        <v>2123123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24</v>
      </c>
      <c r="M54" s="6" t="str">
        <f ca="1">IFERROR(VLOOKUP(IDNMaps[[#This Row],[Type]],RecordCount[],6,0)&amp;"-"&amp;IDNMaps[[#This Row],[Type Count]],"")</f>
        <v>Resource Lists-24</v>
      </c>
      <c r="N54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4" s="6" t="str">
        <f ca="1">IF(IDNMaps[[#This Row],[Name]]="","","("&amp;IDNMaps[[#This Row],[Type]]&amp;") "&amp;IDNMaps[[#This Row],[Name]])</f>
        <v>(Lists) IdentityLabel/AvailableLabelsList</v>
      </c>
      <c r="P54" s="6">
        <f ca="1">IFERROR(VLOOKUP(IDNMaps[[#This Row],[Primary]],INDIRECT(VLOOKUP(IDNMaps[[#This Row],[Type]],RecordCount[],2,0)),VLOOKUP(IDNMaps[[#This Row],[Type]],RecordCount[],8,0),0),"")</f>
        <v>2123124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25</v>
      </c>
      <c r="M55" s="6" t="str">
        <f ca="1">IFERROR(VLOOKUP(IDNMaps[[#This Row],[Type]],RecordCount[],6,0)&amp;"-"&amp;IDNMaps[[#This Row],[Type Count]],"")</f>
        <v>Resource Lists-25</v>
      </c>
      <c r="N55" s="6" t="str">
        <f ca="1">IFERROR(VLOOKUP(IDNMaps[[#This Row],[Primary]],INDIRECT(VLOOKUP(IDNMaps[[#This Row],[Type]],RecordCount[],2,0)),VLOOKUP(IDNMaps[[#This Row],[Type]],RecordCount[],7,0),0),"")</f>
        <v>Order/RecentOrderList</v>
      </c>
      <c r="O55" s="6" t="str">
        <f ca="1">IF(IDNMaps[[#This Row],[Name]]="","","("&amp;IDNMaps[[#This Row],[Type]]&amp;") "&amp;IDNMaps[[#This Row],[Name]])</f>
        <v>(Lists) Order/RecentOrderList</v>
      </c>
      <c r="P55" s="6">
        <f ca="1">IFERROR(VLOOKUP(IDNMaps[[#This Row],[Primary]],INDIRECT(VLOOKUP(IDNMaps[[#This Row],[Type]],RecordCount[],2,0)),VLOOKUP(IDNMaps[[#This Row],[Type]],RecordCount[],8,0),0),"")</f>
        <v>2123125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6" s="6">
        <f ca="1">IF(IDNMaps[[#This Row],[Type]]="","",COUNTIF($K$1:IDNMaps[[#This Row],[Type]],IDNMaps[[#This Row],[Type]]))</f>
        <v>26</v>
      </c>
      <c r="M56" s="6" t="str">
        <f ca="1">IFERROR(VLOOKUP(IDNMaps[[#This Row],[Type]],RecordCount[],6,0)&amp;"-"&amp;IDNMaps[[#This Row],[Type Count]],"")</f>
        <v>Resource Lists-26</v>
      </c>
      <c r="N56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6" s="6" t="str">
        <f ca="1">IF(IDNMaps[[#This Row],[Name]]="","","("&amp;IDNMaps[[#This Row],[Type]]&amp;") "&amp;IDNMaps[[#This Row],[Name]])</f>
        <v>(Lists) InvoiceItem/InvoiceItemsList</v>
      </c>
      <c r="P56" s="6">
        <f ca="1">IFERROR(VLOOKUP(IDNMaps[[#This Row],[Primary]],INDIRECT(VLOOKUP(IDNMaps[[#This Row],[Type]],RecordCount[],2,0)),VLOOKUP(IDNMaps[[#This Row],[Type]],RecordCount[],8,0),0),"")</f>
        <v>2123126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7" s="6">
        <f ca="1">IF(IDNMaps[[#This Row],[Type]]="","",COUNTIF($K$1:IDNMaps[[#This Row],[Type]],IDNMaps[[#This Row],[Type]]))</f>
        <v>27</v>
      </c>
      <c r="M57" s="6" t="str">
        <f ca="1">IFERROR(VLOOKUP(IDNMaps[[#This Row],[Type]],RecordCount[],6,0)&amp;"-"&amp;IDNMaps[[#This Row],[Type Count]],"")</f>
        <v>Resource Lists-27</v>
      </c>
      <c r="N57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7" s="6" t="str">
        <f ca="1">IF(IDNMaps[[#This Row],[Name]]="","","("&amp;IDNMaps[[#This Row],[Type]]&amp;") "&amp;IDNMaps[[#This Row],[Name]])</f>
        <v>(Lists) Invoice/PendingInvoiceList</v>
      </c>
      <c r="P57" s="6">
        <f ca="1">IFERROR(VLOOKUP(IDNMaps[[#This Row],[Primary]],INDIRECT(VLOOKUP(IDNMaps[[#This Row],[Type]],RecordCount[],2,0)),VLOOKUP(IDNMaps[[#This Row],[Type]],RecordCount[],8,0),0),"")</f>
        <v>2123127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8" s="6">
        <f ca="1">IF(IDNMaps[[#This Row],[Type]]="","",COUNTIF($K$1:IDNMaps[[#This Row],[Type]],IDNMaps[[#This Row],[Type]]))</f>
        <v>28</v>
      </c>
      <c r="M58" s="6" t="str">
        <f ca="1">IFERROR(VLOOKUP(IDNMaps[[#This Row],[Type]],RecordCount[],6,0)&amp;"-"&amp;IDNMaps[[#This Row],[Type Count]],"")</f>
        <v>Resource Lists-28</v>
      </c>
      <c r="N58" s="6" t="str">
        <f ca="1">IFERROR(VLOOKUP(IDNMaps[[#This Row],[Primary]],INDIRECT(VLOOKUP(IDNMaps[[#This Row],[Type]],RecordCount[],2,0)),VLOOKUP(IDNMaps[[#This Row],[Type]],RecordCount[],7,0),0),"")</f>
        <v>Invoice/PaidInvoiceList</v>
      </c>
      <c r="O58" s="6" t="str">
        <f ca="1">IF(IDNMaps[[#This Row],[Name]]="","","("&amp;IDNMaps[[#This Row],[Type]]&amp;") "&amp;IDNMaps[[#This Row],[Name]])</f>
        <v>(Lists) Invoice/PaidInvoiceList</v>
      </c>
      <c r="P58" s="6">
        <f ca="1">IFERROR(VLOOKUP(IDNMaps[[#This Row],[Primary]],INDIRECT(VLOOKUP(IDNMaps[[#This Row],[Type]],RecordCount[],2,0)),VLOOKUP(IDNMaps[[#This Row],[Type]],RecordCount[],8,0),0),"")</f>
        <v>2123128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9" s="6">
        <f ca="1">IF(IDNMaps[[#This Row],[Type]]="","",COUNTIF($K$1:IDNMaps[[#This Row],[Type]],IDNMaps[[#This Row],[Type]]))</f>
        <v>29</v>
      </c>
      <c r="M59" s="6" t="str">
        <f ca="1">IFERROR(VLOOKUP(IDNMaps[[#This Row],[Type]],RecordCount[],6,0)&amp;"-"&amp;IDNMaps[[#This Row],[Type Count]],"")</f>
        <v>Resource Lists-29</v>
      </c>
      <c r="N59" s="6" t="str">
        <f ca="1">IFERROR(VLOOKUP(IDNMaps[[#This Row],[Primary]],INDIRECT(VLOOKUP(IDNMaps[[#This Row],[Type]],RecordCount[],2,0)),VLOOKUP(IDNMaps[[#This Row],[Type]],RecordCount[],7,0),0),"")</f>
        <v>Hub/OwnHubList</v>
      </c>
      <c r="O59" s="6" t="str">
        <f ca="1">IF(IDNMaps[[#This Row],[Name]]="","","("&amp;IDNMaps[[#This Row],[Type]]&amp;") "&amp;IDNMaps[[#This Row],[Name]])</f>
        <v>(Lists) Hub/OwnHubList</v>
      </c>
      <c r="P59" s="6">
        <f ca="1">IFERROR(VLOOKUP(IDNMaps[[#This Row],[Primary]],INDIRECT(VLOOKUP(IDNMaps[[#This Row],[Type]],RecordCount[],2,0)),VLOOKUP(IDNMaps[[#This Row],[Type]],RecordCount[],8,0),0),"")</f>
        <v>2123129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0" s="6">
        <f ca="1">IF(IDNMaps[[#This Row],[Type]]="","",COUNTIF($K$1:IDNMaps[[#This Row],[Type]],IDNMaps[[#This Row],[Type]]))</f>
        <v>30</v>
      </c>
      <c r="M60" s="6" t="str">
        <f ca="1">IFERROR(VLOOKUP(IDNMaps[[#This Row],[Type]],RecordCount[],6,0)&amp;"-"&amp;IDNMaps[[#This Row],[Type Count]],"")</f>
        <v>Resource Lists-30</v>
      </c>
      <c r="N60" s="6" t="str">
        <f ca="1">IFERROR(VLOOKUP(IDNMaps[[#This Row],[Primary]],INDIRECT(VLOOKUP(IDNMaps[[#This Row],[Type]],RecordCount[],2,0)),VLOOKUP(IDNMaps[[#This Row],[Type]],RecordCount[],7,0),0),"")</f>
        <v>OrderItem/OwnHubOrderItems</v>
      </c>
      <c r="O60" s="6" t="str">
        <f ca="1">IF(IDNMaps[[#This Row],[Name]]="","","("&amp;IDNMaps[[#This Row],[Type]]&amp;") "&amp;IDNMaps[[#This Row],[Name]])</f>
        <v>(Lists) OrderItem/OwnHubOrderItems</v>
      </c>
      <c r="P60" s="6">
        <f ca="1">IFERROR(VLOOKUP(IDNMaps[[#This Row],[Primary]],INDIRECT(VLOOKUP(IDNMaps[[#This Row],[Type]],RecordCount[],2,0)),VLOOKUP(IDNMaps[[#This Row],[Type]],RecordCount[],8,0),0),"")</f>
        <v>2123130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1" s="6">
        <f ca="1">IF(IDNMaps[[#This Row],[Type]]="","",COUNTIF($K$1:IDNMaps[[#This Row],[Type]],IDNMaps[[#This Row],[Type]]))</f>
        <v>31</v>
      </c>
      <c r="M61" s="6" t="str">
        <f ca="1">IFERROR(VLOOKUP(IDNMaps[[#This Row],[Type]],RecordCount[],6,0)&amp;"-"&amp;IDNMaps[[#This Row],[Type Count]],"")</f>
        <v>Resource Lists-31</v>
      </c>
      <c r="N61" s="6" t="str">
        <f ca="1">IFERROR(VLOOKUP(IDNMaps[[#This Row],[Primary]],INDIRECT(VLOOKUP(IDNMaps[[#This Row],[Type]],RecordCount[],2,0)),VLOOKUP(IDNMaps[[#This Row],[Type]],RecordCount[],7,0),0),"")</f>
        <v>Order/OwnHubOrders</v>
      </c>
      <c r="O61" s="6" t="str">
        <f ca="1">IF(IDNMaps[[#This Row],[Name]]="","","("&amp;IDNMaps[[#This Row],[Type]]&amp;") "&amp;IDNMaps[[#This Row],[Name]])</f>
        <v>(Lists) Order/OwnHubOrders</v>
      </c>
      <c r="P61" s="6">
        <f ca="1">IFERROR(VLOOKUP(IDNMaps[[#This Row],[Primary]],INDIRECT(VLOOKUP(IDNMaps[[#This Row],[Type]],RecordCount[],2,0)),VLOOKUP(IDNMaps[[#This Row],[Type]],RecordCount[],8,0),0),"")</f>
        <v>2123131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2" s="6">
        <f ca="1">IF(IDNMaps[[#This Row],[Type]]="","",COUNTIF($K$1:IDNMaps[[#This Row],[Type]],IDNMaps[[#This Row],[Type]]))</f>
        <v>32</v>
      </c>
      <c r="M62" s="6" t="str">
        <f ca="1">IFERROR(VLOOKUP(IDNMaps[[#This Row],[Type]],RecordCount[],6,0)&amp;"-"&amp;IDNMaps[[#This Row],[Type Count]],"")</f>
        <v>Resource Lists-32</v>
      </c>
      <c r="N62" s="6" t="str">
        <f ca="1">IFERROR(VLOOKUP(IDNMaps[[#This Row],[Primary]],INDIRECT(VLOOKUP(IDNMaps[[#This Row],[Type]],RecordCount[],2,0)),VLOOKUP(IDNMaps[[#This Row],[Type]],RecordCount[],7,0),0),"")</f>
        <v>OrderItemService/OwnHubOISList</v>
      </c>
      <c r="O62" s="6" t="str">
        <f ca="1">IF(IDNMaps[[#This Row],[Name]]="","","("&amp;IDNMaps[[#This Row],[Type]]&amp;") "&amp;IDNMaps[[#This Row],[Name]])</f>
        <v>(Lists) OrderItemService/OwnHubOISList</v>
      </c>
      <c r="P62" s="6">
        <f ca="1">IFERROR(VLOOKUP(IDNMaps[[#This Row],[Primary]],INDIRECT(VLOOKUP(IDNMaps[[#This Row],[Type]],RecordCount[],2,0)),VLOOKUP(IDNMaps[[#This Row],[Type]],RecordCount[],8,0),0),"")</f>
        <v>2123132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3" s="6">
        <f ca="1">IF(IDNMaps[[#This Row],[Type]]="","",COUNTIF($K$1:IDNMaps[[#This Row],[Type]],IDNMaps[[#This Row],[Type]]))</f>
        <v>33</v>
      </c>
      <c r="M63" s="6" t="str">
        <f ca="1">IFERROR(VLOOKUP(IDNMaps[[#This Row],[Type]],RecordCount[],6,0)&amp;"-"&amp;IDNMaps[[#This Row],[Type Count]],"")</f>
        <v>Resource Lists-33</v>
      </c>
      <c r="N63" s="6" t="str">
        <f ca="1">IFERROR(VLOOKUP(IDNMaps[[#This Row],[Primary]],INDIRECT(VLOOKUP(IDNMaps[[#This Row],[Type]],RecordCount[],2,0)),VLOOKUP(IDNMaps[[#This Row],[Type]],RecordCount[],7,0),0),"")</f>
        <v>OrderItemServiceUser/OwnHubOISUList</v>
      </c>
      <c r="O63" s="6" t="str">
        <f ca="1">IF(IDNMaps[[#This Row],[Name]]="","","("&amp;IDNMaps[[#This Row],[Type]]&amp;") "&amp;IDNMaps[[#This Row],[Name]])</f>
        <v>(Lists) OrderItemServiceUser/OwnHubOISUList</v>
      </c>
      <c r="P63" s="6">
        <f ca="1">IFERROR(VLOOKUP(IDNMaps[[#This Row],[Primary]],INDIRECT(VLOOKUP(IDNMaps[[#This Row],[Type]],RecordCount[],2,0)),VLOOKUP(IDNMaps[[#This Row],[Type]],RecordCount[],8,0),0),"")</f>
        <v>2123133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4" s="6">
        <f ca="1">IF(IDNMaps[[#This Row],[Type]]="","",COUNTIF($K$1:IDNMaps[[#This Row],[Type]],IDNMaps[[#This Row],[Type]]))</f>
        <v>34</v>
      </c>
      <c r="M64" s="6" t="str">
        <f ca="1">IFERROR(VLOOKUP(IDNMaps[[#This Row],[Type]],RecordCount[],6,0)&amp;"-"&amp;IDNMaps[[#This Row],[Type Count]],"")</f>
        <v>Resource Lists-34</v>
      </c>
      <c r="N64" s="6" t="str">
        <f ca="1">IFERROR(VLOOKUP(IDNMaps[[#This Row],[Primary]],INDIRECT(VLOOKUP(IDNMaps[[#This Row],[Type]],RecordCount[],2,0)),VLOOKUP(IDNMaps[[#This Row],[Type]],RecordCount[],7,0),0),"")</f>
        <v>OrderItemServiceUser/MyJobs</v>
      </c>
      <c r="O64" s="6" t="str">
        <f ca="1">IF(IDNMaps[[#This Row],[Name]]="","","("&amp;IDNMaps[[#This Row],[Type]]&amp;") "&amp;IDNMaps[[#This Row],[Name]])</f>
        <v>(Lists) OrderItemServiceUser/MyJobs</v>
      </c>
      <c r="P64" s="6">
        <f ca="1">IFERROR(VLOOKUP(IDNMaps[[#This Row],[Primary]],INDIRECT(VLOOKUP(IDNMaps[[#This Row],[Type]],RecordCount[],2,0)),VLOOKUP(IDNMaps[[#This Row],[Type]],RecordCount[],8,0),0),"")</f>
        <v>2123134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5" s="6">
        <f ca="1">IF(IDNMaps[[#This Row],[Type]]="","",COUNTIF($K$1:IDNMaps[[#This Row],[Type]],IDNMaps[[#This Row],[Type]]))</f>
        <v>35</v>
      </c>
      <c r="M65" s="6" t="str">
        <f ca="1">IFERROR(VLOOKUP(IDNMaps[[#This Row],[Type]],RecordCount[],6,0)&amp;"-"&amp;IDNMaps[[#This Row],[Type Count]],"")</f>
        <v>Resource Lists-35</v>
      </c>
      <c r="N65" s="6" t="str">
        <f ca="1">IFERROR(VLOOKUP(IDNMaps[[#This Row],[Primary]],INDIRECT(VLOOKUP(IDNMaps[[#This Row],[Type]],RecordCount[],2,0)),VLOOKUP(IDNMaps[[#This Row],[Type]],RecordCount[],7,0),0),"")</f>
        <v>OrderItemServiceUser/NewJobsList</v>
      </c>
      <c r="O65" s="6" t="str">
        <f ca="1">IF(IDNMaps[[#This Row],[Name]]="","","("&amp;IDNMaps[[#This Row],[Type]]&amp;") "&amp;IDNMaps[[#This Row],[Name]])</f>
        <v>(Lists) OrderItemServiceUser/NewJobsList</v>
      </c>
      <c r="P65" s="6">
        <f ca="1">IFERROR(VLOOKUP(IDNMaps[[#This Row],[Primary]],INDIRECT(VLOOKUP(IDNMaps[[#This Row],[Type]],RecordCount[],2,0)),VLOOKUP(IDNMaps[[#This Row],[Type]],RecordCount[],8,0),0),"")</f>
        <v>2123135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6" s="6">
        <f ca="1">IF(IDNMaps[[#This Row],[Type]]="","",COUNTIF($K$1:IDNMaps[[#This Row],[Type]],IDNMaps[[#This Row],[Type]]))</f>
        <v>36</v>
      </c>
      <c r="M66" s="6" t="str">
        <f ca="1">IFERROR(VLOOKUP(IDNMaps[[#This Row],[Type]],RecordCount[],6,0)&amp;"-"&amp;IDNMaps[[#This Row],[Type Count]],"")</f>
        <v>Resource Lists-36</v>
      </c>
      <c r="N66" s="6" t="str">
        <f ca="1">IFERROR(VLOOKUP(IDNMaps[[#This Row],[Primary]],INDIRECT(VLOOKUP(IDNMaps[[#This Row],[Type]],RecordCount[],2,0)),VLOOKUP(IDNMaps[[#This Row],[Type]],RecordCount[],7,0),0),"")</f>
        <v>OrderItemServiceUser/ServicingJobsList</v>
      </c>
      <c r="O66" s="6" t="str">
        <f ca="1">IF(IDNMaps[[#This Row],[Name]]="","","("&amp;IDNMaps[[#This Row],[Type]]&amp;") "&amp;IDNMaps[[#This Row],[Name]])</f>
        <v>(Lists) OrderItemServiceUser/ServicingJobsList</v>
      </c>
      <c r="P66" s="6">
        <f ca="1">IFERROR(VLOOKUP(IDNMaps[[#This Row],[Primary]],INDIRECT(VLOOKUP(IDNMaps[[#This Row],[Type]],RecordCount[],2,0)),VLOOKUP(IDNMaps[[#This Row],[Type]],RecordCount[],8,0),0),"")</f>
        <v>2123136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7" s="6">
        <f ca="1">IF(IDNMaps[[#This Row],[Type]]="","",COUNTIF($K$1:IDNMaps[[#This Row],[Type]],IDNMaps[[#This Row],[Type]]))</f>
        <v>37</v>
      </c>
      <c r="M67" s="6" t="str">
        <f ca="1">IFERROR(VLOOKUP(IDNMaps[[#This Row],[Type]],RecordCount[],6,0)&amp;"-"&amp;IDNMaps[[#This Row],[Type Count]],"")</f>
        <v>Resource Lists-37</v>
      </c>
      <c r="N67" s="6" t="str">
        <f ca="1">IFERROR(VLOOKUP(IDNMaps[[#This Row],[Primary]],INDIRECT(VLOOKUP(IDNMaps[[#This Row],[Type]],RecordCount[],2,0)),VLOOKUP(IDNMaps[[#This Row],[Type]],RecordCount[],7,0),0),"")</f>
        <v>OrderItemServiceUser/CompletedJobsList</v>
      </c>
      <c r="O67" s="6" t="str">
        <f ca="1">IF(IDNMaps[[#This Row],[Name]]="","","("&amp;IDNMaps[[#This Row],[Type]]&amp;") "&amp;IDNMaps[[#This Row],[Name]])</f>
        <v>(Lists) OrderItemServiceUser/CompletedJobsList</v>
      </c>
      <c r="P67" s="6">
        <f ca="1">IFERROR(VLOOKUP(IDNMaps[[#This Row],[Primary]],INDIRECT(VLOOKUP(IDNMaps[[#This Row],[Type]],RecordCount[],2,0)),VLOOKUP(IDNMaps[[#This Row],[Type]],RecordCount[],8,0),0),"")</f>
        <v>2123137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8" s="6">
        <f ca="1">IF(IDNMaps[[#This Row],[Type]]="","",COUNTIF($K$1:IDNMaps[[#This Row],[Type]],IDNMaps[[#This Row],[Type]]))</f>
        <v>38</v>
      </c>
      <c r="M68" s="6" t="str">
        <f ca="1">IFERROR(VLOOKUP(IDNMaps[[#This Row],[Type]],RecordCount[],6,0)&amp;"-"&amp;IDNMaps[[#This Row],[Type Count]],"")</f>
        <v>Resource Lists-38</v>
      </c>
      <c r="N68" s="6" t="str">
        <f ca="1">IFERROR(VLOOKUP(IDNMaps[[#This Row],[Primary]],INDIRECT(VLOOKUP(IDNMaps[[#This Row],[Type]],RecordCount[],2,0)),VLOOKUP(IDNMaps[[#This Row],[Type]],RecordCount[],7,0),0),"")</f>
        <v>OrderItemServiceUser/MyNewJobsList</v>
      </c>
      <c r="O68" s="6" t="str">
        <f ca="1">IF(IDNMaps[[#This Row],[Name]]="","","("&amp;IDNMaps[[#This Row],[Type]]&amp;") "&amp;IDNMaps[[#This Row],[Name]])</f>
        <v>(Lists) OrderItemServiceUser/MyNewJobsList</v>
      </c>
      <c r="P68" s="6">
        <f ca="1">IFERROR(VLOOKUP(IDNMaps[[#This Row],[Primary]],INDIRECT(VLOOKUP(IDNMaps[[#This Row],[Type]],RecordCount[],2,0)),VLOOKUP(IDNMaps[[#This Row],[Type]],RecordCount[],8,0),0),"")</f>
        <v>2123138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9" s="6">
        <f ca="1">IF(IDNMaps[[#This Row],[Type]]="","",COUNTIF($K$1:IDNMaps[[#This Row],[Type]],IDNMaps[[#This Row],[Type]]))</f>
        <v>39</v>
      </c>
      <c r="M69" s="6" t="str">
        <f ca="1">IFERROR(VLOOKUP(IDNMaps[[#This Row],[Type]],RecordCount[],6,0)&amp;"-"&amp;IDNMaps[[#This Row],[Type Count]],"")</f>
        <v>Resource Lists-39</v>
      </c>
      <c r="N69" s="6" t="str">
        <f ca="1">IFERROR(VLOOKUP(IDNMaps[[#This Row],[Primary]],INDIRECT(VLOOKUP(IDNMaps[[#This Row],[Type]],RecordCount[],2,0)),VLOOKUP(IDNMaps[[#This Row],[Type]],RecordCount[],7,0),0),"")</f>
        <v>OrderItemServiceUser/MyInServiceJobs</v>
      </c>
      <c r="O69" s="6" t="str">
        <f ca="1">IF(IDNMaps[[#This Row],[Name]]="","","("&amp;IDNMaps[[#This Row],[Type]]&amp;") "&amp;IDNMaps[[#This Row],[Name]])</f>
        <v>(Lists) OrderItemServiceUser/MyInServiceJobs</v>
      </c>
      <c r="P69" s="6">
        <f ca="1">IFERROR(VLOOKUP(IDNMaps[[#This Row],[Primary]],INDIRECT(VLOOKUP(IDNMaps[[#This Row],[Type]],RecordCount[],2,0)),VLOOKUP(IDNMaps[[#This Row],[Type]],RecordCount[],8,0),0),"")</f>
        <v>2123139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0" s="6">
        <f ca="1">IF(IDNMaps[[#This Row],[Type]]="","",COUNTIF($K$1:IDNMaps[[#This Row],[Type]],IDNMaps[[#This Row],[Type]]))</f>
        <v>40</v>
      </c>
      <c r="M70" s="6" t="str">
        <f ca="1">IFERROR(VLOOKUP(IDNMaps[[#This Row],[Type]],RecordCount[],6,0)&amp;"-"&amp;IDNMaps[[#This Row],[Type Count]],"")</f>
        <v>Resource Lists-40</v>
      </c>
      <c r="N70" s="6" t="str">
        <f ca="1">IFERROR(VLOOKUP(IDNMaps[[#This Row],[Primary]],INDIRECT(VLOOKUP(IDNMaps[[#This Row],[Type]],RecordCount[],2,0)),VLOOKUP(IDNMaps[[#This Row],[Type]],RecordCount[],7,0),0),"")</f>
        <v>OrderItemServiceUser/MyCompleted</v>
      </c>
      <c r="O70" s="6" t="str">
        <f ca="1">IF(IDNMaps[[#This Row],[Name]]="","","("&amp;IDNMaps[[#This Row],[Type]]&amp;") "&amp;IDNMaps[[#This Row],[Name]])</f>
        <v>(Lists) OrderItemServiceUser/MyCompleted</v>
      </c>
      <c r="P70" s="6">
        <f ca="1">IFERROR(VLOOKUP(IDNMaps[[#This Row],[Primary]],INDIRECT(VLOOKUP(IDNMaps[[#This Row],[Type]],RecordCount[],2,0)),VLOOKUP(IDNMaps[[#This Row],[Type]],RecordCount[],8,0),0),"")</f>
        <v>2123140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1" s="6">
        <f ca="1">IF(IDNMaps[[#This Row],[Type]]="","",COUNTIF($K$1:IDNMaps[[#This Row],[Type]],IDNMaps[[#This Row],[Type]]))</f>
        <v>41</v>
      </c>
      <c r="M71" s="6" t="str">
        <f ca="1">IFERROR(VLOOKUP(IDNMaps[[#This Row],[Type]],RecordCount[],6,0)&amp;"-"&amp;IDNMaps[[#This Row],[Type Count]],"")</f>
        <v>Resource Lists-41</v>
      </c>
      <c r="N71" s="6" t="str">
        <f ca="1">IFERROR(VLOOKUP(IDNMaps[[#This Row],[Primary]],INDIRECT(VLOOKUP(IDNMaps[[#This Row],[Type]],RecordCount[],2,0)),VLOOKUP(IDNMaps[[#This Row],[Type]],RecordCount[],7,0),0),"")</f>
        <v>Order/ServiceCompletedOrders</v>
      </c>
      <c r="O71" s="6" t="str">
        <f ca="1">IF(IDNMaps[[#This Row],[Name]]="","","("&amp;IDNMaps[[#This Row],[Type]]&amp;") "&amp;IDNMaps[[#This Row],[Name]])</f>
        <v>(Lists) Order/ServiceCompletedOrders</v>
      </c>
      <c r="P71" s="6">
        <f ca="1">IFERROR(VLOOKUP(IDNMaps[[#This Row],[Primary]],INDIRECT(VLOOKUP(IDNMaps[[#This Row],[Type]],RecordCount[],2,0)),VLOOKUP(IDNMaps[[#This Row],[Type]],RecordCount[],8,0),0),"")</f>
        <v>2123141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2" s="6">
        <f ca="1">IF(IDNMaps[[#This Row],[Type]]="","",COUNTIF($K$1:IDNMaps[[#This Row],[Type]],IDNMaps[[#This Row],[Type]]))</f>
        <v>42</v>
      </c>
      <c r="M72" s="6" t="str">
        <f ca="1">IFERROR(VLOOKUP(IDNMaps[[#This Row],[Type]],RecordCount[],6,0)&amp;"-"&amp;IDNMaps[[#This Row],[Type Count]],"")</f>
        <v>Resource Lists-42</v>
      </c>
      <c r="N72" s="6" t="str">
        <f ca="1">IFERROR(VLOOKUP(IDNMaps[[#This Row],[Primary]],INDIRECT(VLOOKUP(IDNMaps[[#This Row],[Type]],RecordCount[],2,0)),VLOOKUP(IDNMaps[[#This Row],[Type]],RecordCount[],7,0),0),"")</f>
        <v>OrderItemService/OwnHubAssignableOISList</v>
      </c>
      <c r="O72" s="6" t="str">
        <f ca="1">IF(IDNMaps[[#This Row],[Name]]="","","("&amp;IDNMaps[[#This Row],[Type]]&amp;") "&amp;IDNMaps[[#This Row],[Name]])</f>
        <v>(Lists) OrderItemService/OwnHubAssignableOISList</v>
      </c>
      <c r="P72" s="6">
        <f ca="1">IFERROR(VLOOKUP(IDNMaps[[#This Row],[Primary]],INDIRECT(VLOOKUP(IDNMaps[[#This Row],[Type]],RecordCount[],2,0)),VLOOKUP(IDNMaps[[#This Row],[Type]],RecordCount[],8,0),0),"")</f>
        <v>2123142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3" s="6">
        <f ca="1">IF(IDNMaps[[#This Row],[Type]]="","",COUNTIF($K$1:IDNMaps[[#This Row],[Type]],IDNMaps[[#This Row],[Type]]))</f>
        <v>43</v>
      </c>
      <c r="M73" s="6" t="str">
        <f ca="1">IFERROR(VLOOKUP(IDNMaps[[#This Row],[Type]],RecordCount[],6,0)&amp;"-"&amp;IDNMaps[[#This Row],[Type Count]],"")</f>
        <v>Resource Lists-43</v>
      </c>
      <c r="N73" s="6" t="str">
        <f ca="1">IFERROR(VLOOKUP(IDNMaps[[#This Row],[Primary]],INDIRECT(VLOOKUP(IDNMaps[[#This Row],[Type]],RecordCount[],2,0)),VLOOKUP(IDNMaps[[#This Row],[Type]],RecordCount[],7,0),0),"")</f>
        <v>Order/UndeliveredOwnHubOrders</v>
      </c>
      <c r="O73" s="6" t="str">
        <f ca="1">IF(IDNMaps[[#This Row],[Name]]="","","("&amp;IDNMaps[[#This Row],[Type]]&amp;") "&amp;IDNMaps[[#This Row],[Name]])</f>
        <v>(Lists) Order/UndeliveredOwnHubOrders</v>
      </c>
      <c r="P73" s="6">
        <f ca="1">IFERROR(VLOOKUP(IDNMaps[[#This Row],[Primary]],INDIRECT(VLOOKUP(IDNMaps[[#This Row],[Type]],RecordCount[],2,0)),VLOOKUP(IDNMaps[[#This Row],[Type]],RecordCount[],8,0),0),"")</f>
        <v>2123143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4" s="6">
        <f ca="1">IF(IDNMaps[[#This Row],[Type]]="","",COUNTIF($K$1:IDNMaps[[#This Row],[Type]],IDNMaps[[#This Row],[Type]]))</f>
        <v>44</v>
      </c>
      <c r="M74" s="6" t="str">
        <f ca="1">IFERROR(VLOOKUP(IDNMaps[[#This Row],[Type]],RecordCount[],6,0)&amp;"-"&amp;IDNMaps[[#This Row],[Type Count]],"")</f>
        <v>Resource Lists-44</v>
      </c>
      <c r="N74" s="6" t="str">
        <f ca="1">IFERROR(VLOOKUP(IDNMaps[[#This Row],[Primary]],INDIRECT(VLOOKUP(IDNMaps[[#This Row],[Type]],RecordCount[],2,0)),VLOOKUP(IDNMaps[[#This Row],[Type]],RecordCount[],7,0),0),"")</f>
        <v>OrderItem/UndeliveredOwnHubOrderItems</v>
      </c>
      <c r="O74" s="6" t="str">
        <f ca="1">IF(IDNMaps[[#This Row],[Name]]="","","("&amp;IDNMaps[[#This Row],[Type]]&amp;") "&amp;IDNMaps[[#This Row],[Name]])</f>
        <v>(Lists) OrderItem/UndeliveredOwnHubOrderItems</v>
      </c>
      <c r="P74" s="6">
        <f ca="1">IFERROR(VLOOKUP(IDNMaps[[#This Row],[Primary]],INDIRECT(VLOOKUP(IDNMaps[[#This Row],[Type]],RecordCount[],2,0)),VLOOKUP(IDNMaps[[#This Row],[Type]],RecordCount[],8,0),0),"")</f>
        <v>2123144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5" s="6">
        <f ca="1">IF(IDNMaps[[#This Row],[Type]]="","",COUNTIF($K$1:IDNMaps[[#This Row],[Type]],IDNMaps[[#This Row],[Type]]))</f>
        <v>1</v>
      </c>
      <c r="M75" s="6" t="str">
        <f ca="1">IFERROR(VLOOKUP(IDNMaps[[#This Row],[Type]],RecordCount[],6,0)&amp;"-"&amp;IDNMaps[[#This Row],[Type Count]],"")</f>
        <v>Resource Data-1</v>
      </c>
      <c r="N75" s="6" t="str">
        <f ca="1">IFERROR(VLOOKUP(IDNMaps[[#This Row],[Primary]],INDIRECT(VLOOKUP(IDNMaps[[#This Row],[Type]],RecordCount[],2,0)),VLOOKUP(IDNMaps[[#This Row],[Type]],RecordCount[],7,0),0),"")</f>
        <v>Employee/EmployeeData</v>
      </c>
      <c r="O75" s="6" t="str">
        <f ca="1">IF(IDNMaps[[#This Row],[Name]]="","","("&amp;IDNMaps[[#This Row],[Type]]&amp;") "&amp;IDNMaps[[#This Row],[Name]])</f>
        <v>(Data) Employee/EmployeeData</v>
      </c>
      <c r="P75" s="6">
        <f ca="1">IFERROR(VLOOKUP(IDNMaps[[#This Row],[Primary]],INDIRECT(VLOOKUP(IDNMaps[[#This Row],[Type]],RecordCount[],2,0)),VLOOKUP(IDNMaps[[#This Row],[Type]],RecordCount[],8,0),0),"")</f>
        <v>2128101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6" s="6">
        <f ca="1">IF(IDNMaps[[#This Row],[Type]]="","",COUNTIF($K$1:IDNMaps[[#This Row],[Type]],IDNMaps[[#This Row],[Type]]))</f>
        <v>2</v>
      </c>
      <c r="M76" s="6" t="str">
        <f ca="1">IFERROR(VLOOKUP(IDNMaps[[#This Row],[Type]],RecordCount[],6,0)&amp;"-"&amp;IDNMaps[[#This Row],[Type Count]],"")</f>
        <v>Resource Data-2</v>
      </c>
      <c r="N76" s="6" t="str">
        <f ca="1">IFERROR(VLOOKUP(IDNMaps[[#This Row],[Primary]],INDIRECT(VLOOKUP(IDNMaps[[#This Row],[Type]],RecordCount[],2,0)),VLOOKUP(IDNMaps[[#This Row],[Type]],RecordCount[],7,0),0),"")</f>
        <v>Hub/HubData</v>
      </c>
      <c r="O76" s="6" t="str">
        <f ca="1">IF(IDNMaps[[#This Row],[Name]]="","","("&amp;IDNMaps[[#This Row],[Type]]&amp;") "&amp;IDNMaps[[#This Row],[Name]])</f>
        <v>(Data) Hub/HubData</v>
      </c>
      <c r="P76" s="6">
        <f ca="1">IFERROR(VLOOKUP(IDNMaps[[#This Row],[Primary]],INDIRECT(VLOOKUP(IDNMaps[[#This Row],[Type]],RecordCount[],2,0)),VLOOKUP(IDNMaps[[#This Row],[Type]],RecordCount[],8,0),0),"")</f>
        <v>2128102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7" s="6">
        <f ca="1">IF(IDNMaps[[#This Row],[Type]]="","",COUNTIF($K$1:IDNMaps[[#This Row],[Type]],IDNMaps[[#This Row],[Type]]))</f>
        <v>3</v>
      </c>
      <c r="M77" s="6" t="str">
        <f ca="1">IFERROR(VLOOKUP(IDNMaps[[#This Row],[Type]],RecordCount[],6,0)&amp;"-"&amp;IDNMaps[[#This Row],[Type Count]],"")</f>
        <v>Resource Data-3</v>
      </c>
      <c r="N77" s="6" t="str">
        <f ca="1">IFERROR(VLOOKUP(IDNMaps[[#This Row],[Primary]],INDIRECT(VLOOKUP(IDNMaps[[#This Row],[Type]],RecordCount[],2,0)),VLOOKUP(IDNMaps[[#This Row],[Type]],RecordCount[],7,0),0),"")</f>
        <v>Customer/CustomerData</v>
      </c>
      <c r="O77" s="6" t="str">
        <f ca="1">IF(IDNMaps[[#This Row],[Name]]="","","("&amp;IDNMaps[[#This Row],[Type]]&amp;") "&amp;IDNMaps[[#This Row],[Name]])</f>
        <v>(Data) Customer/CustomerData</v>
      </c>
      <c r="P77" s="6">
        <f ca="1">IFERROR(VLOOKUP(IDNMaps[[#This Row],[Primary]],INDIRECT(VLOOKUP(IDNMaps[[#This Row],[Type]],RecordCount[],2,0)),VLOOKUP(IDNMaps[[#This Row],[Type]],RecordCount[],8,0),0),"")</f>
        <v>2128103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8" s="6">
        <f ca="1">IF(IDNMaps[[#This Row],[Type]]="","",COUNTIF($K$1:IDNMaps[[#This Row],[Type]],IDNMaps[[#This Row],[Type]]))</f>
        <v>4</v>
      </c>
      <c r="M78" s="6" t="str">
        <f ca="1">IFERROR(VLOOKUP(IDNMaps[[#This Row],[Type]],RecordCount[],6,0)&amp;"-"&amp;IDNMaps[[#This Row],[Type Count]],"")</f>
        <v>Resource Data-4</v>
      </c>
      <c r="N78" s="6" t="str">
        <f ca="1">IFERROR(VLOOKUP(IDNMaps[[#This Row],[Primary]],INDIRECT(VLOOKUP(IDNMaps[[#This Row],[Type]],RecordCount[],2,0)),VLOOKUP(IDNMaps[[#This Row],[Type]],RecordCount[],7,0),0),"")</f>
        <v>Service/ServiceData</v>
      </c>
      <c r="O78" s="6" t="str">
        <f ca="1">IF(IDNMaps[[#This Row],[Name]]="","","("&amp;IDNMaps[[#This Row],[Type]]&amp;") "&amp;IDNMaps[[#This Row],[Name]])</f>
        <v>(Data) Service/ServiceData</v>
      </c>
      <c r="P78" s="6">
        <f ca="1">IFERROR(VLOOKUP(IDNMaps[[#This Row],[Primary]],INDIRECT(VLOOKUP(IDNMaps[[#This Row],[Type]],RecordCount[],2,0)),VLOOKUP(IDNMaps[[#This Row],[Type]],RecordCount[],8,0),0),"")</f>
        <v>2128104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9" s="6">
        <f ca="1">IF(IDNMaps[[#This Row],[Type]]="","",COUNTIF($K$1:IDNMaps[[#This Row],[Type]],IDNMaps[[#This Row],[Type]]))</f>
        <v>5</v>
      </c>
      <c r="M79" s="6" t="str">
        <f ca="1">IFERROR(VLOOKUP(IDNMaps[[#This Row],[Type]],RecordCount[],6,0)&amp;"-"&amp;IDNMaps[[#This Row],[Type Count]],"")</f>
        <v>Resource Data-5</v>
      </c>
      <c r="N79" s="6" t="str">
        <f ca="1">IFERROR(VLOOKUP(IDNMaps[[#This Row],[Primary]],INDIRECT(VLOOKUP(IDNMaps[[#This Row],[Type]],RecordCount[],2,0)),VLOOKUP(IDNMaps[[#This Row],[Type]],RecordCount[],7,0),0),"")</f>
        <v>Shelf/ShelfData</v>
      </c>
      <c r="O79" s="6" t="str">
        <f ca="1">IF(IDNMaps[[#This Row],[Name]]="","","("&amp;IDNMaps[[#This Row],[Type]]&amp;") "&amp;IDNMaps[[#This Row],[Name]])</f>
        <v>(Data) Shelf/ShelfData</v>
      </c>
      <c r="P79" s="6">
        <f ca="1">IFERROR(VLOOKUP(IDNMaps[[#This Row],[Primary]],INDIRECT(VLOOKUP(IDNMaps[[#This Row],[Type]],RecordCount[],2,0)),VLOOKUP(IDNMaps[[#This Row],[Type]],RecordCount[],8,0),0),"")</f>
        <v>2128105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0" s="6">
        <f ca="1">IF(IDNMaps[[#This Row],[Type]]="","",COUNTIF($K$1:IDNMaps[[#This Row],[Type]],IDNMaps[[#This Row],[Type]]))</f>
        <v>6</v>
      </c>
      <c r="M80" s="6" t="str">
        <f ca="1">IFERROR(VLOOKUP(IDNMaps[[#This Row],[Type]],RecordCount[],6,0)&amp;"-"&amp;IDNMaps[[#This Row],[Type Count]],"")</f>
        <v>Resource Data-6</v>
      </c>
      <c r="N80" s="6" t="str">
        <f ca="1">IFERROR(VLOOKUP(IDNMaps[[#This Row],[Primary]],INDIRECT(VLOOKUP(IDNMaps[[#This Row],[Type]],RecordCount[],2,0)),VLOOKUP(IDNMaps[[#This Row],[Type]],RecordCount[],7,0),0),"")</f>
        <v>OrderItem/OrderItemData</v>
      </c>
      <c r="O80" s="6" t="str">
        <f ca="1">IF(IDNMaps[[#This Row],[Name]]="","","("&amp;IDNMaps[[#This Row],[Type]]&amp;") "&amp;IDNMaps[[#This Row],[Name]])</f>
        <v>(Data) OrderItem/OrderItemData</v>
      </c>
      <c r="P80" s="6">
        <f ca="1">IFERROR(VLOOKUP(IDNMaps[[#This Row],[Primary]],INDIRECT(VLOOKUP(IDNMaps[[#This Row],[Type]],RecordCount[],2,0)),VLOOKUP(IDNMaps[[#This Row],[Type]],RecordCount[],8,0),0),"")</f>
        <v>2128106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1" s="6">
        <f ca="1">IF(IDNMaps[[#This Row],[Type]]="","",COUNTIF($K$1:IDNMaps[[#This Row],[Type]],IDNMaps[[#This Row],[Type]]))</f>
        <v>7</v>
      </c>
      <c r="M81" s="6" t="str">
        <f ca="1">IFERROR(VLOOKUP(IDNMaps[[#This Row],[Type]],RecordCount[],6,0)&amp;"-"&amp;IDNMaps[[#This Row],[Type Count]],"")</f>
        <v>Resource Data-7</v>
      </c>
      <c r="N81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81" s="6" t="str">
        <f ca="1">IF(IDNMaps[[#This Row],[Name]]="","","("&amp;IDNMaps[[#This Row],[Type]]&amp;") "&amp;IDNMaps[[#This Row],[Name]])</f>
        <v>(Data) ItemService/ItemServiceEditData</v>
      </c>
      <c r="P81" s="6">
        <f ca="1">IFERROR(VLOOKUP(IDNMaps[[#This Row],[Primary]],INDIRECT(VLOOKUP(IDNMaps[[#This Row],[Type]],RecordCount[],2,0)),VLOOKUP(IDNMaps[[#This Row],[Type]],RecordCount[],8,0),0),"")</f>
        <v>2128107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2" s="6">
        <f ca="1">IF(IDNMaps[[#This Row],[Type]]="","",COUNTIF($K$1:IDNMaps[[#This Row],[Type]],IDNMaps[[#This Row],[Type]]))</f>
        <v>8</v>
      </c>
      <c r="M82" s="6" t="str">
        <f ca="1">IFERROR(VLOOKUP(IDNMaps[[#This Row],[Type]],RecordCount[],6,0)&amp;"-"&amp;IDNMaps[[#This Row],[Type Count]],"")</f>
        <v>Resource Data-8</v>
      </c>
      <c r="N82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82" s="6" t="str">
        <f ca="1">IF(IDNMaps[[#This Row],[Name]]="","","("&amp;IDNMaps[[#This Row],[Type]]&amp;") "&amp;IDNMaps[[#This Row],[Name]])</f>
        <v>(Data) IdentityLabel/LabelEditData</v>
      </c>
      <c r="P82" s="6">
        <f ca="1">IFERROR(VLOOKUP(IDNMaps[[#This Row],[Primary]],INDIRECT(VLOOKUP(IDNMaps[[#This Row],[Type]],RecordCount[],2,0)),VLOOKUP(IDNMaps[[#This Row],[Type]],RecordCount[],8,0),0),"")</f>
        <v>2128108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3" s="6">
        <f ca="1">IF(IDNMaps[[#This Row],[Type]]="","",COUNTIF($K$1:IDNMaps[[#This Row],[Type]],IDNMaps[[#This Row],[Type]]))</f>
        <v>9</v>
      </c>
      <c r="M83" s="6" t="str">
        <f ca="1">IFERROR(VLOOKUP(IDNMaps[[#This Row],[Type]],RecordCount[],6,0)&amp;"-"&amp;IDNMaps[[#This Row],[Type Count]],"")</f>
        <v>Resource Data-9</v>
      </c>
      <c r="N83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83" s="6" t="str">
        <f ca="1">IF(IDNMaps[[#This Row],[Name]]="","","("&amp;IDNMaps[[#This Row],[Type]]&amp;") "&amp;IDNMaps[[#This Row],[Name]])</f>
        <v>(Data) Pricelist/PricelistEditData</v>
      </c>
      <c r="P83" s="6">
        <f ca="1">IFERROR(VLOOKUP(IDNMaps[[#This Row],[Primary]],INDIRECT(VLOOKUP(IDNMaps[[#This Row],[Type]],RecordCount[],2,0)),VLOOKUP(IDNMaps[[#This Row],[Type]],RecordCount[],8,0),0),"")</f>
        <v>2128109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4" s="6">
        <f ca="1">IF(IDNMaps[[#This Row],[Type]]="","",COUNTIF($K$1:IDNMaps[[#This Row],[Type]],IDNMaps[[#This Row],[Type]]))</f>
        <v>10</v>
      </c>
      <c r="M84" s="6" t="str">
        <f ca="1">IFERROR(VLOOKUP(IDNMaps[[#This Row],[Type]],RecordCount[],6,0)&amp;"-"&amp;IDNMaps[[#This Row],[Type Count]],"")</f>
        <v>Resource Data-10</v>
      </c>
      <c r="N84" s="6" t="str">
        <f ca="1">IFERROR(VLOOKUP(IDNMaps[[#This Row],[Primary]],INDIRECT(VLOOKUP(IDNMaps[[#This Row],[Type]],RecordCount[],2,0)),VLOOKUP(IDNMaps[[#This Row],[Type]],RecordCount[],7,0),0),"")</f>
        <v>Item/ItemEditData</v>
      </c>
      <c r="O84" s="6" t="str">
        <f ca="1">IF(IDNMaps[[#This Row],[Name]]="","","("&amp;IDNMaps[[#This Row],[Type]]&amp;") "&amp;IDNMaps[[#This Row],[Name]])</f>
        <v>(Data) Item/ItemEditData</v>
      </c>
      <c r="P84" s="6">
        <f ca="1">IFERROR(VLOOKUP(IDNMaps[[#This Row],[Primary]],INDIRECT(VLOOKUP(IDNMaps[[#This Row],[Type]],RecordCount[],2,0)),VLOOKUP(IDNMaps[[#This Row],[Type]],RecordCount[],8,0),0),"")</f>
        <v>2128110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5" s="6">
        <f ca="1">IF(IDNMaps[[#This Row],[Type]]="","",COUNTIF($K$1:IDNMaps[[#This Row],[Type]],IDNMaps[[#This Row],[Type]]))</f>
        <v>11</v>
      </c>
      <c r="M85" s="6" t="str">
        <f ca="1">IFERROR(VLOOKUP(IDNMaps[[#This Row],[Type]],RecordCount[],6,0)&amp;"-"&amp;IDNMaps[[#This Row],[Type Count]],"")</f>
        <v>Resource Data-11</v>
      </c>
      <c r="N85" s="6" t="str">
        <f ca="1">IFERROR(VLOOKUP(IDNMaps[[#This Row],[Primary]],INDIRECT(VLOOKUP(IDNMaps[[#This Row],[Type]],RecordCount[],2,0)),VLOOKUP(IDNMaps[[#This Row],[Type]],RecordCount[],7,0),0),"")</f>
        <v>Order/OrderEditData</v>
      </c>
      <c r="O85" s="6" t="str">
        <f ca="1">IF(IDNMaps[[#This Row],[Name]]="","","("&amp;IDNMaps[[#This Row],[Type]]&amp;") "&amp;IDNMaps[[#This Row],[Name]])</f>
        <v>(Data) Order/OrderEditData</v>
      </c>
      <c r="P85" s="6">
        <f ca="1">IFERROR(VLOOKUP(IDNMaps[[#This Row],[Primary]],INDIRECT(VLOOKUP(IDNMaps[[#This Row],[Type]],RecordCount[],2,0)),VLOOKUP(IDNMaps[[#This Row],[Type]],RecordCount[],8,0),0),"")</f>
        <v>2128111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6" s="6">
        <f ca="1">IF(IDNMaps[[#This Row],[Type]]="","",COUNTIF($K$1:IDNMaps[[#This Row],[Type]],IDNMaps[[#This Row],[Type]]))</f>
        <v>12</v>
      </c>
      <c r="M86" s="6" t="str">
        <f ca="1">IFERROR(VLOOKUP(IDNMaps[[#This Row],[Type]],RecordCount[],6,0)&amp;"-"&amp;IDNMaps[[#This Row],[Type Count]],"")</f>
        <v>Resource Data-12</v>
      </c>
      <c r="N86" s="6" t="str">
        <f ca="1">IFERROR(VLOOKUP(IDNMaps[[#This Row],[Primary]],INDIRECT(VLOOKUP(IDNMaps[[#This Row],[Type]],RecordCount[],2,0)),VLOOKUP(IDNMaps[[#This Row],[Type]],RecordCount[],7,0),0),"")</f>
        <v>HubShift/HubShiftEditData</v>
      </c>
      <c r="O86" s="6" t="str">
        <f ca="1">IF(IDNMaps[[#This Row],[Name]]="","","("&amp;IDNMaps[[#This Row],[Type]]&amp;") "&amp;IDNMaps[[#This Row],[Name]])</f>
        <v>(Data) HubShift/HubShiftEditData</v>
      </c>
      <c r="P86" s="6">
        <f ca="1">IFERROR(VLOOKUP(IDNMaps[[#This Row],[Primary]],INDIRECT(VLOOKUP(IDNMaps[[#This Row],[Type]],RecordCount[],2,0)),VLOOKUP(IDNMaps[[#This Row],[Type]],RecordCount[],8,0),0),"")</f>
        <v>2128112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7" s="6">
        <f ca="1">IF(IDNMaps[[#This Row],[Type]]="","",COUNTIF($K$1:IDNMaps[[#This Row],[Type]],IDNMaps[[#This Row],[Type]]))</f>
        <v>13</v>
      </c>
      <c r="M87" s="6" t="str">
        <f ca="1">IFERROR(VLOOKUP(IDNMaps[[#This Row],[Type]],RecordCount[],6,0)&amp;"-"&amp;IDNMaps[[#This Row],[Type Count]],"")</f>
        <v>Resource Data-13</v>
      </c>
      <c r="N87" s="6" t="str">
        <f ca="1">IFERROR(VLOOKUP(IDNMaps[[#This Row],[Primary]],INDIRECT(VLOOKUP(IDNMaps[[#This Row],[Type]],RecordCount[],2,0)),VLOOKUP(IDNMaps[[#This Row],[Type]],RecordCount[],7,0),0),"")</f>
        <v>OrderItemServiceUser/OrderItemServiceData</v>
      </c>
      <c r="O87" s="6" t="str">
        <f ca="1">IF(IDNMaps[[#This Row],[Name]]="","","("&amp;IDNMaps[[#This Row],[Type]]&amp;") "&amp;IDNMaps[[#This Row],[Name]])</f>
        <v>(Data) OrderItemServiceUser/OrderItemServiceData</v>
      </c>
      <c r="P87" s="6">
        <f ca="1">IFERROR(VLOOKUP(IDNMaps[[#This Row],[Primary]],INDIRECT(VLOOKUP(IDNMaps[[#This Row],[Type]],RecordCount[],2,0)),VLOOKUP(IDNMaps[[#This Row],[Type]],RecordCount[],8,0),0),"")</f>
        <v>2128113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1</v>
      </c>
      <c r="M88" s="6" t="str">
        <f ca="1">IFERROR(VLOOKUP(IDNMaps[[#This Row],[Type]],RecordCount[],6,0)&amp;"-"&amp;IDNMaps[[#This Row],[Type Count]],"")</f>
        <v>Resource Relations-1</v>
      </c>
      <c r="N88" s="6" t="str">
        <f ca="1">IFERROR(VLOOKUP(IDNMaps[[#This Row],[Primary]],INDIRECT(VLOOKUP(IDNMaps[[#This Row],[Type]],RecordCount[],2,0)),VLOOKUP(IDNMaps[[#This Row],[Type]],RecordCount[],7,0),0),"")</f>
        <v>Group/Users</v>
      </c>
      <c r="O88" s="6" t="str">
        <f ca="1">IF(IDNMaps[[#This Row],[Name]]="","","("&amp;IDNMaps[[#This Row],[Type]]&amp;") "&amp;IDNMaps[[#This Row],[Name]])</f>
        <v>(Relation) Group/Users</v>
      </c>
      <c r="P88" s="6">
        <f ca="1">IFERROR(VLOOKUP(IDNMaps[[#This Row],[Primary]],INDIRECT(VLOOKUP(IDNMaps[[#This Row],[Type]],RecordCount[],2,0)),VLOOKUP(IDNMaps[[#This Row],[Type]],RecordCount[],8,0),0),"")</f>
        <v>2109101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2</v>
      </c>
      <c r="M89" s="6" t="str">
        <f ca="1">IFERROR(VLOOKUP(IDNMaps[[#This Row],[Type]],RecordCount[],6,0)&amp;"-"&amp;IDNMaps[[#This Row],[Type Count]],"")</f>
        <v>Resource Relations-2</v>
      </c>
      <c r="N89" s="6" t="str">
        <f ca="1">IFERROR(VLOOKUP(IDNMaps[[#This Row],[Primary]],INDIRECT(VLOOKUP(IDNMaps[[#This Row],[Type]],RecordCount[],2,0)),VLOOKUP(IDNMaps[[#This Row],[Type]],RecordCount[],7,0),0),"")</f>
        <v>User/Groups</v>
      </c>
      <c r="O89" s="6" t="str">
        <f ca="1">IF(IDNMaps[[#This Row],[Name]]="","","("&amp;IDNMaps[[#This Row],[Type]]&amp;") "&amp;IDNMaps[[#This Row],[Name]])</f>
        <v>(Relation) User/Groups</v>
      </c>
      <c r="P89" s="6">
        <f ca="1">IFERROR(VLOOKUP(IDNMaps[[#This Row],[Primary]],INDIRECT(VLOOKUP(IDNMaps[[#This Row],[Type]],RecordCount[],2,0)),VLOOKUP(IDNMaps[[#This Row],[Type]],RecordCount[],8,0),0),"")</f>
        <v>2109102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3</v>
      </c>
      <c r="M90" s="6" t="str">
        <f ca="1">IFERROR(VLOOKUP(IDNMaps[[#This Row],[Type]],RecordCount[],6,0)&amp;"-"&amp;IDNMaps[[#This Row],[Type Count]],"")</f>
        <v>Resource Relations-3</v>
      </c>
      <c r="N90" s="6" t="str">
        <f ca="1">IFERROR(VLOOKUP(IDNMaps[[#This Row],[Primary]],INDIRECT(VLOOKUP(IDNMaps[[#This Row],[Type]],RecordCount[],2,0)),VLOOKUP(IDNMaps[[#This Row],[Type]],RecordCount[],7,0),0),"")</f>
        <v>Owner/Groups</v>
      </c>
      <c r="O90" s="6" t="str">
        <f ca="1">IF(IDNMaps[[#This Row],[Name]]="","","("&amp;IDNMaps[[#This Row],[Type]]&amp;") "&amp;IDNMaps[[#This Row],[Name]])</f>
        <v>(Relation) Owner/Groups</v>
      </c>
      <c r="P90" s="6">
        <f ca="1">IFERROR(VLOOKUP(IDNMaps[[#This Row],[Primary]],INDIRECT(VLOOKUP(IDNMaps[[#This Row],[Type]],RecordCount[],2,0)),VLOOKUP(IDNMaps[[#This Row],[Type]],RecordCount[],8,0),0),"")</f>
        <v>2109103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4</v>
      </c>
      <c r="M91" s="6" t="str">
        <f ca="1">IFERROR(VLOOKUP(IDNMaps[[#This Row],[Type]],RecordCount[],6,0)&amp;"-"&amp;IDNMaps[[#This Row],[Type Count]],"")</f>
        <v>Resource Relations-4</v>
      </c>
      <c r="N91" s="6" t="str">
        <f ca="1">IFERROR(VLOOKUP(IDNMaps[[#This Row],[Primary]],INDIRECT(VLOOKUP(IDNMaps[[#This Row],[Type]],RecordCount[],2,0)),VLOOKUP(IDNMaps[[#This Row],[Type]],RecordCount[],7,0),0),"")</f>
        <v>Employee/Services</v>
      </c>
      <c r="O91" s="6" t="str">
        <f ca="1">IF(IDNMaps[[#This Row],[Name]]="","","("&amp;IDNMaps[[#This Row],[Type]]&amp;") "&amp;IDNMaps[[#This Row],[Name]])</f>
        <v>(Relation) Employee/Services</v>
      </c>
      <c r="P91" s="6">
        <f ca="1">IFERROR(VLOOKUP(IDNMaps[[#This Row],[Primary]],INDIRECT(VLOOKUP(IDNMaps[[#This Row],[Type]],RecordCount[],2,0)),VLOOKUP(IDNMaps[[#This Row],[Type]],RecordCount[],8,0),0),"")</f>
        <v>2109104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5</v>
      </c>
      <c r="M92" s="6" t="str">
        <f ca="1">IFERROR(VLOOKUP(IDNMaps[[#This Row],[Type]],RecordCount[],6,0)&amp;"-"&amp;IDNMaps[[#This Row],[Type Count]],"")</f>
        <v>Resource Relations-5</v>
      </c>
      <c r="N92" s="6" t="str">
        <f ca="1">IFERROR(VLOOKUP(IDNMaps[[#This Row],[Primary]],INDIRECT(VLOOKUP(IDNMaps[[#This Row],[Type]],RecordCount[],2,0)),VLOOKUP(IDNMaps[[#This Row],[Type]],RecordCount[],7,0),0),"")</f>
        <v>Employee/Groups</v>
      </c>
      <c r="O92" s="6" t="str">
        <f ca="1">IF(IDNMaps[[#This Row],[Name]]="","","("&amp;IDNMaps[[#This Row],[Type]]&amp;") "&amp;IDNMaps[[#This Row],[Name]])</f>
        <v>(Relation) Employee/Groups</v>
      </c>
      <c r="P92" s="6">
        <f ca="1">IFERROR(VLOOKUP(IDNMaps[[#This Row],[Primary]],INDIRECT(VLOOKUP(IDNMaps[[#This Row],[Type]],RecordCount[],2,0)),VLOOKUP(IDNMaps[[#This Row],[Type]],RecordCount[],8,0),0),"")</f>
        <v>2109105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6</v>
      </c>
      <c r="M93" s="6" t="str">
        <f ca="1">IFERROR(VLOOKUP(IDNMaps[[#This Row],[Type]],RecordCount[],6,0)&amp;"-"&amp;IDNMaps[[#This Row],[Type Count]],"")</f>
        <v>Resource Relations-6</v>
      </c>
      <c r="N93" s="6" t="str">
        <f ca="1">IFERROR(VLOOKUP(IDNMaps[[#This Row],[Primary]],INDIRECT(VLOOKUP(IDNMaps[[#This Row],[Type]],RecordCount[],2,0)),VLOOKUP(IDNMaps[[#This Row],[Type]],RecordCount[],7,0),0),"")</f>
        <v>Employee/Hubs</v>
      </c>
      <c r="O93" s="6" t="str">
        <f ca="1">IF(IDNMaps[[#This Row],[Name]]="","","("&amp;IDNMaps[[#This Row],[Type]]&amp;") "&amp;IDNMaps[[#This Row],[Name]])</f>
        <v>(Relation) Employee/Hubs</v>
      </c>
      <c r="P93" s="6">
        <f ca="1">IFERROR(VLOOKUP(IDNMaps[[#This Row],[Primary]],INDIRECT(VLOOKUP(IDNMaps[[#This Row],[Type]],RecordCount[],2,0)),VLOOKUP(IDNMaps[[#This Row],[Type]],RecordCount[],8,0),0),"")</f>
        <v>2109106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7</v>
      </c>
      <c r="M94" s="6" t="str">
        <f ca="1">IFERROR(VLOOKUP(IDNMaps[[#This Row],[Type]],RecordCount[],6,0)&amp;"-"&amp;IDNMaps[[#This Row],[Type Count]],"")</f>
        <v>Resource Relations-7</v>
      </c>
      <c r="N94" s="6" t="str">
        <f ca="1">IFERROR(VLOOKUP(IDNMaps[[#This Row],[Primary]],INDIRECT(VLOOKUP(IDNMaps[[#This Row],[Type]],RecordCount[],2,0)),VLOOKUP(IDNMaps[[#This Row],[Type]],RecordCount[],7,0),0),"")</f>
        <v>Hub/HubUsers</v>
      </c>
      <c r="O94" s="6" t="str">
        <f ca="1">IF(IDNMaps[[#This Row],[Name]]="","","("&amp;IDNMaps[[#This Row],[Type]]&amp;") "&amp;IDNMaps[[#This Row],[Name]])</f>
        <v>(Relation) Hub/HubUsers</v>
      </c>
      <c r="P94" s="6">
        <f ca="1">IFERROR(VLOOKUP(IDNMaps[[#This Row],[Primary]],INDIRECT(VLOOKUP(IDNMaps[[#This Row],[Type]],RecordCount[],2,0)),VLOOKUP(IDNMaps[[#This Row],[Type]],RecordCount[],8,0),0),"")</f>
        <v>2109107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8</v>
      </c>
      <c r="M95" s="6" t="str">
        <f ca="1">IFERROR(VLOOKUP(IDNMaps[[#This Row],[Type]],RecordCount[],6,0)&amp;"-"&amp;IDNMaps[[#This Row],[Type Count]],"")</f>
        <v>Resource Relations-8</v>
      </c>
      <c r="N95" s="6" t="str">
        <f ca="1">IFERROR(VLOOKUP(IDNMaps[[#This Row],[Primary]],INDIRECT(VLOOKUP(IDNMaps[[#This Row],[Type]],RecordCount[],2,0)),VLOOKUP(IDNMaps[[#This Row],[Type]],RecordCount[],7,0),0),"")</f>
        <v>Hub/Users</v>
      </c>
      <c r="O95" s="6" t="str">
        <f ca="1">IF(IDNMaps[[#This Row],[Name]]="","","("&amp;IDNMaps[[#This Row],[Type]]&amp;") "&amp;IDNMaps[[#This Row],[Name]])</f>
        <v>(Relation) Hub/Users</v>
      </c>
      <c r="P95" s="6">
        <f ca="1">IFERROR(VLOOKUP(IDNMaps[[#This Row],[Primary]],INDIRECT(VLOOKUP(IDNMaps[[#This Row],[Type]],RecordCount[],2,0)),VLOOKUP(IDNMaps[[#This Row],[Type]],RecordCount[],8,0),0),"")</f>
        <v>2109108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9</v>
      </c>
      <c r="M96" s="6" t="str">
        <f ca="1">IFERROR(VLOOKUP(IDNMaps[[#This Row],[Type]],RecordCount[],6,0)&amp;"-"&amp;IDNMaps[[#This Row],[Type Count]],"")</f>
        <v>Resource Relations-9</v>
      </c>
      <c r="N96" s="6" t="str">
        <f ca="1">IFERROR(VLOOKUP(IDNMaps[[#This Row],[Primary]],INDIRECT(VLOOKUP(IDNMaps[[#This Row],[Type]],RecordCount[],2,0)),VLOOKUP(IDNMaps[[#This Row],[Type]],RecordCount[],7,0),0),"")</f>
        <v>Hub/Services</v>
      </c>
      <c r="O96" s="6" t="str">
        <f ca="1">IF(IDNMaps[[#This Row],[Name]]="","","("&amp;IDNMaps[[#This Row],[Type]]&amp;") "&amp;IDNMaps[[#This Row],[Name]])</f>
        <v>(Relation) Hub/Services</v>
      </c>
      <c r="P96" s="6">
        <f ca="1">IFERROR(VLOOKUP(IDNMaps[[#This Row],[Primary]],INDIRECT(VLOOKUP(IDNMaps[[#This Row],[Type]],RecordCount[],2,0)),VLOOKUP(IDNMaps[[#This Row],[Type]],RecordCount[],8,0),0),"")</f>
        <v>2109109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10</v>
      </c>
      <c r="M97" s="6" t="str">
        <f ca="1">IFERROR(VLOOKUP(IDNMaps[[#This Row],[Type]],RecordCount[],6,0)&amp;"-"&amp;IDNMaps[[#This Row],[Type Count]],"")</f>
        <v>Resource Relations-10</v>
      </c>
      <c r="N97" s="6" t="str">
        <f ca="1">IFERROR(VLOOKUP(IDNMaps[[#This Row],[Primary]],INDIRECT(VLOOKUP(IDNMaps[[#This Row],[Type]],RecordCount[],2,0)),VLOOKUP(IDNMaps[[#This Row],[Type]],RecordCount[],7,0),0),"")</f>
        <v>Hub/Shelves</v>
      </c>
      <c r="O97" s="6" t="str">
        <f ca="1">IF(IDNMaps[[#This Row],[Name]]="","","("&amp;IDNMaps[[#This Row],[Type]]&amp;") "&amp;IDNMaps[[#This Row],[Name]])</f>
        <v>(Relation) Hub/Shelves</v>
      </c>
      <c r="P97" s="6">
        <f ca="1">IFERROR(VLOOKUP(IDNMaps[[#This Row],[Primary]],INDIRECT(VLOOKUP(IDNMaps[[#This Row],[Type]],RecordCount[],2,0)),VLOOKUP(IDNMaps[[#This Row],[Type]],RecordCount[],8,0),0),"")</f>
        <v>2109110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11</v>
      </c>
      <c r="M98" s="6" t="str">
        <f ca="1">IFERROR(VLOOKUP(IDNMaps[[#This Row],[Type]],RecordCount[],6,0)&amp;"-"&amp;IDNMaps[[#This Row],[Type Count]],"")</f>
        <v>Resource Relations-11</v>
      </c>
      <c r="N98" s="6" t="str">
        <f ca="1">IFERROR(VLOOKUP(IDNMaps[[#This Row],[Primary]],INDIRECT(VLOOKUP(IDNMaps[[#This Row],[Type]],RecordCount[],2,0)),VLOOKUP(IDNMaps[[#This Row],[Type]],RecordCount[],7,0),0),"")</f>
        <v>Hub/DefaultShelf</v>
      </c>
      <c r="O98" s="6" t="str">
        <f ca="1">IF(IDNMaps[[#This Row],[Name]]="","","("&amp;IDNMaps[[#This Row],[Type]]&amp;") "&amp;IDNMaps[[#This Row],[Name]])</f>
        <v>(Relation) Hub/DefaultShelf</v>
      </c>
      <c r="P98" s="6">
        <f ca="1">IFERROR(VLOOKUP(IDNMaps[[#This Row],[Primary]],INDIRECT(VLOOKUP(IDNMaps[[#This Row],[Type]],RecordCount[],2,0)),VLOOKUP(IDNMaps[[#This Row],[Type]],RecordCount[],8,0),0),"")</f>
        <v>2109111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12</v>
      </c>
      <c r="M99" s="6" t="str">
        <f ca="1">IFERROR(VLOOKUP(IDNMaps[[#This Row],[Type]],RecordCount[],6,0)&amp;"-"&amp;IDNMaps[[#This Row],[Type Count]],"")</f>
        <v>Resource Relations-12</v>
      </c>
      <c r="N99" s="6" t="str">
        <f ca="1">IFERROR(VLOOKUP(IDNMaps[[#This Row],[Primary]],INDIRECT(VLOOKUP(IDNMaps[[#This Row],[Type]],RecordCount[],2,0)),VLOOKUP(IDNMaps[[#This Row],[Type]],RecordCount[],7,0),0),"")</f>
        <v>Hub/Orders</v>
      </c>
      <c r="O99" s="6" t="str">
        <f ca="1">IF(IDNMaps[[#This Row],[Name]]="","","("&amp;IDNMaps[[#This Row],[Type]]&amp;") "&amp;IDNMaps[[#This Row],[Name]])</f>
        <v>(Relation) Hub/Orders</v>
      </c>
      <c r="P99" s="6">
        <f ca="1">IFERROR(VLOOKUP(IDNMaps[[#This Row],[Primary]],INDIRECT(VLOOKUP(IDNMaps[[#This Row],[Type]],RecordCount[],2,0)),VLOOKUP(IDNMaps[[#This Row],[Type]],RecordCount[],8,0),0),"")</f>
        <v>2109112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13</v>
      </c>
      <c r="M100" s="6" t="str">
        <f ca="1">IFERROR(VLOOKUP(IDNMaps[[#This Row],[Type]],RecordCount[],6,0)&amp;"-"&amp;IDNMaps[[#This Row],[Type Count]],"")</f>
        <v>Resource Relations-13</v>
      </c>
      <c r="N100" s="6" t="str">
        <f ca="1">IFERROR(VLOOKUP(IDNMaps[[#This Row],[Primary]],INDIRECT(VLOOKUP(IDNMaps[[#This Row],[Type]],RecordCount[],2,0)),VLOOKUP(IDNMaps[[#This Row],[Type]],RecordCount[],7,0),0),"")</f>
        <v>Hub/Deliveries</v>
      </c>
      <c r="O100" s="6" t="str">
        <f ca="1">IF(IDNMaps[[#This Row],[Name]]="","","("&amp;IDNMaps[[#This Row],[Type]]&amp;") "&amp;IDNMaps[[#This Row],[Name]])</f>
        <v>(Relation) Hub/Deliveries</v>
      </c>
      <c r="P100" s="6">
        <f ca="1">IFERROR(VLOOKUP(IDNMaps[[#This Row],[Primary]],INDIRECT(VLOOKUP(IDNMaps[[#This Row],[Type]],RecordCount[],2,0)),VLOOKUP(IDNMaps[[#This Row],[Type]],RecordCount[],8,0),0),"")</f>
        <v>2109113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14</v>
      </c>
      <c r="M101" s="6" t="str">
        <f ca="1">IFERROR(VLOOKUP(IDNMaps[[#This Row],[Type]],RecordCount[],6,0)&amp;"-"&amp;IDNMaps[[#This Row],[Type Count]],"")</f>
        <v>Resource Relations-14</v>
      </c>
      <c r="N101" s="6" t="str">
        <f ca="1">IFERROR(VLOOKUP(IDNMaps[[#This Row],[Primary]],INDIRECT(VLOOKUP(IDNMaps[[#This Row],[Type]],RecordCount[],2,0)),VLOOKUP(IDNMaps[[#This Row],[Type]],RecordCount[],7,0),0),"")</f>
        <v>Hub/ShiftsFrom</v>
      </c>
      <c r="O101" s="6" t="str">
        <f ca="1">IF(IDNMaps[[#This Row],[Name]]="","","("&amp;IDNMaps[[#This Row],[Type]]&amp;") "&amp;IDNMaps[[#This Row],[Name]])</f>
        <v>(Relation) Hub/ShiftsFrom</v>
      </c>
      <c r="P101" s="6">
        <f ca="1">IFERROR(VLOOKUP(IDNMaps[[#This Row],[Primary]],INDIRECT(VLOOKUP(IDNMaps[[#This Row],[Type]],RecordCount[],2,0)),VLOOKUP(IDNMaps[[#This Row],[Type]],RecordCount[],8,0),0),"")</f>
        <v>2109114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15</v>
      </c>
      <c r="M102" s="6" t="str">
        <f ca="1">IFERROR(VLOOKUP(IDNMaps[[#This Row],[Type]],RecordCount[],6,0)&amp;"-"&amp;IDNMaps[[#This Row],[Type Count]],"")</f>
        <v>Resource Relations-15</v>
      </c>
      <c r="N102" s="6" t="str">
        <f ca="1">IFERROR(VLOOKUP(IDNMaps[[#This Row],[Primary]],INDIRECT(VLOOKUP(IDNMaps[[#This Row],[Type]],RecordCount[],2,0)),VLOOKUP(IDNMaps[[#This Row],[Type]],RecordCount[],7,0),0),"")</f>
        <v>Hub/ShiftsTowards</v>
      </c>
      <c r="O102" s="6" t="str">
        <f ca="1">IF(IDNMaps[[#This Row],[Name]]="","","("&amp;IDNMaps[[#This Row],[Type]]&amp;") "&amp;IDNMaps[[#This Row],[Name]])</f>
        <v>(Relation) Hub/ShiftsTowards</v>
      </c>
      <c r="P102" s="6">
        <f ca="1">IFERROR(VLOOKUP(IDNMaps[[#This Row],[Primary]],INDIRECT(VLOOKUP(IDNMaps[[#This Row],[Type]],RecordCount[],2,0)),VLOOKUP(IDNMaps[[#This Row],[Type]],RecordCount[],8,0),0),"")</f>
        <v>2109115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16</v>
      </c>
      <c r="M103" s="6" t="str">
        <f ca="1">IFERROR(VLOOKUP(IDNMaps[[#This Row],[Type]],RecordCount[],6,0)&amp;"-"&amp;IDNMaps[[#This Row],[Type Count]],"")</f>
        <v>Resource Relations-16</v>
      </c>
      <c r="N103" s="6" t="str">
        <f ca="1">IFERROR(VLOOKUP(IDNMaps[[#This Row],[Primary]],INDIRECT(VLOOKUP(IDNMaps[[#This Row],[Type]],RecordCount[],2,0)),VLOOKUP(IDNMaps[[#This Row],[Type]],RecordCount[],7,0),0),"")</f>
        <v>Service/Providers</v>
      </c>
      <c r="O103" s="6" t="str">
        <f ca="1">IF(IDNMaps[[#This Row],[Name]]="","","("&amp;IDNMaps[[#This Row],[Type]]&amp;") "&amp;IDNMaps[[#This Row],[Name]])</f>
        <v>(Relation) Service/Providers</v>
      </c>
      <c r="P103" s="6">
        <f ca="1">IFERROR(VLOOKUP(IDNMaps[[#This Row],[Primary]],INDIRECT(VLOOKUP(IDNMaps[[#This Row],[Type]],RecordCount[],2,0)),VLOOKUP(IDNMaps[[#This Row],[Type]],RecordCount[],8,0),0),"")</f>
        <v>2109116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17</v>
      </c>
      <c r="M104" s="6" t="str">
        <f ca="1">IFERROR(VLOOKUP(IDNMaps[[#This Row],[Type]],RecordCount[],6,0)&amp;"-"&amp;IDNMaps[[#This Row],[Type Count]],"")</f>
        <v>Resource Relations-17</v>
      </c>
      <c r="N104" s="6" t="str">
        <f ca="1">IFERROR(VLOOKUP(IDNMaps[[#This Row],[Primary]],INDIRECT(VLOOKUP(IDNMaps[[#This Row],[Type]],RecordCount[],2,0)),VLOOKUP(IDNMaps[[#This Row],[Type]],RecordCount[],7,0),0),"")</f>
        <v>Service/Hubs</v>
      </c>
      <c r="O104" s="6" t="str">
        <f ca="1">IF(IDNMaps[[#This Row],[Name]]="","","("&amp;IDNMaps[[#This Row],[Type]]&amp;") "&amp;IDNMaps[[#This Row],[Name]])</f>
        <v>(Relation) Service/Hubs</v>
      </c>
      <c r="P104" s="6">
        <f ca="1">IFERROR(VLOOKUP(IDNMaps[[#This Row],[Primary]],INDIRECT(VLOOKUP(IDNMaps[[#This Row],[Type]],RecordCount[],2,0)),VLOOKUP(IDNMaps[[#This Row],[Type]],RecordCount[],8,0),0),"")</f>
        <v>2109117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18</v>
      </c>
      <c r="M105" s="6" t="str">
        <f ca="1">IFERROR(VLOOKUP(IDNMaps[[#This Row],[Type]],RecordCount[],6,0)&amp;"-"&amp;IDNMaps[[#This Row],[Type Count]],"")</f>
        <v>Resource Relations-18</v>
      </c>
      <c r="N105" s="6" t="str">
        <f ca="1">IFERROR(VLOOKUP(IDNMaps[[#This Row],[Primary]],INDIRECT(VLOOKUP(IDNMaps[[#This Row],[Type]],RecordCount[],2,0)),VLOOKUP(IDNMaps[[#This Row],[Type]],RecordCount[],7,0),0),"")</f>
        <v>Service/Items</v>
      </c>
      <c r="O105" s="6" t="str">
        <f ca="1">IF(IDNMaps[[#This Row],[Name]]="","","("&amp;IDNMaps[[#This Row],[Type]]&amp;") "&amp;IDNMaps[[#This Row],[Name]])</f>
        <v>(Relation) Service/Items</v>
      </c>
      <c r="P105" s="6">
        <f ca="1">IFERROR(VLOOKUP(IDNMaps[[#This Row],[Primary]],INDIRECT(VLOOKUP(IDNMaps[[#This Row],[Type]],RecordCount[],2,0)),VLOOKUP(IDNMaps[[#This Row],[Type]],RecordCount[],8,0),0),"")</f>
        <v>2109118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19</v>
      </c>
      <c r="M106" s="6" t="str">
        <f ca="1">IFERROR(VLOOKUP(IDNMaps[[#This Row],[Type]],RecordCount[],6,0)&amp;"-"&amp;IDNMaps[[#This Row],[Type Count]],"")</f>
        <v>Resource Relations-19</v>
      </c>
      <c r="N106" s="6" t="str">
        <f ca="1">IFERROR(VLOOKUP(IDNMaps[[#This Row],[Primary]],INDIRECT(VLOOKUP(IDNMaps[[#This Row],[Type]],RecordCount[],2,0)),VLOOKUP(IDNMaps[[#This Row],[Type]],RecordCount[],7,0),0),"")</f>
        <v>Service/Prices</v>
      </c>
      <c r="O106" s="6" t="str">
        <f ca="1">IF(IDNMaps[[#This Row],[Name]]="","","("&amp;IDNMaps[[#This Row],[Type]]&amp;") "&amp;IDNMaps[[#This Row],[Name]])</f>
        <v>(Relation) Service/Prices</v>
      </c>
      <c r="P106" s="6">
        <f ca="1">IFERROR(VLOOKUP(IDNMaps[[#This Row],[Primary]],INDIRECT(VLOOKUP(IDNMaps[[#This Row],[Type]],RecordCount[],2,0)),VLOOKUP(IDNMaps[[#This Row],[Type]],RecordCount[],8,0),0),"")</f>
        <v>2109119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20</v>
      </c>
      <c r="M107" s="6" t="str">
        <f ca="1">IFERROR(VLOOKUP(IDNMaps[[#This Row],[Type]],RecordCount[],6,0)&amp;"-"&amp;IDNMaps[[#This Row],[Type Count]],"")</f>
        <v>Resource Relations-20</v>
      </c>
      <c r="N107" s="6" t="str">
        <f ca="1">IFERROR(VLOOKUP(IDNMaps[[#This Row],[Primary]],INDIRECT(VLOOKUP(IDNMaps[[#This Row],[Type]],RecordCount[],2,0)),VLOOKUP(IDNMaps[[#This Row],[Type]],RecordCount[],7,0),0),"")</f>
        <v>Service/Unassigned</v>
      </c>
      <c r="O107" s="6" t="str">
        <f ca="1">IF(IDNMaps[[#This Row],[Name]]="","","("&amp;IDNMaps[[#This Row],[Type]]&amp;") "&amp;IDNMaps[[#This Row],[Name]])</f>
        <v>(Relation) Service/Unassigned</v>
      </c>
      <c r="P107" s="6">
        <f ca="1">IFERROR(VLOOKUP(IDNMaps[[#This Row],[Primary]],INDIRECT(VLOOKUP(IDNMaps[[#This Row],[Type]],RecordCount[],2,0)),VLOOKUP(IDNMaps[[#This Row],[Type]],RecordCount[],8,0),0),"")</f>
        <v>2109120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21</v>
      </c>
      <c r="M108" s="6" t="str">
        <f ca="1">IFERROR(VLOOKUP(IDNMaps[[#This Row],[Type]],RecordCount[],6,0)&amp;"-"&amp;IDNMaps[[#This Row],[Type Count]],"")</f>
        <v>Resource Relations-21</v>
      </c>
      <c r="N108" s="6" t="str">
        <f ca="1">IFERROR(VLOOKUP(IDNMaps[[#This Row],[Primary]],INDIRECT(VLOOKUP(IDNMaps[[#This Row],[Type]],RecordCount[],2,0)),VLOOKUP(IDNMaps[[#This Row],[Type]],RecordCount[],7,0),0),"")</f>
        <v>Service/Assigned</v>
      </c>
      <c r="O108" s="6" t="str">
        <f ca="1">IF(IDNMaps[[#This Row],[Name]]="","","("&amp;IDNMaps[[#This Row],[Type]]&amp;") "&amp;IDNMaps[[#This Row],[Name]])</f>
        <v>(Relation) Service/Assigned</v>
      </c>
      <c r="P108" s="6">
        <f ca="1">IFERROR(VLOOKUP(IDNMaps[[#This Row],[Primary]],INDIRECT(VLOOKUP(IDNMaps[[#This Row],[Type]],RecordCount[],2,0)),VLOOKUP(IDNMaps[[#This Row],[Type]],RecordCount[],8,0),0),"")</f>
        <v>2109121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22</v>
      </c>
      <c r="M109" s="6" t="str">
        <f ca="1">IFERROR(VLOOKUP(IDNMaps[[#This Row],[Type]],RecordCount[],6,0)&amp;"-"&amp;IDNMaps[[#This Row],[Type Count]],"")</f>
        <v>Resource Relations-22</v>
      </c>
      <c r="N109" s="6" t="str">
        <f ca="1">IFERROR(VLOOKUP(IDNMaps[[#This Row],[Primary]],INDIRECT(VLOOKUP(IDNMaps[[#This Row],[Type]],RecordCount[],2,0)),VLOOKUP(IDNMaps[[#This Row],[Type]],RecordCount[],7,0),0),"")</f>
        <v>Service/Processing</v>
      </c>
      <c r="O109" s="6" t="str">
        <f ca="1">IF(IDNMaps[[#This Row],[Name]]="","","("&amp;IDNMaps[[#This Row],[Type]]&amp;") "&amp;IDNMaps[[#This Row],[Name]])</f>
        <v>(Relation) Service/Processing</v>
      </c>
      <c r="P109" s="6">
        <f ca="1">IFERROR(VLOOKUP(IDNMaps[[#This Row],[Primary]],INDIRECT(VLOOKUP(IDNMaps[[#This Row],[Type]],RecordCount[],2,0)),VLOOKUP(IDNMaps[[#This Row],[Type]],RecordCount[],8,0),0),"")</f>
        <v>2109122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23</v>
      </c>
      <c r="M110" s="6" t="str">
        <f ca="1">IFERROR(VLOOKUP(IDNMaps[[#This Row],[Type]],RecordCount[],6,0)&amp;"-"&amp;IDNMaps[[#This Row],[Type Count]],"")</f>
        <v>Resource Relations-23</v>
      </c>
      <c r="N110" s="6" t="str">
        <f ca="1">IFERROR(VLOOKUP(IDNMaps[[#This Row],[Primary]],INDIRECT(VLOOKUP(IDNMaps[[#This Row],[Type]],RecordCount[],2,0)),VLOOKUP(IDNMaps[[#This Row],[Type]],RecordCount[],7,0),0),"")</f>
        <v>Service/Awaiting</v>
      </c>
      <c r="O110" s="6" t="str">
        <f ca="1">IF(IDNMaps[[#This Row],[Name]]="","","("&amp;IDNMaps[[#This Row],[Type]]&amp;") "&amp;IDNMaps[[#This Row],[Name]])</f>
        <v>(Relation) Service/Awaiting</v>
      </c>
      <c r="P110" s="6">
        <f ca="1">IFERROR(VLOOKUP(IDNMaps[[#This Row],[Primary]],INDIRECT(VLOOKUP(IDNMaps[[#This Row],[Type]],RecordCount[],2,0)),VLOOKUP(IDNMaps[[#This Row],[Type]],RecordCount[],8,0),0),"")</f>
        <v>2109123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24</v>
      </c>
      <c r="M111" s="6" t="str">
        <f ca="1">IFERROR(VLOOKUP(IDNMaps[[#This Row],[Type]],RecordCount[],6,0)&amp;"-"&amp;IDNMaps[[#This Row],[Type Count]],"")</f>
        <v>Resource Relations-24</v>
      </c>
      <c r="N111" s="6" t="str">
        <f ca="1">IFERROR(VLOOKUP(IDNMaps[[#This Row],[Primary]],INDIRECT(VLOOKUP(IDNMaps[[#This Row],[Type]],RecordCount[],2,0)),VLOOKUP(IDNMaps[[#This Row],[Type]],RecordCount[],7,0),0),"")</f>
        <v>Item/ItemServices</v>
      </c>
      <c r="O111" s="6" t="str">
        <f ca="1">IF(IDNMaps[[#This Row],[Name]]="","","("&amp;IDNMaps[[#This Row],[Type]]&amp;") "&amp;IDNMaps[[#This Row],[Name]])</f>
        <v>(Relation) Item/ItemServices</v>
      </c>
      <c r="P111" s="6">
        <f ca="1">IFERROR(VLOOKUP(IDNMaps[[#This Row],[Primary]],INDIRECT(VLOOKUP(IDNMaps[[#This Row],[Type]],RecordCount[],2,0)),VLOOKUP(IDNMaps[[#This Row],[Type]],RecordCount[],8,0),0),"")</f>
        <v>2109124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25</v>
      </c>
      <c r="M112" s="6" t="str">
        <f ca="1">IFERROR(VLOOKUP(IDNMaps[[#This Row],[Type]],RecordCount[],6,0)&amp;"-"&amp;IDNMaps[[#This Row],[Type Count]],"")</f>
        <v>Resource Relations-25</v>
      </c>
      <c r="N112" s="6" t="str">
        <f ca="1">IFERROR(VLOOKUP(IDNMaps[[#This Row],[Primary]],INDIRECT(VLOOKUP(IDNMaps[[#This Row],[Type]],RecordCount[],2,0)),VLOOKUP(IDNMaps[[#This Row],[Type]],RecordCount[],7,0),0),"")</f>
        <v>Item/Prices</v>
      </c>
      <c r="O112" s="6" t="str">
        <f ca="1">IF(IDNMaps[[#This Row],[Name]]="","","("&amp;IDNMaps[[#This Row],[Type]]&amp;") "&amp;IDNMaps[[#This Row],[Name]])</f>
        <v>(Relation) Item/Prices</v>
      </c>
      <c r="P112" s="6">
        <f ca="1">IFERROR(VLOOKUP(IDNMaps[[#This Row],[Primary]],INDIRECT(VLOOKUP(IDNMaps[[#This Row],[Type]],RecordCount[],2,0)),VLOOKUP(IDNMaps[[#This Row],[Type]],RecordCount[],8,0),0),"")</f>
        <v>2109125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26</v>
      </c>
      <c r="M113" s="6" t="str">
        <f ca="1">IFERROR(VLOOKUP(IDNMaps[[#This Row],[Type]],RecordCount[],6,0)&amp;"-"&amp;IDNMaps[[#This Row],[Type Count]],"")</f>
        <v>Resource Relations-26</v>
      </c>
      <c r="N113" s="6" t="str">
        <f ca="1">IFERROR(VLOOKUP(IDNMaps[[#This Row],[Primary]],INDIRECT(VLOOKUP(IDNMaps[[#This Row],[Type]],RecordCount[],2,0)),VLOOKUP(IDNMaps[[#This Row],[Type]],RecordCount[],7,0),0),"")</f>
        <v>Item/Unassigned</v>
      </c>
      <c r="O113" s="6" t="str">
        <f ca="1">IF(IDNMaps[[#This Row],[Name]]="","","("&amp;IDNMaps[[#This Row],[Type]]&amp;") "&amp;IDNMaps[[#This Row],[Name]])</f>
        <v>(Relation) Item/Unassigned</v>
      </c>
      <c r="P113" s="6">
        <f ca="1">IFERROR(VLOOKUP(IDNMaps[[#This Row],[Primary]],INDIRECT(VLOOKUP(IDNMaps[[#This Row],[Type]],RecordCount[],2,0)),VLOOKUP(IDNMaps[[#This Row],[Type]],RecordCount[],8,0),0),"")</f>
        <v>2109126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27</v>
      </c>
      <c r="M114" s="6" t="str">
        <f ca="1">IFERROR(VLOOKUP(IDNMaps[[#This Row],[Type]],RecordCount[],6,0)&amp;"-"&amp;IDNMaps[[#This Row],[Type Count]],"")</f>
        <v>Resource Relations-27</v>
      </c>
      <c r="N114" s="6" t="str">
        <f ca="1">IFERROR(VLOOKUP(IDNMaps[[#This Row],[Primary]],INDIRECT(VLOOKUP(IDNMaps[[#This Row],[Type]],RecordCount[],2,0)),VLOOKUP(IDNMaps[[#This Row],[Type]],RecordCount[],7,0),0),"")</f>
        <v>Item/Assigned</v>
      </c>
      <c r="O114" s="6" t="str">
        <f ca="1">IF(IDNMaps[[#This Row],[Name]]="","","("&amp;IDNMaps[[#This Row],[Type]]&amp;") "&amp;IDNMaps[[#This Row],[Name]])</f>
        <v>(Relation) Item/Assigned</v>
      </c>
      <c r="P114" s="6">
        <f ca="1">IFERROR(VLOOKUP(IDNMaps[[#This Row],[Primary]],INDIRECT(VLOOKUP(IDNMaps[[#This Row],[Type]],RecordCount[],2,0)),VLOOKUP(IDNMaps[[#This Row],[Type]],RecordCount[],8,0),0),"")</f>
        <v>2109127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28</v>
      </c>
      <c r="M115" s="6" t="str">
        <f ca="1">IFERROR(VLOOKUP(IDNMaps[[#This Row],[Type]],RecordCount[],6,0)&amp;"-"&amp;IDNMaps[[#This Row],[Type Count]],"")</f>
        <v>Resource Relations-28</v>
      </c>
      <c r="N115" s="6" t="str">
        <f ca="1">IFERROR(VLOOKUP(IDNMaps[[#This Row],[Primary]],INDIRECT(VLOOKUP(IDNMaps[[#This Row],[Type]],RecordCount[],2,0)),VLOOKUP(IDNMaps[[#This Row],[Type]],RecordCount[],7,0),0),"")</f>
        <v>Item/Processing</v>
      </c>
      <c r="O115" s="6" t="str">
        <f ca="1">IF(IDNMaps[[#This Row],[Name]]="","","("&amp;IDNMaps[[#This Row],[Type]]&amp;") "&amp;IDNMaps[[#This Row],[Name]])</f>
        <v>(Relation) Item/Processing</v>
      </c>
      <c r="P115" s="6">
        <f ca="1">IFERROR(VLOOKUP(IDNMaps[[#This Row],[Primary]],INDIRECT(VLOOKUP(IDNMaps[[#This Row],[Type]],RecordCount[],2,0)),VLOOKUP(IDNMaps[[#This Row],[Type]],RecordCount[],8,0),0),"")</f>
        <v>2109128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29</v>
      </c>
      <c r="M116" s="6" t="str">
        <f ca="1">IFERROR(VLOOKUP(IDNMaps[[#This Row],[Type]],RecordCount[],6,0)&amp;"-"&amp;IDNMaps[[#This Row],[Type Count]],"")</f>
        <v>Resource Relations-29</v>
      </c>
      <c r="N116" s="6" t="str">
        <f ca="1">IFERROR(VLOOKUP(IDNMaps[[#This Row],[Primary]],INDIRECT(VLOOKUP(IDNMaps[[#This Row],[Type]],RecordCount[],2,0)),VLOOKUP(IDNMaps[[#This Row],[Type]],RecordCount[],7,0),0),"")</f>
        <v>Item/Awaiting</v>
      </c>
      <c r="O116" s="6" t="str">
        <f ca="1">IF(IDNMaps[[#This Row],[Name]]="","","("&amp;IDNMaps[[#This Row],[Type]]&amp;") "&amp;IDNMaps[[#This Row],[Name]])</f>
        <v>(Relation) Item/Awaiting</v>
      </c>
      <c r="P116" s="6">
        <f ca="1">IFERROR(VLOOKUP(IDNMaps[[#This Row],[Primary]],INDIRECT(VLOOKUP(IDNMaps[[#This Row],[Type]],RecordCount[],2,0)),VLOOKUP(IDNMaps[[#This Row],[Type]],RecordCount[],8,0),0),"")</f>
        <v>2109129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30</v>
      </c>
      <c r="M117" s="6" t="str">
        <f ca="1">IFERROR(VLOOKUP(IDNMaps[[#This Row],[Type]],RecordCount[],6,0)&amp;"-"&amp;IDNMaps[[#This Row],[Type Count]],"")</f>
        <v>Resource Relations-30</v>
      </c>
      <c r="N117" s="6" t="str">
        <f ca="1">IFERROR(VLOOKUP(IDNMaps[[#This Row],[Primary]],INDIRECT(VLOOKUP(IDNMaps[[#This Row],[Type]],RecordCount[],2,0)),VLOOKUP(IDNMaps[[#This Row],[Type]],RecordCount[],7,0),0),"")</f>
        <v>Item/ServicingUsers</v>
      </c>
      <c r="O117" s="6" t="str">
        <f ca="1">IF(IDNMaps[[#This Row],[Name]]="","","("&amp;IDNMaps[[#This Row],[Type]]&amp;") "&amp;IDNMaps[[#This Row],[Name]])</f>
        <v>(Relation) Item/ServicingUsers</v>
      </c>
      <c r="P117" s="6">
        <f ca="1">IFERROR(VLOOKUP(IDNMaps[[#This Row],[Primary]],INDIRECT(VLOOKUP(IDNMaps[[#This Row],[Type]],RecordCount[],2,0)),VLOOKUP(IDNMaps[[#This Row],[Type]],RecordCount[],8,0),0),"")</f>
        <v>2109130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31</v>
      </c>
      <c r="M118" s="6" t="str">
        <f ca="1">IFERROR(VLOOKUP(IDNMaps[[#This Row],[Type]],RecordCount[],6,0)&amp;"-"&amp;IDNMaps[[#This Row],[Type Count]],"")</f>
        <v>Resource Relations-31</v>
      </c>
      <c r="N118" s="6" t="str">
        <f ca="1">IFERROR(VLOOKUP(IDNMaps[[#This Row],[Primary]],INDIRECT(VLOOKUP(IDNMaps[[#This Row],[Type]],RecordCount[],2,0)),VLOOKUP(IDNMaps[[#This Row],[Type]],RecordCount[],7,0),0),"")</f>
        <v>ItemService/Item</v>
      </c>
      <c r="O118" s="6" t="str">
        <f ca="1">IF(IDNMaps[[#This Row],[Name]]="","","("&amp;IDNMaps[[#This Row],[Type]]&amp;") "&amp;IDNMaps[[#This Row],[Name]])</f>
        <v>(Relation) ItemService/Item</v>
      </c>
      <c r="P118" s="6">
        <f ca="1">IFERROR(VLOOKUP(IDNMaps[[#This Row],[Primary]],INDIRECT(VLOOKUP(IDNMaps[[#This Row],[Type]],RecordCount[],2,0)),VLOOKUP(IDNMaps[[#This Row],[Type]],RecordCount[],8,0),0),"")</f>
        <v>2109131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32</v>
      </c>
      <c r="M119" s="6" t="str">
        <f ca="1">IFERROR(VLOOKUP(IDNMaps[[#This Row],[Type]],RecordCount[],6,0)&amp;"-"&amp;IDNMaps[[#This Row],[Type Count]],"")</f>
        <v>Resource Relations-32</v>
      </c>
      <c r="N119" s="6" t="str">
        <f ca="1">IFERROR(VLOOKUP(IDNMaps[[#This Row],[Primary]],INDIRECT(VLOOKUP(IDNMaps[[#This Row],[Type]],RecordCount[],2,0)),VLOOKUP(IDNMaps[[#This Row],[Type]],RecordCount[],7,0),0),"")</f>
        <v>ItemService/Service</v>
      </c>
      <c r="O119" s="6" t="str">
        <f ca="1">IF(IDNMaps[[#This Row],[Name]]="","","("&amp;IDNMaps[[#This Row],[Type]]&amp;") "&amp;IDNMaps[[#This Row],[Name]])</f>
        <v>(Relation) ItemService/Service</v>
      </c>
      <c r="P119" s="6">
        <f ca="1">IFERROR(VLOOKUP(IDNMaps[[#This Row],[Primary]],INDIRECT(VLOOKUP(IDNMaps[[#This Row],[Type]],RecordCount[],2,0)),VLOOKUP(IDNMaps[[#This Row],[Type]],RecordCount[],8,0),0),"")</f>
        <v>2109132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33</v>
      </c>
      <c r="M120" s="6" t="str">
        <f ca="1">IFERROR(VLOOKUP(IDNMaps[[#This Row],[Type]],RecordCount[],6,0)&amp;"-"&amp;IDNMaps[[#This Row],[Type Count]],"")</f>
        <v>Resource Relations-33</v>
      </c>
      <c r="N120" s="6" t="str">
        <f ca="1">IFERROR(VLOOKUP(IDNMaps[[#This Row],[Primary]],INDIRECT(VLOOKUP(IDNMaps[[#This Row],[Type]],RecordCount[],2,0)),VLOOKUP(IDNMaps[[#This Row],[Type]],RecordCount[],7,0),0),"")</f>
        <v>ItemService/Price</v>
      </c>
      <c r="O120" s="6" t="str">
        <f ca="1">IF(IDNMaps[[#This Row],[Name]]="","","("&amp;IDNMaps[[#This Row],[Type]]&amp;") "&amp;IDNMaps[[#This Row],[Name]])</f>
        <v>(Relation) ItemService/Price</v>
      </c>
      <c r="P120" s="6">
        <f ca="1">IFERROR(VLOOKUP(IDNMaps[[#This Row],[Primary]],INDIRECT(VLOOKUP(IDNMaps[[#This Row],[Type]],RecordCount[],2,0)),VLOOKUP(IDNMaps[[#This Row],[Type]],RecordCount[],8,0),0),"")</f>
        <v>2109133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34</v>
      </c>
      <c r="M121" s="6" t="str">
        <f ca="1">IFERROR(VLOOKUP(IDNMaps[[#This Row],[Type]],RecordCount[],6,0)&amp;"-"&amp;IDNMaps[[#This Row],[Type Count]],"")</f>
        <v>Resource Relations-34</v>
      </c>
      <c r="N121" s="6" t="str">
        <f ca="1">IFERROR(VLOOKUP(IDNMaps[[#This Row],[Primary]],INDIRECT(VLOOKUP(IDNMaps[[#This Row],[Type]],RecordCount[],2,0)),VLOOKUP(IDNMaps[[#This Row],[Type]],RecordCount[],7,0),0),"")</f>
        <v>UserService/User</v>
      </c>
      <c r="O121" s="6" t="str">
        <f ca="1">IF(IDNMaps[[#This Row],[Name]]="","","("&amp;IDNMaps[[#This Row],[Type]]&amp;") "&amp;IDNMaps[[#This Row],[Name]])</f>
        <v>(Relation) UserService/User</v>
      </c>
      <c r="P121" s="6">
        <f ca="1">IFERROR(VLOOKUP(IDNMaps[[#This Row],[Primary]],INDIRECT(VLOOKUP(IDNMaps[[#This Row],[Type]],RecordCount[],2,0)),VLOOKUP(IDNMaps[[#This Row],[Type]],RecordCount[],8,0),0),"")</f>
        <v>2109134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35</v>
      </c>
      <c r="M122" s="6" t="str">
        <f ca="1">IFERROR(VLOOKUP(IDNMaps[[#This Row],[Type]],RecordCount[],6,0)&amp;"-"&amp;IDNMaps[[#This Row],[Type Count]],"")</f>
        <v>Resource Relations-35</v>
      </c>
      <c r="N122" s="6" t="str">
        <f ca="1">IFERROR(VLOOKUP(IDNMaps[[#This Row],[Primary]],INDIRECT(VLOOKUP(IDNMaps[[#This Row],[Type]],RecordCount[],2,0)),VLOOKUP(IDNMaps[[#This Row],[Type]],RecordCount[],7,0),0),"")</f>
        <v>UserService/Service</v>
      </c>
      <c r="O122" s="6" t="str">
        <f ca="1">IF(IDNMaps[[#This Row],[Name]]="","","("&amp;IDNMaps[[#This Row],[Type]]&amp;") "&amp;IDNMaps[[#This Row],[Name]])</f>
        <v>(Relation) UserService/Service</v>
      </c>
      <c r="P122" s="6">
        <f ca="1">IFERROR(VLOOKUP(IDNMaps[[#This Row],[Primary]],INDIRECT(VLOOKUP(IDNMaps[[#This Row],[Type]],RecordCount[],2,0)),VLOOKUP(IDNMaps[[#This Row],[Type]],RecordCount[],8,0),0),"")</f>
        <v>2109135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36</v>
      </c>
      <c r="M123" s="6" t="str">
        <f ca="1">IFERROR(VLOOKUP(IDNMaps[[#This Row],[Type]],RecordCount[],6,0)&amp;"-"&amp;IDNMaps[[#This Row],[Type Count]],"")</f>
        <v>Resource Relations-36</v>
      </c>
      <c r="N123" s="6" t="str">
        <f ca="1">IFERROR(VLOOKUP(IDNMaps[[#This Row],[Primary]],INDIRECT(VLOOKUP(IDNMaps[[#This Row],[Type]],RecordCount[],2,0)),VLOOKUP(IDNMaps[[#This Row],[Type]],RecordCount[],7,0),0),"")</f>
        <v>HubUser/Hub</v>
      </c>
      <c r="O123" s="6" t="str">
        <f ca="1">IF(IDNMaps[[#This Row],[Name]]="","","("&amp;IDNMaps[[#This Row],[Type]]&amp;") "&amp;IDNMaps[[#This Row],[Name]])</f>
        <v>(Relation) HubUser/Hub</v>
      </c>
      <c r="P123" s="6">
        <f ca="1">IFERROR(VLOOKUP(IDNMaps[[#This Row],[Primary]],INDIRECT(VLOOKUP(IDNMaps[[#This Row],[Type]],RecordCount[],2,0)),VLOOKUP(IDNMaps[[#This Row],[Type]],RecordCount[],8,0),0),"")</f>
        <v>2109136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37</v>
      </c>
      <c r="M124" s="6" t="str">
        <f ca="1">IFERROR(VLOOKUP(IDNMaps[[#This Row],[Type]],RecordCount[],6,0)&amp;"-"&amp;IDNMaps[[#This Row],[Type Count]],"")</f>
        <v>Resource Relations-37</v>
      </c>
      <c r="N124" s="6" t="str">
        <f ca="1">IFERROR(VLOOKUP(IDNMaps[[#This Row],[Primary]],INDIRECT(VLOOKUP(IDNMaps[[#This Row],[Type]],RecordCount[],2,0)),VLOOKUP(IDNMaps[[#This Row],[Type]],RecordCount[],7,0),0),"")</f>
        <v>HubUser/User</v>
      </c>
      <c r="O124" s="6" t="str">
        <f ca="1">IF(IDNMaps[[#This Row],[Name]]="","","("&amp;IDNMaps[[#This Row],[Type]]&amp;") "&amp;IDNMaps[[#This Row],[Name]])</f>
        <v>(Relation) HubUser/User</v>
      </c>
      <c r="P124" s="6">
        <f ca="1">IFERROR(VLOOKUP(IDNMaps[[#This Row],[Primary]],INDIRECT(VLOOKUP(IDNMaps[[#This Row],[Type]],RecordCount[],2,0)),VLOOKUP(IDNMaps[[#This Row],[Type]],RecordCount[],8,0),0),"")</f>
        <v>2109137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38</v>
      </c>
      <c r="M125" s="6" t="str">
        <f ca="1">IFERROR(VLOOKUP(IDNMaps[[#This Row],[Type]],RecordCount[],6,0)&amp;"-"&amp;IDNMaps[[#This Row],[Type Count]],"")</f>
        <v>Resource Relations-38</v>
      </c>
      <c r="N125" s="6" t="str">
        <f ca="1">IFERROR(VLOOKUP(IDNMaps[[#This Row],[Primary]],INDIRECT(VLOOKUP(IDNMaps[[#This Row],[Type]],RecordCount[],2,0)),VLOOKUP(IDNMaps[[#This Row],[Type]],RecordCount[],7,0),0),"")</f>
        <v>Shelf/Hub</v>
      </c>
      <c r="O125" s="6" t="str">
        <f ca="1">IF(IDNMaps[[#This Row],[Name]]="","","("&amp;IDNMaps[[#This Row],[Type]]&amp;") "&amp;IDNMaps[[#This Row],[Name]])</f>
        <v>(Relation) Shelf/Hub</v>
      </c>
      <c r="P125" s="6">
        <f ca="1">IFERROR(VLOOKUP(IDNMaps[[#This Row],[Primary]],INDIRECT(VLOOKUP(IDNMaps[[#This Row],[Type]],RecordCount[],2,0)),VLOOKUP(IDNMaps[[#This Row],[Type]],RecordCount[],8,0),0),"")</f>
        <v>2109138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39</v>
      </c>
      <c r="M126" s="6" t="str">
        <f ca="1">IFERROR(VLOOKUP(IDNMaps[[#This Row],[Type]],RecordCount[],6,0)&amp;"-"&amp;IDNMaps[[#This Row],[Type Count]],"")</f>
        <v>Resource Relations-39</v>
      </c>
      <c r="N126" s="6" t="str">
        <f ca="1">IFERROR(VLOOKUP(IDNMaps[[#This Row],[Primary]],INDIRECT(VLOOKUP(IDNMaps[[#This Row],[Type]],RecordCount[],2,0)),VLOOKUP(IDNMaps[[#This Row],[Type]],RecordCount[],7,0),0),"")</f>
        <v>Shelf/Items</v>
      </c>
      <c r="O126" s="6" t="str">
        <f ca="1">IF(IDNMaps[[#This Row],[Name]]="","","("&amp;IDNMaps[[#This Row],[Type]]&amp;") "&amp;IDNMaps[[#This Row],[Name]])</f>
        <v>(Relation) Shelf/Items</v>
      </c>
      <c r="P126" s="6">
        <f ca="1">IFERROR(VLOOKUP(IDNMaps[[#This Row],[Primary]],INDIRECT(VLOOKUP(IDNMaps[[#This Row],[Type]],RecordCount[],2,0)),VLOOKUP(IDNMaps[[#This Row],[Type]],RecordCount[],8,0),0),"")</f>
        <v>2109139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40</v>
      </c>
      <c r="M127" s="6" t="str">
        <f ca="1">IFERROR(VLOOKUP(IDNMaps[[#This Row],[Type]],RecordCount[],6,0)&amp;"-"&amp;IDNMaps[[#This Row],[Type Count]],"")</f>
        <v>Resource Relations-40</v>
      </c>
      <c r="N127" s="6" t="str">
        <f ca="1">IFERROR(VLOOKUP(IDNMaps[[#This Row],[Primary]],INDIRECT(VLOOKUP(IDNMaps[[#This Row],[Type]],RecordCount[],2,0)),VLOOKUP(IDNMaps[[#This Row],[Type]],RecordCount[],7,0),0),"")</f>
        <v>HubDefaultShelf/Hub</v>
      </c>
      <c r="O127" s="6" t="str">
        <f ca="1">IF(IDNMaps[[#This Row],[Name]]="","","("&amp;IDNMaps[[#This Row],[Type]]&amp;") "&amp;IDNMaps[[#This Row],[Name]])</f>
        <v>(Relation) HubDefaultShelf/Hub</v>
      </c>
      <c r="P127" s="6">
        <f ca="1">IFERROR(VLOOKUP(IDNMaps[[#This Row],[Primary]],INDIRECT(VLOOKUP(IDNMaps[[#This Row],[Type]],RecordCount[],2,0)),VLOOKUP(IDNMaps[[#This Row],[Type]],RecordCount[],8,0),0),"")</f>
        <v>2109140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41</v>
      </c>
      <c r="M128" s="6" t="str">
        <f ca="1">IFERROR(VLOOKUP(IDNMaps[[#This Row],[Type]],RecordCount[],6,0)&amp;"-"&amp;IDNMaps[[#This Row],[Type Count]],"")</f>
        <v>Resource Relations-41</v>
      </c>
      <c r="N128" s="6" t="str">
        <f ca="1">IFERROR(VLOOKUP(IDNMaps[[#This Row],[Primary]],INDIRECT(VLOOKUP(IDNMaps[[#This Row],[Type]],RecordCount[],2,0)),VLOOKUP(IDNMaps[[#This Row],[Type]],RecordCount[],7,0),0),"")</f>
        <v>HubDefaultShelf/Shelf</v>
      </c>
      <c r="O128" s="6" t="str">
        <f ca="1">IF(IDNMaps[[#This Row],[Name]]="","","("&amp;IDNMaps[[#This Row],[Type]]&amp;") "&amp;IDNMaps[[#This Row],[Name]])</f>
        <v>(Relation) HubDefaultShelf/Shelf</v>
      </c>
      <c r="P128" s="6">
        <f ca="1">IFERROR(VLOOKUP(IDNMaps[[#This Row],[Primary]],INDIRECT(VLOOKUP(IDNMaps[[#This Row],[Type]],RecordCount[],2,0)),VLOOKUP(IDNMaps[[#This Row],[Type]],RecordCount[],8,0),0),"")</f>
        <v>2109141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42</v>
      </c>
      <c r="M129" s="6" t="str">
        <f ca="1">IFERROR(VLOOKUP(IDNMaps[[#This Row],[Type]],RecordCount[],6,0)&amp;"-"&amp;IDNMaps[[#This Row],[Type Count]],"")</f>
        <v>Resource Relations-42</v>
      </c>
      <c r="N129" s="6" t="str">
        <f ca="1">IFERROR(VLOOKUP(IDNMaps[[#This Row],[Primary]],INDIRECT(VLOOKUP(IDNMaps[[#This Row],[Type]],RecordCount[],2,0)),VLOOKUP(IDNMaps[[#This Row],[Type]],RecordCount[],7,0),0),"")</f>
        <v>Pricelist/Contents</v>
      </c>
      <c r="O129" s="6" t="str">
        <f ca="1">IF(IDNMaps[[#This Row],[Name]]="","","("&amp;IDNMaps[[#This Row],[Type]]&amp;") "&amp;IDNMaps[[#This Row],[Name]])</f>
        <v>(Relation) Pricelist/Contents</v>
      </c>
      <c r="P129" s="6">
        <f ca="1">IFERROR(VLOOKUP(IDNMaps[[#This Row],[Primary]],INDIRECT(VLOOKUP(IDNMaps[[#This Row],[Type]],RecordCount[],2,0)),VLOOKUP(IDNMaps[[#This Row],[Type]],RecordCount[],8,0),0),"")</f>
        <v>2109142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43</v>
      </c>
      <c r="M130" s="6" t="str">
        <f ca="1">IFERROR(VLOOKUP(IDNMaps[[#This Row],[Type]],RecordCount[],6,0)&amp;"-"&amp;IDNMaps[[#This Row],[Type Count]],"")</f>
        <v>Resource Relations-43</v>
      </c>
      <c r="N130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30" s="6" t="str">
        <f ca="1">IF(IDNMaps[[#This Row],[Name]]="","","("&amp;IDNMaps[[#This Row],[Type]]&amp;") "&amp;IDNMaps[[#This Row],[Name]])</f>
        <v>(Relation) PricelistContent/Pricelist</v>
      </c>
      <c r="P130" s="6">
        <f ca="1">IFERROR(VLOOKUP(IDNMaps[[#This Row],[Primary]],INDIRECT(VLOOKUP(IDNMaps[[#This Row],[Type]],RecordCount[],2,0)),VLOOKUP(IDNMaps[[#This Row],[Type]],RecordCount[],8,0),0),"")</f>
        <v>2109143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44</v>
      </c>
      <c r="M131" s="6" t="str">
        <f ca="1">IFERROR(VLOOKUP(IDNMaps[[#This Row],[Type]],RecordCount[],6,0)&amp;"-"&amp;IDNMaps[[#This Row],[Type Count]],"")</f>
        <v>Resource Relations-44</v>
      </c>
      <c r="N131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31" s="6" t="str">
        <f ca="1">IF(IDNMaps[[#This Row],[Name]]="","","("&amp;IDNMaps[[#This Row],[Type]]&amp;") "&amp;IDNMaps[[#This Row],[Name]])</f>
        <v>(Relation) PricelistContent/ItemService</v>
      </c>
      <c r="P131" s="6">
        <f ca="1">IFERROR(VLOOKUP(IDNMaps[[#This Row],[Primary]],INDIRECT(VLOOKUP(IDNMaps[[#This Row],[Type]],RecordCount[],2,0)),VLOOKUP(IDNMaps[[#This Row],[Type]],RecordCount[],8,0),0),"")</f>
        <v>2109144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45</v>
      </c>
      <c r="M132" s="6" t="str">
        <f ca="1">IFERROR(VLOOKUP(IDNMaps[[#This Row],[Type]],RecordCount[],6,0)&amp;"-"&amp;IDNMaps[[#This Row],[Type Count]],"")</f>
        <v>Resource Relations-45</v>
      </c>
      <c r="N132" s="6" t="str">
        <f ca="1">IFERROR(VLOOKUP(IDNMaps[[#This Row],[Primary]],INDIRECT(VLOOKUP(IDNMaps[[#This Row],[Type]],RecordCount[],2,0)),VLOOKUP(IDNMaps[[#This Row],[Type]],RecordCount[],7,0),0),"")</f>
        <v>IdentityLabel/Item</v>
      </c>
      <c r="O132" s="6" t="str">
        <f ca="1">IF(IDNMaps[[#This Row],[Name]]="","","("&amp;IDNMaps[[#This Row],[Type]]&amp;") "&amp;IDNMaps[[#This Row],[Name]])</f>
        <v>(Relation) IdentityLabel/Item</v>
      </c>
      <c r="P132" s="6">
        <f ca="1">IFERROR(VLOOKUP(IDNMaps[[#This Row],[Primary]],INDIRECT(VLOOKUP(IDNMaps[[#This Row],[Type]],RecordCount[],2,0)),VLOOKUP(IDNMaps[[#This Row],[Type]],RecordCount[],8,0),0),"")</f>
        <v>2109145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46</v>
      </c>
      <c r="M133" s="6" t="str">
        <f ca="1">IFERROR(VLOOKUP(IDNMaps[[#This Row],[Type]],RecordCount[],6,0)&amp;"-"&amp;IDNMaps[[#This Row],[Type Count]],"")</f>
        <v>Resource Relations-46</v>
      </c>
      <c r="N133" s="6" t="str">
        <f ca="1">IFERROR(VLOOKUP(IDNMaps[[#This Row],[Primary]],INDIRECT(VLOOKUP(IDNMaps[[#This Row],[Type]],RecordCount[],2,0)),VLOOKUP(IDNMaps[[#This Row],[Type]],RecordCount[],7,0),0),"")</f>
        <v>Order/Items</v>
      </c>
      <c r="O133" s="6" t="str">
        <f ca="1">IF(IDNMaps[[#This Row],[Name]]="","","("&amp;IDNMaps[[#This Row],[Type]]&amp;") "&amp;IDNMaps[[#This Row],[Name]])</f>
        <v>(Relation) Order/Items</v>
      </c>
      <c r="P133" s="6">
        <f ca="1">IFERROR(VLOOKUP(IDNMaps[[#This Row],[Primary]],INDIRECT(VLOOKUP(IDNMaps[[#This Row],[Type]],RecordCount[],2,0)),VLOOKUP(IDNMaps[[#This Row],[Type]],RecordCount[],8,0),0),"")</f>
        <v>2109146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47</v>
      </c>
      <c r="M134" s="6" t="str">
        <f ca="1">IFERROR(VLOOKUP(IDNMaps[[#This Row],[Type]],RecordCount[],6,0)&amp;"-"&amp;IDNMaps[[#This Row],[Type Count]],"")</f>
        <v>Resource Relations-47</v>
      </c>
      <c r="N134" s="6" t="str">
        <f ca="1">IFERROR(VLOOKUP(IDNMaps[[#This Row],[Primary]],INDIRECT(VLOOKUP(IDNMaps[[#This Row],[Type]],RecordCount[],2,0)),VLOOKUP(IDNMaps[[#This Row],[Type]],RecordCount[],7,0),0),"")</f>
        <v>Order/Customer</v>
      </c>
      <c r="O134" s="6" t="str">
        <f ca="1">IF(IDNMaps[[#This Row],[Name]]="","","("&amp;IDNMaps[[#This Row],[Type]]&amp;") "&amp;IDNMaps[[#This Row],[Name]])</f>
        <v>(Relation) Order/Customer</v>
      </c>
      <c r="P134" s="6">
        <f ca="1">IFERROR(VLOOKUP(IDNMaps[[#This Row],[Primary]],INDIRECT(VLOOKUP(IDNMaps[[#This Row],[Type]],RecordCount[],2,0)),VLOOKUP(IDNMaps[[#This Row],[Type]],RecordCount[],8,0),0),"")</f>
        <v>2109147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48</v>
      </c>
      <c r="M135" s="6" t="str">
        <f ca="1">IFERROR(VLOOKUP(IDNMaps[[#This Row],[Type]],RecordCount[],6,0)&amp;"-"&amp;IDNMaps[[#This Row],[Type Count]],"")</f>
        <v>Resource Relations-48</v>
      </c>
      <c r="N135" s="6" t="str">
        <f ca="1">IFERROR(VLOOKUP(IDNMaps[[#This Row],[Primary]],INDIRECT(VLOOKUP(IDNMaps[[#This Row],[Type]],RecordCount[],2,0)),VLOOKUP(IDNMaps[[#This Row],[Type]],RecordCount[],7,0),0),"")</f>
        <v>Order/Hub</v>
      </c>
      <c r="O135" s="6" t="str">
        <f ca="1">IF(IDNMaps[[#This Row],[Name]]="","","("&amp;IDNMaps[[#This Row],[Type]]&amp;") "&amp;IDNMaps[[#This Row],[Name]])</f>
        <v>(Relation) Order/Hub</v>
      </c>
      <c r="P135" s="6">
        <f ca="1">IFERROR(VLOOKUP(IDNMaps[[#This Row],[Primary]],INDIRECT(VLOOKUP(IDNMaps[[#This Row],[Type]],RecordCount[],2,0)),VLOOKUP(IDNMaps[[#This Row],[Type]],RecordCount[],8,0),0),"")</f>
        <v>2109148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49</v>
      </c>
      <c r="M136" s="6" t="str">
        <f ca="1">IFERROR(VLOOKUP(IDNMaps[[#This Row],[Type]],RecordCount[],6,0)&amp;"-"&amp;IDNMaps[[#This Row],[Type Count]],"")</f>
        <v>Resource Relations-49</v>
      </c>
      <c r="N136" s="6" t="str">
        <f ca="1">IFERROR(VLOOKUP(IDNMaps[[#This Row],[Primary]],INDIRECT(VLOOKUP(IDNMaps[[#This Row],[Type]],RecordCount[],2,0)),VLOOKUP(IDNMaps[[#This Row],[Type]],RecordCount[],7,0),0),"")</f>
        <v>Order/Invoice</v>
      </c>
      <c r="O136" s="6" t="str">
        <f ca="1">IF(IDNMaps[[#This Row],[Name]]="","","("&amp;IDNMaps[[#This Row],[Type]]&amp;") "&amp;IDNMaps[[#This Row],[Name]])</f>
        <v>(Relation) Order/Invoice</v>
      </c>
      <c r="P136" s="6">
        <f ca="1">IFERROR(VLOOKUP(IDNMaps[[#This Row],[Primary]],INDIRECT(VLOOKUP(IDNMaps[[#This Row],[Type]],RecordCount[],2,0)),VLOOKUP(IDNMaps[[#This Row],[Type]],RecordCount[],8,0),0),"")</f>
        <v>2109149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50</v>
      </c>
      <c r="M137" s="6" t="str">
        <f ca="1">IFERROR(VLOOKUP(IDNMaps[[#This Row],[Type]],RecordCount[],6,0)&amp;"-"&amp;IDNMaps[[#This Row],[Type Count]],"")</f>
        <v>Resource Relations-50</v>
      </c>
      <c r="N137" s="6" t="str">
        <f ca="1">IFERROR(VLOOKUP(IDNMaps[[#This Row],[Primary]],INDIRECT(VLOOKUP(IDNMaps[[#This Row],[Type]],RecordCount[],2,0)),VLOOKUP(IDNMaps[[#This Row],[Type]],RecordCount[],7,0),0),"")</f>
        <v>Order/Deliveries</v>
      </c>
      <c r="O137" s="6" t="str">
        <f ca="1">IF(IDNMaps[[#This Row],[Name]]="","","("&amp;IDNMaps[[#This Row],[Type]]&amp;") "&amp;IDNMaps[[#This Row],[Name]])</f>
        <v>(Relation) Order/Deliveries</v>
      </c>
      <c r="P137" s="6">
        <f ca="1">IFERROR(VLOOKUP(IDNMaps[[#This Row],[Primary]],INDIRECT(VLOOKUP(IDNMaps[[#This Row],[Type]],RecordCount[],2,0)),VLOOKUP(IDNMaps[[#This Row],[Type]],RecordCount[],8,0),0),"")</f>
        <v>2109150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51</v>
      </c>
      <c r="M138" s="6" t="str">
        <f ca="1">IFERROR(VLOOKUP(IDNMaps[[#This Row],[Type]],RecordCount[],6,0)&amp;"-"&amp;IDNMaps[[#This Row],[Type Count]],"")</f>
        <v>Resource Relations-51</v>
      </c>
      <c r="N138" s="6" t="str">
        <f ca="1">IFERROR(VLOOKUP(IDNMaps[[#This Row],[Primary]],INDIRECT(VLOOKUP(IDNMaps[[#This Row],[Type]],RecordCount[],2,0)),VLOOKUP(IDNMaps[[#This Row],[Type]],RecordCount[],7,0),0),"")</f>
        <v>Order/Receipts</v>
      </c>
      <c r="O138" s="6" t="str">
        <f ca="1">IF(IDNMaps[[#This Row],[Name]]="","","("&amp;IDNMaps[[#This Row],[Type]]&amp;") "&amp;IDNMaps[[#This Row],[Name]])</f>
        <v>(Relation) Order/Receipts</v>
      </c>
      <c r="P138" s="6">
        <f ca="1">IFERROR(VLOOKUP(IDNMaps[[#This Row],[Primary]],INDIRECT(VLOOKUP(IDNMaps[[#This Row],[Type]],RecordCount[],2,0)),VLOOKUP(IDNMaps[[#This Row],[Type]],RecordCount[],8,0),0),"")</f>
        <v>2109151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52</v>
      </c>
      <c r="M139" s="6" t="str">
        <f ca="1">IFERROR(VLOOKUP(IDNMaps[[#This Row],[Type]],RecordCount[],6,0)&amp;"-"&amp;IDNMaps[[#This Row],[Type Count]],"")</f>
        <v>Resource Relations-52</v>
      </c>
      <c r="N139" s="6" t="str">
        <f ca="1">IFERROR(VLOOKUP(IDNMaps[[#This Row],[Primary]],INDIRECT(VLOOKUP(IDNMaps[[#This Row],[Type]],RecordCount[],2,0)),VLOOKUP(IDNMaps[[#This Row],[Type]],RecordCount[],7,0),0),"")</f>
        <v>OrderItem/Order</v>
      </c>
      <c r="O139" s="6" t="str">
        <f ca="1">IF(IDNMaps[[#This Row],[Name]]="","","("&amp;IDNMaps[[#This Row],[Type]]&amp;") "&amp;IDNMaps[[#This Row],[Name]])</f>
        <v>(Relation) OrderItem/Order</v>
      </c>
      <c r="P139" s="6">
        <f ca="1">IFERROR(VLOOKUP(IDNMaps[[#This Row],[Primary]],INDIRECT(VLOOKUP(IDNMaps[[#This Row],[Type]],RecordCount[],2,0)),VLOOKUP(IDNMaps[[#This Row],[Type]],RecordCount[],8,0),0),"")</f>
        <v>2109152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53</v>
      </c>
      <c r="M140" s="6" t="str">
        <f ca="1">IFERROR(VLOOKUP(IDNMaps[[#This Row],[Type]],RecordCount[],6,0)&amp;"-"&amp;IDNMaps[[#This Row],[Type Count]],"")</f>
        <v>Resource Relations-53</v>
      </c>
      <c r="N140" s="6" t="str">
        <f ca="1">IFERROR(VLOOKUP(IDNMaps[[#This Row],[Primary]],INDIRECT(VLOOKUP(IDNMaps[[#This Row],[Type]],RecordCount[],2,0)),VLOOKUP(IDNMaps[[#This Row],[Type]],RecordCount[],7,0),0),"")</f>
        <v>OrderItem/Item</v>
      </c>
      <c r="O140" s="6" t="str">
        <f ca="1">IF(IDNMaps[[#This Row],[Name]]="","","("&amp;IDNMaps[[#This Row],[Type]]&amp;") "&amp;IDNMaps[[#This Row],[Name]])</f>
        <v>(Relation) OrderItem/Item</v>
      </c>
      <c r="P140" s="6">
        <f ca="1">IFERROR(VLOOKUP(IDNMaps[[#This Row],[Primary]],INDIRECT(VLOOKUP(IDNMaps[[#This Row],[Type]],RecordCount[],2,0)),VLOOKUP(IDNMaps[[#This Row],[Type]],RecordCount[],8,0),0),"")</f>
        <v>2109153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54</v>
      </c>
      <c r="M141" s="6" t="str">
        <f ca="1">IFERROR(VLOOKUP(IDNMaps[[#This Row],[Type]],RecordCount[],6,0)&amp;"-"&amp;IDNMaps[[#This Row],[Type Count]],"")</f>
        <v>Resource Relations-54</v>
      </c>
      <c r="N141" s="6" t="str">
        <f ca="1">IFERROR(VLOOKUP(IDNMaps[[#This Row],[Primary]],INDIRECT(VLOOKUP(IDNMaps[[#This Row],[Type]],RecordCount[],2,0)),VLOOKUP(IDNMaps[[#This Row],[Type]],RecordCount[],7,0),0),"")</f>
        <v>OrderItem/Label</v>
      </c>
      <c r="O141" s="6" t="str">
        <f ca="1">IF(IDNMaps[[#This Row],[Name]]="","","("&amp;IDNMaps[[#This Row],[Type]]&amp;") "&amp;IDNMaps[[#This Row],[Name]])</f>
        <v>(Relation) OrderItem/Label</v>
      </c>
      <c r="P141" s="6">
        <f ca="1">IFERROR(VLOOKUP(IDNMaps[[#This Row],[Primary]],INDIRECT(VLOOKUP(IDNMaps[[#This Row],[Type]],RecordCount[],2,0)),VLOOKUP(IDNMaps[[#This Row],[Type]],RecordCount[],8,0),0),"")</f>
        <v>2109154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55</v>
      </c>
      <c r="M142" s="6" t="str">
        <f ca="1">IFERROR(VLOOKUP(IDNMaps[[#This Row],[Type]],RecordCount[],6,0)&amp;"-"&amp;IDNMaps[[#This Row],[Type Count]],"")</f>
        <v>Resource Relations-55</v>
      </c>
      <c r="N142" s="6" t="str">
        <f ca="1">IFERROR(VLOOKUP(IDNMaps[[#This Row],[Primary]],INDIRECT(VLOOKUP(IDNMaps[[#This Row],[Type]],RecordCount[],2,0)),VLOOKUP(IDNMaps[[#This Row],[Type]],RecordCount[],7,0),0),"")</f>
        <v>OrderItem/Shelf</v>
      </c>
      <c r="O142" s="6" t="str">
        <f ca="1">IF(IDNMaps[[#This Row],[Name]]="","","("&amp;IDNMaps[[#This Row],[Type]]&amp;") "&amp;IDNMaps[[#This Row],[Name]])</f>
        <v>(Relation) OrderItem/Shelf</v>
      </c>
      <c r="P142" s="6">
        <f ca="1">IFERROR(VLOOKUP(IDNMaps[[#This Row],[Primary]],INDIRECT(VLOOKUP(IDNMaps[[#This Row],[Type]],RecordCount[],2,0)),VLOOKUP(IDNMaps[[#This Row],[Type]],RecordCount[],8,0),0),"")</f>
        <v>2109155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56</v>
      </c>
      <c r="M143" s="6" t="str">
        <f ca="1">IFERROR(VLOOKUP(IDNMaps[[#This Row],[Type]],RecordCount[],6,0)&amp;"-"&amp;IDNMaps[[#This Row],[Type Count]],"")</f>
        <v>Resource Relations-56</v>
      </c>
      <c r="N143" s="6" t="str">
        <f ca="1">IFERROR(VLOOKUP(IDNMaps[[#This Row],[Primary]],INDIRECT(VLOOKUP(IDNMaps[[#This Row],[Type]],RecordCount[],2,0)),VLOOKUP(IDNMaps[[#This Row],[Type]],RecordCount[],7,0),0),"")</f>
        <v>OrderItem/OIS</v>
      </c>
      <c r="O143" s="6" t="str">
        <f ca="1">IF(IDNMaps[[#This Row],[Name]]="","","("&amp;IDNMaps[[#This Row],[Type]]&amp;") "&amp;IDNMaps[[#This Row],[Name]])</f>
        <v>(Relation) OrderItem/OIS</v>
      </c>
      <c r="P143" s="6">
        <f ca="1">IFERROR(VLOOKUP(IDNMaps[[#This Row],[Primary]],INDIRECT(VLOOKUP(IDNMaps[[#This Row],[Type]],RecordCount[],2,0)),VLOOKUP(IDNMaps[[#This Row],[Type]],RecordCount[],8,0),0),"")</f>
        <v>2109156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57</v>
      </c>
      <c r="M144" s="6" t="str">
        <f ca="1">IFERROR(VLOOKUP(IDNMaps[[#This Row],[Type]],RecordCount[],6,0)&amp;"-"&amp;IDNMaps[[#This Row],[Type Count]],"")</f>
        <v>Resource Relations-57</v>
      </c>
      <c r="N144" s="6" t="str">
        <f ca="1">IFERROR(VLOOKUP(IDNMaps[[#This Row],[Primary]],INDIRECT(VLOOKUP(IDNMaps[[#This Row],[Type]],RecordCount[],2,0)),VLOOKUP(IDNMaps[[#This Row],[Type]],RecordCount[],7,0),0),"")</f>
        <v>OrderItem/Shifts</v>
      </c>
      <c r="O144" s="6" t="str">
        <f ca="1">IF(IDNMaps[[#This Row],[Name]]="","","("&amp;IDNMaps[[#This Row],[Type]]&amp;") "&amp;IDNMaps[[#This Row],[Name]])</f>
        <v>(Relation) OrderItem/Shifts</v>
      </c>
      <c r="P144" s="6">
        <f ca="1">IFERROR(VLOOKUP(IDNMaps[[#This Row],[Primary]],INDIRECT(VLOOKUP(IDNMaps[[#This Row],[Type]],RecordCount[],2,0)),VLOOKUP(IDNMaps[[#This Row],[Type]],RecordCount[],8,0),0),"")</f>
        <v>2109157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58</v>
      </c>
      <c r="M145" s="6" t="str">
        <f ca="1">IFERROR(VLOOKUP(IDNMaps[[#This Row],[Type]],RecordCount[],6,0)&amp;"-"&amp;IDNMaps[[#This Row],[Type Count]],"")</f>
        <v>Resource Relations-58</v>
      </c>
      <c r="N145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45" s="6" t="str">
        <f ca="1">IF(IDNMaps[[#This Row],[Name]]="","","("&amp;IDNMaps[[#This Row],[Type]]&amp;") "&amp;IDNMaps[[#This Row],[Name]])</f>
        <v>(Relation) OrderItemService/OrderItem</v>
      </c>
      <c r="P145" s="6">
        <f ca="1">IFERROR(VLOOKUP(IDNMaps[[#This Row],[Primary]],INDIRECT(VLOOKUP(IDNMaps[[#This Row],[Type]],RecordCount[],2,0)),VLOOKUP(IDNMaps[[#This Row],[Type]],RecordCount[],8,0),0),"")</f>
        <v>2109158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59</v>
      </c>
      <c r="M146" s="6" t="str">
        <f ca="1">IFERROR(VLOOKUP(IDNMaps[[#This Row],[Type]],RecordCount[],6,0)&amp;"-"&amp;IDNMaps[[#This Row],[Type Count]],"")</f>
        <v>Resource Relations-59</v>
      </c>
      <c r="N146" s="6" t="str">
        <f ca="1">IFERROR(VLOOKUP(IDNMaps[[#This Row],[Primary]],INDIRECT(VLOOKUP(IDNMaps[[#This Row],[Type]],RecordCount[],2,0)),VLOOKUP(IDNMaps[[#This Row],[Type]],RecordCount[],7,0),0),"")</f>
        <v>OrderItemService/Service</v>
      </c>
      <c r="O146" s="6" t="str">
        <f ca="1">IF(IDNMaps[[#This Row],[Name]]="","","("&amp;IDNMaps[[#This Row],[Type]]&amp;") "&amp;IDNMaps[[#This Row],[Name]])</f>
        <v>(Relation) OrderItemService/Service</v>
      </c>
      <c r="P146" s="6">
        <f ca="1">IFERROR(VLOOKUP(IDNMaps[[#This Row],[Primary]],INDIRECT(VLOOKUP(IDNMaps[[#This Row],[Type]],RecordCount[],2,0)),VLOOKUP(IDNMaps[[#This Row],[Type]],RecordCount[],8,0),0),"")</f>
        <v>2109159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60</v>
      </c>
      <c r="M147" s="6" t="str">
        <f ca="1">IFERROR(VLOOKUP(IDNMaps[[#This Row],[Type]],RecordCount[],6,0)&amp;"-"&amp;IDNMaps[[#This Row],[Type Count]],"")</f>
        <v>Resource Relations-60</v>
      </c>
      <c r="N147" s="6" t="str">
        <f ca="1">IFERROR(VLOOKUP(IDNMaps[[#This Row],[Primary]],INDIRECT(VLOOKUP(IDNMaps[[#This Row],[Type]],RecordCount[],2,0)),VLOOKUP(IDNMaps[[#This Row],[Type]],RecordCount[],7,0),0),"")</f>
        <v>OrderItemService/Assigned</v>
      </c>
      <c r="O147" s="6" t="str">
        <f ca="1">IF(IDNMaps[[#This Row],[Name]]="","","("&amp;IDNMaps[[#This Row],[Type]]&amp;") "&amp;IDNMaps[[#This Row],[Name]])</f>
        <v>(Relation) OrderItemService/Assigned</v>
      </c>
      <c r="P147" s="6">
        <f ca="1">IFERROR(VLOOKUP(IDNMaps[[#This Row],[Primary]],INDIRECT(VLOOKUP(IDNMaps[[#This Row],[Type]],RecordCount[],2,0)),VLOOKUP(IDNMaps[[#This Row],[Type]],RecordCount[],8,0),0),"")</f>
        <v>2109160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61</v>
      </c>
      <c r="M148" s="6" t="str">
        <f ca="1">IFERROR(VLOOKUP(IDNMaps[[#This Row],[Type]],RecordCount[],6,0)&amp;"-"&amp;IDNMaps[[#This Row],[Type Count]],"")</f>
        <v>Resource Relations-61</v>
      </c>
      <c r="N148" s="6" t="str">
        <f ca="1">IFERROR(VLOOKUP(IDNMaps[[#This Row],[Primary]],INDIRECT(VLOOKUP(IDNMaps[[#This Row],[Type]],RecordCount[],2,0)),VLOOKUP(IDNMaps[[#This Row],[Type]],RecordCount[],7,0),0),"")</f>
        <v>Invoice/Order</v>
      </c>
      <c r="O148" s="6" t="str">
        <f ca="1">IF(IDNMaps[[#This Row],[Name]]="","","("&amp;IDNMaps[[#This Row],[Type]]&amp;") "&amp;IDNMaps[[#This Row],[Name]])</f>
        <v>(Relation) Invoice/Order</v>
      </c>
      <c r="P148" s="6">
        <f ca="1">IFERROR(VLOOKUP(IDNMaps[[#This Row],[Primary]],INDIRECT(VLOOKUP(IDNMaps[[#This Row],[Type]],RecordCount[],2,0)),VLOOKUP(IDNMaps[[#This Row],[Type]],RecordCount[],8,0),0),"")</f>
        <v>2109161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62</v>
      </c>
      <c r="M149" s="6" t="str">
        <f ca="1">IFERROR(VLOOKUP(IDNMaps[[#This Row],[Type]],RecordCount[],6,0)&amp;"-"&amp;IDNMaps[[#This Row],[Type Count]],"")</f>
        <v>Resource Relations-62</v>
      </c>
      <c r="N149" s="6" t="str">
        <f ca="1">IFERROR(VLOOKUP(IDNMaps[[#This Row],[Primary]],INDIRECT(VLOOKUP(IDNMaps[[#This Row],[Type]],RecordCount[],2,0)),VLOOKUP(IDNMaps[[#This Row],[Type]],RecordCount[],7,0),0),"")</f>
        <v>Invoice/Customer</v>
      </c>
      <c r="O149" s="6" t="str">
        <f ca="1">IF(IDNMaps[[#This Row],[Name]]="","","("&amp;IDNMaps[[#This Row],[Type]]&amp;") "&amp;IDNMaps[[#This Row],[Name]])</f>
        <v>(Relation) Invoice/Customer</v>
      </c>
      <c r="P149" s="6">
        <f ca="1">IFERROR(VLOOKUP(IDNMaps[[#This Row],[Primary]],INDIRECT(VLOOKUP(IDNMaps[[#This Row],[Type]],RecordCount[],2,0)),VLOOKUP(IDNMaps[[#This Row],[Type]],RecordCount[],8,0),0),"")</f>
        <v>2109162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63</v>
      </c>
      <c r="M150" s="6" t="str">
        <f ca="1">IFERROR(VLOOKUP(IDNMaps[[#This Row],[Type]],RecordCount[],6,0)&amp;"-"&amp;IDNMaps[[#This Row],[Type Count]],"")</f>
        <v>Resource Relations-63</v>
      </c>
      <c r="N150" s="6" t="str">
        <f ca="1">IFERROR(VLOOKUP(IDNMaps[[#This Row],[Primary]],INDIRECT(VLOOKUP(IDNMaps[[#This Row],[Type]],RecordCount[],2,0)),VLOOKUP(IDNMaps[[#This Row],[Type]],RecordCount[],7,0),0),"")</f>
        <v>Invoice/Items</v>
      </c>
      <c r="O150" s="6" t="str">
        <f ca="1">IF(IDNMaps[[#This Row],[Name]]="","","("&amp;IDNMaps[[#This Row],[Type]]&amp;") "&amp;IDNMaps[[#This Row],[Name]])</f>
        <v>(Relation) Invoice/Items</v>
      </c>
      <c r="P150" s="6">
        <f ca="1">IFERROR(VLOOKUP(IDNMaps[[#This Row],[Primary]],INDIRECT(VLOOKUP(IDNMaps[[#This Row],[Type]],RecordCount[],2,0)),VLOOKUP(IDNMaps[[#This Row],[Type]],RecordCount[],8,0),0),"")</f>
        <v>2109163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64</v>
      </c>
      <c r="M151" s="6" t="str">
        <f ca="1">IFERROR(VLOOKUP(IDNMaps[[#This Row],[Type]],RecordCount[],6,0)&amp;"-"&amp;IDNMaps[[#This Row],[Type Count]],"")</f>
        <v>Resource Relations-64</v>
      </c>
      <c r="N151" s="6" t="str">
        <f ca="1">IFERROR(VLOOKUP(IDNMaps[[#This Row],[Primary]],INDIRECT(VLOOKUP(IDNMaps[[#This Row],[Type]],RecordCount[],2,0)),VLOOKUP(IDNMaps[[#This Row],[Type]],RecordCount[],7,0),0),"")</f>
        <v>Invoice/Receipts</v>
      </c>
      <c r="O151" s="6" t="str">
        <f ca="1">IF(IDNMaps[[#This Row],[Name]]="","","("&amp;IDNMaps[[#This Row],[Type]]&amp;") "&amp;IDNMaps[[#This Row],[Name]])</f>
        <v>(Relation) Invoice/Receipts</v>
      </c>
      <c r="P151" s="6">
        <f ca="1">IFERROR(VLOOKUP(IDNMaps[[#This Row],[Primary]],INDIRECT(VLOOKUP(IDNMaps[[#This Row],[Type]],RecordCount[],2,0)),VLOOKUP(IDNMaps[[#This Row],[Type]],RecordCount[],8,0),0),"")</f>
        <v>2109164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65</v>
      </c>
      <c r="M152" s="6" t="str">
        <f ca="1">IFERROR(VLOOKUP(IDNMaps[[#This Row],[Type]],RecordCount[],6,0)&amp;"-"&amp;IDNMaps[[#This Row],[Type Count]],"")</f>
        <v>Resource Relations-65</v>
      </c>
      <c r="N152" s="6" t="str">
        <f ca="1">IFERROR(VLOOKUP(IDNMaps[[#This Row],[Primary]],INDIRECT(VLOOKUP(IDNMaps[[#This Row],[Type]],RecordCount[],2,0)),VLOOKUP(IDNMaps[[#This Row],[Type]],RecordCount[],7,0),0),"")</f>
        <v>InvoiceItem/Invoice</v>
      </c>
      <c r="O152" s="6" t="str">
        <f ca="1">IF(IDNMaps[[#This Row],[Name]]="","","("&amp;IDNMaps[[#This Row],[Type]]&amp;") "&amp;IDNMaps[[#This Row],[Name]])</f>
        <v>(Relation) InvoiceItem/Invoice</v>
      </c>
      <c r="P152" s="6">
        <f ca="1">IFERROR(VLOOKUP(IDNMaps[[#This Row],[Primary]],INDIRECT(VLOOKUP(IDNMaps[[#This Row],[Type]],RecordCount[],2,0)),VLOOKUP(IDNMaps[[#This Row],[Type]],RecordCount[],8,0),0),"")</f>
        <v>2109165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66</v>
      </c>
      <c r="M153" s="6" t="str">
        <f ca="1">IFERROR(VLOOKUP(IDNMaps[[#This Row],[Type]],RecordCount[],6,0)&amp;"-"&amp;IDNMaps[[#This Row],[Type Count]],"")</f>
        <v>Resource Relations-66</v>
      </c>
      <c r="N153" s="6" t="str">
        <f ca="1">IFERROR(VLOOKUP(IDNMaps[[#This Row],[Primary]],INDIRECT(VLOOKUP(IDNMaps[[#This Row],[Type]],RecordCount[],2,0)),VLOOKUP(IDNMaps[[#This Row],[Type]],RecordCount[],7,0),0),"")</f>
        <v>InvoiceItem/Item</v>
      </c>
      <c r="O153" s="6" t="str">
        <f ca="1">IF(IDNMaps[[#This Row],[Name]]="","","("&amp;IDNMaps[[#This Row],[Type]]&amp;") "&amp;IDNMaps[[#This Row],[Name]])</f>
        <v>(Relation) InvoiceItem/Item</v>
      </c>
      <c r="P153" s="6">
        <f ca="1">IFERROR(VLOOKUP(IDNMaps[[#This Row],[Primary]],INDIRECT(VLOOKUP(IDNMaps[[#This Row],[Type]],RecordCount[],2,0)),VLOOKUP(IDNMaps[[#This Row],[Type]],RecordCount[],8,0),0),"")</f>
        <v>2109166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67</v>
      </c>
      <c r="M154" s="6" t="str">
        <f ca="1">IFERROR(VLOOKUP(IDNMaps[[#This Row],[Type]],RecordCount[],6,0)&amp;"-"&amp;IDNMaps[[#This Row],[Type Count]],"")</f>
        <v>Resource Relations-67</v>
      </c>
      <c r="N154" s="6" t="str">
        <f ca="1">IFERROR(VLOOKUP(IDNMaps[[#This Row],[Primary]],INDIRECT(VLOOKUP(IDNMaps[[#This Row],[Type]],RecordCount[],2,0)),VLOOKUP(IDNMaps[[#This Row],[Type]],RecordCount[],7,0),0),"")</f>
        <v>InvoiceItem/Service</v>
      </c>
      <c r="O154" s="6" t="str">
        <f ca="1">IF(IDNMaps[[#This Row],[Name]]="","","("&amp;IDNMaps[[#This Row],[Type]]&amp;") "&amp;IDNMaps[[#This Row],[Name]])</f>
        <v>(Relation) InvoiceItem/Service</v>
      </c>
      <c r="P154" s="6">
        <f ca="1">IFERROR(VLOOKUP(IDNMaps[[#This Row],[Primary]],INDIRECT(VLOOKUP(IDNMaps[[#This Row],[Type]],RecordCount[],2,0)),VLOOKUP(IDNMaps[[#This Row],[Type]],RecordCount[],8,0),0),"")</f>
        <v>2109167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68</v>
      </c>
      <c r="M155" s="6" t="str">
        <f ca="1">IFERROR(VLOOKUP(IDNMaps[[#This Row],[Type]],RecordCount[],6,0)&amp;"-"&amp;IDNMaps[[#This Row],[Type Count]],"")</f>
        <v>Resource Relations-68</v>
      </c>
      <c r="N155" s="6" t="str">
        <f ca="1">IFERROR(VLOOKUP(IDNMaps[[#This Row],[Primary]],INDIRECT(VLOOKUP(IDNMaps[[#This Row],[Type]],RecordCount[],2,0)),VLOOKUP(IDNMaps[[#This Row],[Type]],RecordCount[],7,0),0),"")</f>
        <v>OrderItemServiceUser/OIS</v>
      </c>
      <c r="O155" s="6" t="str">
        <f ca="1">IF(IDNMaps[[#This Row],[Name]]="","","("&amp;IDNMaps[[#This Row],[Type]]&amp;") "&amp;IDNMaps[[#This Row],[Name]])</f>
        <v>(Relation) OrderItemServiceUser/OIS</v>
      </c>
      <c r="P155" s="6">
        <f ca="1">IFERROR(VLOOKUP(IDNMaps[[#This Row],[Primary]],INDIRECT(VLOOKUP(IDNMaps[[#This Row],[Type]],RecordCount[],2,0)),VLOOKUP(IDNMaps[[#This Row],[Type]],RecordCount[],8,0),0),"")</f>
        <v>2109168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69</v>
      </c>
      <c r="M156" s="6" t="str">
        <f ca="1">IFERROR(VLOOKUP(IDNMaps[[#This Row],[Type]],RecordCount[],6,0)&amp;"-"&amp;IDNMaps[[#This Row],[Type Count]],"")</f>
        <v>Resource Relations-69</v>
      </c>
      <c r="N156" s="6" t="str">
        <f ca="1">IFERROR(VLOOKUP(IDNMaps[[#This Row],[Primary]],INDIRECT(VLOOKUP(IDNMaps[[#This Row],[Type]],RecordCount[],2,0)),VLOOKUP(IDNMaps[[#This Row],[Type]],RecordCount[],7,0),0),"")</f>
        <v>OrderItemServiceUser/User</v>
      </c>
      <c r="O156" s="6" t="str">
        <f ca="1">IF(IDNMaps[[#This Row],[Name]]="","","("&amp;IDNMaps[[#This Row],[Type]]&amp;") "&amp;IDNMaps[[#This Row],[Name]])</f>
        <v>(Relation) OrderItemServiceUser/User</v>
      </c>
      <c r="P156" s="6">
        <f ca="1">IFERROR(VLOOKUP(IDNMaps[[#This Row],[Primary]],INDIRECT(VLOOKUP(IDNMaps[[#This Row],[Type]],RecordCount[],2,0)),VLOOKUP(IDNMaps[[#This Row],[Type]],RecordCount[],8,0),0),"")</f>
        <v>2109169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70</v>
      </c>
      <c r="M157" s="6" t="str">
        <f ca="1">IFERROR(VLOOKUP(IDNMaps[[#This Row],[Type]],RecordCount[],6,0)&amp;"-"&amp;IDNMaps[[#This Row],[Type Count]],"")</f>
        <v>Resource Relations-70</v>
      </c>
      <c r="N157" s="6" t="str">
        <f ca="1">IFERROR(VLOOKUP(IDNMaps[[#This Row],[Primary]],INDIRECT(VLOOKUP(IDNMaps[[#This Row],[Type]],RecordCount[],2,0)),VLOOKUP(IDNMaps[[#This Row],[Type]],RecordCount[],7,0),0),"")</f>
        <v>Receipt/Invoice</v>
      </c>
      <c r="O157" s="6" t="str">
        <f ca="1">IF(IDNMaps[[#This Row],[Name]]="","","("&amp;IDNMaps[[#This Row],[Type]]&amp;") "&amp;IDNMaps[[#This Row],[Name]])</f>
        <v>(Relation) Receipt/Invoice</v>
      </c>
      <c r="P157" s="6">
        <f ca="1">IFERROR(VLOOKUP(IDNMaps[[#This Row],[Primary]],INDIRECT(VLOOKUP(IDNMaps[[#This Row],[Type]],RecordCount[],2,0)),VLOOKUP(IDNMaps[[#This Row],[Type]],RecordCount[],8,0),0),"")</f>
        <v>2109170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71</v>
      </c>
      <c r="M158" s="6" t="str">
        <f ca="1">IFERROR(VLOOKUP(IDNMaps[[#This Row],[Type]],RecordCount[],6,0)&amp;"-"&amp;IDNMaps[[#This Row],[Type Count]],"")</f>
        <v>Resource Relations-71</v>
      </c>
      <c r="N158" s="6" t="str">
        <f ca="1">IFERROR(VLOOKUP(IDNMaps[[#This Row],[Primary]],INDIRECT(VLOOKUP(IDNMaps[[#This Row],[Type]],RecordCount[],2,0)),VLOOKUP(IDNMaps[[#This Row],[Type]],RecordCount[],7,0),0),"")</f>
        <v>Delivery/Order</v>
      </c>
      <c r="O158" s="6" t="str">
        <f ca="1">IF(IDNMaps[[#This Row],[Name]]="","","("&amp;IDNMaps[[#This Row],[Type]]&amp;") "&amp;IDNMaps[[#This Row],[Name]])</f>
        <v>(Relation) Delivery/Order</v>
      </c>
      <c r="P158" s="6">
        <f ca="1">IFERROR(VLOOKUP(IDNMaps[[#This Row],[Primary]],INDIRECT(VLOOKUP(IDNMaps[[#This Row],[Type]],RecordCount[],2,0)),VLOOKUP(IDNMaps[[#This Row],[Type]],RecordCount[],8,0),0),"")</f>
        <v>2109171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72</v>
      </c>
      <c r="M159" s="6" t="str">
        <f ca="1">IFERROR(VLOOKUP(IDNMaps[[#This Row],[Type]],RecordCount[],6,0)&amp;"-"&amp;IDNMaps[[#This Row],[Type Count]],"")</f>
        <v>Resource Relations-72</v>
      </c>
      <c r="N159" s="6" t="str">
        <f ca="1">IFERROR(VLOOKUP(IDNMaps[[#This Row],[Primary]],INDIRECT(VLOOKUP(IDNMaps[[#This Row],[Type]],RecordCount[],2,0)),VLOOKUP(IDNMaps[[#This Row],[Type]],RecordCount[],7,0),0),"")</f>
        <v>Delivery/Hub</v>
      </c>
      <c r="O159" s="6" t="str">
        <f ca="1">IF(IDNMaps[[#This Row],[Name]]="","","("&amp;IDNMaps[[#This Row],[Type]]&amp;") "&amp;IDNMaps[[#This Row],[Name]])</f>
        <v>(Relation) Delivery/Hub</v>
      </c>
      <c r="P159" s="6">
        <f ca="1">IFERROR(VLOOKUP(IDNMaps[[#This Row],[Primary]],INDIRECT(VLOOKUP(IDNMaps[[#This Row],[Type]],RecordCount[],2,0)),VLOOKUP(IDNMaps[[#This Row],[Type]],RecordCount[],8,0),0),"")</f>
        <v>2109172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0" s="6">
        <f ca="1">IF(IDNMaps[[#This Row],[Type]]="","",COUNTIF($K$1:IDNMaps[[#This Row],[Type]],IDNMaps[[#This Row],[Type]]))</f>
        <v>73</v>
      </c>
      <c r="M160" s="6" t="str">
        <f ca="1">IFERROR(VLOOKUP(IDNMaps[[#This Row],[Type]],RecordCount[],6,0)&amp;"-"&amp;IDNMaps[[#This Row],[Type Count]],"")</f>
        <v>Resource Relations-73</v>
      </c>
      <c r="N160" s="6" t="str">
        <f ca="1">IFERROR(VLOOKUP(IDNMaps[[#This Row],[Primary]],INDIRECT(VLOOKUP(IDNMaps[[#This Row],[Type]],RecordCount[],2,0)),VLOOKUP(IDNMaps[[#This Row],[Type]],RecordCount[],7,0),0),"")</f>
        <v>Delivery/Items</v>
      </c>
      <c r="O160" s="6" t="str">
        <f ca="1">IF(IDNMaps[[#This Row],[Name]]="","","("&amp;IDNMaps[[#This Row],[Type]]&amp;") "&amp;IDNMaps[[#This Row],[Name]])</f>
        <v>(Relation) Delivery/Items</v>
      </c>
      <c r="P160" s="6">
        <f ca="1">IFERROR(VLOOKUP(IDNMaps[[#This Row],[Primary]],INDIRECT(VLOOKUP(IDNMaps[[#This Row],[Type]],RecordCount[],2,0)),VLOOKUP(IDNMaps[[#This Row],[Type]],RecordCount[],8,0),0),"")</f>
        <v>2109173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1" s="6">
        <f ca="1">IF(IDNMaps[[#This Row],[Type]]="","",COUNTIF($K$1:IDNMaps[[#This Row],[Type]],IDNMaps[[#This Row],[Type]]))</f>
        <v>74</v>
      </c>
      <c r="M161" s="6" t="str">
        <f ca="1">IFERROR(VLOOKUP(IDNMaps[[#This Row],[Type]],RecordCount[],6,0)&amp;"-"&amp;IDNMaps[[#This Row],[Type Count]],"")</f>
        <v>Resource Relations-74</v>
      </c>
      <c r="N161" s="6" t="str">
        <f ca="1">IFERROR(VLOOKUP(IDNMaps[[#This Row],[Primary]],INDIRECT(VLOOKUP(IDNMaps[[#This Row],[Type]],RecordCount[],2,0)),VLOOKUP(IDNMaps[[#This Row],[Type]],RecordCount[],7,0),0),"")</f>
        <v>DeliveryItem/Delivery</v>
      </c>
      <c r="O161" s="6" t="str">
        <f ca="1">IF(IDNMaps[[#This Row],[Name]]="","","("&amp;IDNMaps[[#This Row],[Type]]&amp;") "&amp;IDNMaps[[#This Row],[Name]])</f>
        <v>(Relation) DeliveryItem/Delivery</v>
      </c>
      <c r="P161" s="6">
        <f ca="1">IFERROR(VLOOKUP(IDNMaps[[#This Row],[Primary]],INDIRECT(VLOOKUP(IDNMaps[[#This Row],[Type]],RecordCount[],2,0)),VLOOKUP(IDNMaps[[#This Row],[Type]],RecordCount[],8,0),0),"")</f>
        <v>2109174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2" s="6">
        <f ca="1">IF(IDNMaps[[#This Row],[Type]]="","",COUNTIF($K$1:IDNMaps[[#This Row],[Type]],IDNMaps[[#This Row],[Type]]))</f>
        <v>75</v>
      </c>
      <c r="M162" s="6" t="str">
        <f ca="1">IFERROR(VLOOKUP(IDNMaps[[#This Row],[Type]],RecordCount[],6,0)&amp;"-"&amp;IDNMaps[[#This Row],[Type Count]],"")</f>
        <v>Resource Relations-75</v>
      </c>
      <c r="N162" s="6" t="str">
        <f ca="1">IFERROR(VLOOKUP(IDNMaps[[#This Row],[Primary]],INDIRECT(VLOOKUP(IDNMaps[[#This Row],[Type]],RecordCount[],2,0)),VLOOKUP(IDNMaps[[#This Row],[Type]],RecordCount[],7,0),0),"")</f>
        <v>DeliveryItem/Item</v>
      </c>
      <c r="O162" s="6" t="str">
        <f ca="1">IF(IDNMaps[[#This Row],[Name]]="","","("&amp;IDNMaps[[#This Row],[Type]]&amp;") "&amp;IDNMaps[[#This Row],[Name]])</f>
        <v>(Relation) DeliveryItem/Item</v>
      </c>
      <c r="P162" s="6">
        <f ca="1">IFERROR(VLOOKUP(IDNMaps[[#This Row],[Primary]],INDIRECT(VLOOKUP(IDNMaps[[#This Row],[Type]],RecordCount[],2,0)),VLOOKUP(IDNMaps[[#This Row],[Type]],RecordCount[],8,0),0),"")</f>
        <v>2109175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3" s="6">
        <f ca="1">IF(IDNMaps[[#This Row],[Type]]="","",COUNTIF($K$1:IDNMaps[[#This Row],[Type]],IDNMaps[[#This Row],[Type]]))</f>
        <v>76</v>
      </c>
      <c r="M163" s="6" t="str">
        <f ca="1">IFERROR(VLOOKUP(IDNMaps[[#This Row],[Type]],RecordCount[],6,0)&amp;"-"&amp;IDNMaps[[#This Row],[Type Count]],"")</f>
        <v>Resource Relations-76</v>
      </c>
      <c r="N163" s="6" t="str">
        <f ca="1">IFERROR(VLOOKUP(IDNMaps[[#This Row],[Primary]],INDIRECT(VLOOKUP(IDNMaps[[#This Row],[Type]],RecordCount[],2,0)),VLOOKUP(IDNMaps[[#This Row],[Type]],RecordCount[],7,0),0),"")</f>
        <v>DeliveryItem/Shelf</v>
      </c>
      <c r="O163" s="6" t="str">
        <f ca="1">IF(IDNMaps[[#This Row],[Name]]="","","("&amp;IDNMaps[[#This Row],[Type]]&amp;") "&amp;IDNMaps[[#This Row],[Name]])</f>
        <v>(Relation) DeliveryItem/Shelf</v>
      </c>
      <c r="P163" s="6">
        <f ca="1">IFERROR(VLOOKUP(IDNMaps[[#This Row],[Primary]],INDIRECT(VLOOKUP(IDNMaps[[#This Row],[Type]],RecordCount[],2,0)),VLOOKUP(IDNMaps[[#This Row],[Type]],RecordCount[],8,0),0),"")</f>
        <v>2109176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4" s="6">
        <f ca="1">IF(IDNMaps[[#This Row],[Type]]="","",COUNTIF($K$1:IDNMaps[[#This Row],[Type]],IDNMaps[[#This Row],[Type]]))</f>
        <v>77</v>
      </c>
      <c r="M164" s="6" t="str">
        <f ca="1">IFERROR(VLOOKUP(IDNMaps[[#This Row],[Type]],RecordCount[],6,0)&amp;"-"&amp;IDNMaps[[#This Row],[Type Count]],"")</f>
        <v>Resource Relations-77</v>
      </c>
      <c r="N164" s="6" t="str">
        <f ca="1">IFERROR(VLOOKUP(IDNMaps[[#This Row],[Primary]],INDIRECT(VLOOKUP(IDNMaps[[#This Row],[Type]],RecordCount[],2,0)),VLOOKUP(IDNMaps[[#This Row],[Type]],RecordCount[],7,0),0),"")</f>
        <v>HubShift/Source</v>
      </c>
      <c r="O164" s="6" t="str">
        <f ca="1">IF(IDNMaps[[#This Row],[Name]]="","","("&amp;IDNMaps[[#This Row],[Type]]&amp;") "&amp;IDNMaps[[#This Row],[Name]])</f>
        <v>(Relation) HubShift/Source</v>
      </c>
      <c r="P164" s="6">
        <f ca="1">IFERROR(VLOOKUP(IDNMaps[[#This Row],[Primary]],INDIRECT(VLOOKUP(IDNMaps[[#This Row],[Type]],RecordCount[],2,0)),VLOOKUP(IDNMaps[[#This Row],[Type]],RecordCount[],8,0),0),"")</f>
        <v>2109177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5" s="6">
        <f ca="1">IF(IDNMaps[[#This Row],[Type]]="","",COUNTIF($K$1:IDNMaps[[#This Row],[Type]],IDNMaps[[#This Row],[Type]]))</f>
        <v>78</v>
      </c>
      <c r="M165" s="6" t="str">
        <f ca="1">IFERROR(VLOOKUP(IDNMaps[[#This Row],[Type]],RecordCount[],6,0)&amp;"-"&amp;IDNMaps[[#This Row],[Type Count]],"")</f>
        <v>Resource Relations-78</v>
      </c>
      <c r="N165" s="6" t="str">
        <f ca="1">IFERROR(VLOOKUP(IDNMaps[[#This Row],[Primary]],INDIRECT(VLOOKUP(IDNMaps[[#This Row],[Type]],RecordCount[],2,0)),VLOOKUP(IDNMaps[[#This Row],[Type]],RecordCount[],7,0),0),"")</f>
        <v>HubShift/Target</v>
      </c>
      <c r="O165" s="6" t="str">
        <f ca="1">IF(IDNMaps[[#This Row],[Name]]="","","("&amp;IDNMaps[[#This Row],[Type]]&amp;") "&amp;IDNMaps[[#This Row],[Name]])</f>
        <v>(Relation) HubShift/Target</v>
      </c>
      <c r="P165" s="6">
        <f ca="1">IFERROR(VLOOKUP(IDNMaps[[#This Row],[Primary]],INDIRECT(VLOOKUP(IDNMaps[[#This Row],[Type]],RecordCount[],2,0)),VLOOKUP(IDNMaps[[#This Row],[Type]],RecordCount[],8,0),0),"")</f>
        <v>2109178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6" s="6">
        <f ca="1">IF(IDNMaps[[#This Row],[Type]]="","",COUNTIF($K$1:IDNMaps[[#This Row],[Type]],IDNMaps[[#This Row],[Type]]))</f>
        <v>79</v>
      </c>
      <c r="M166" s="6" t="str">
        <f ca="1">IFERROR(VLOOKUP(IDNMaps[[#This Row],[Type]],RecordCount[],6,0)&amp;"-"&amp;IDNMaps[[#This Row],[Type Count]],"")</f>
        <v>Resource Relations-79</v>
      </c>
      <c r="N166" s="6" t="str">
        <f ca="1">IFERROR(VLOOKUP(IDNMaps[[#This Row],[Primary]],INDIRECT(VLOOKUP(IDNMaps[[#This Row],[Type]],RecordCount[],2,0)),VLOOKUP(IDNMaps[[#This Row],[Type]],RecordCount[],7,0),0),"")</f>
        <v>HubShift/Items</v>
      </c>
      <c r="O166" s="6" t="str">
        <f ca="1">IF(IDNMaps[[#This Row],[Name]]="","","("&amp;IDNMaps[[#This Row],[Type]]&amp;") "&amp;IDNMaps[[#This Row],[Name]])</f>
        <v>(Relation) HubShift/Items</v>
      </c>
      <c r="P166" s="6">
        <f ca="1">IFERROR(VLOOKUP(IDNMaps[[#This Row],[Primary]],INDIRECT(VLOOKUP(IDNMaps[[#This Row],[Type]],RecordCount[],2,0)),VLOOKUP(IDNMaps[[#This Row],[Type]],RecordCount[],8,0),0),"")</f>
        <v>2109179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7" s="6">
        <f ca="1">IF(IDNMaps[[#This Row],[Type]]="","",COUNTIF($K$1:IDNMaps[[#This Row],[Type]],IDNMaps[[#This Row],[Type]]))</f>
        <v>80</v>
      </c>
      <c r="M167" s="6" t="str">
        <f ca="1">IFERROR(VLOOKUP(IDNMaps[[#This Row],[Type]],RecordCount[],6,0)&amp;"-"&amp;IDNMaps[[#This Row],[Type Count]],"")</f>
        <v>Resource Relations-80</v>
      </c>
      <c r="N167" s="6" t="str">
        <f ca="1">IFERROR(VLOOKUP(IDNMaps[[#This Row],[Primary]],INDIRECT(VLOOKUP(IDNMaps[[#This Row],[Type]],RecordCount[],2,0)),VLOOKUP(IDNMaps[[#This Row],[Type]],RecordCount[],7,0),0),"")</f>
        <v>HubShiftItem/Shift</v>
      </c>
      <c r="O167" s="6" t="str">
        <f ca="1">IF(IDNMaps[[#This Row],[Name]]="","","("&amp;IDNMaps[[#This Row],[Type]]&amp;") "&amp;IDNMaps[[#This Row],[Name]])</f>
        <v>(Relation) HubShiftItem/Shift</v>
      </c>
      <c r="P167" s="6">
        <f ca="1">IFERROR(VLOOKUP(IDNMaps[[#This Row],[Primary]],INDIRECT(VLOOKUP(IDNMaps[[#This Row],[Type]],RecordCount[],2,0)),VLOOKUP(IDNMaps[[#This Row],[Type]],RecordCount[],8,0),0),"")</f>
        <v>2109180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8" s="6">
        <f ca="1">IF(IDNMaps[[#This Row],[Type]]="","",COUNTIF($K$1:IDNMaps[[#This Row],[Type]],IDNMaps[[#This Row],[Type]]))</f>
        <v>81</v>
      </c>
      <c r="M168" s="6" t="str">
        <f ca="1">IFERROR(VLOOKUP(IDNMaps[[#This Row],[Type]],RecordCount[],6,0)&amp;"-"&amp;IDNMaps[[#This Row],[Type Count]],"")</f>
        <v>Resource Relations-81</v>
      </c>
      <c r="N168" s="6" t="str">
        <f ca="1">IFERROR(VLOOKUP(IDNMaps[[#This Row],[Primary]],INDIRECT(VLOOKUP(IDNMaps[[#This Row],[Type]],RecordCount[],2,0)),VLOOKUP(IDNMaps[[#This Row],[Type]],RecordCount[],7,0),0),"")</f>
        <v>HubShiftItem/Item</v>
      </c>
      <c r="O168" s="6" t="str">
        <f ca="1">IF(IDNMaps[[#This Row],[Name]]="","","("&amp;IDNMaps[[#This Row],[Type]]&amp;") "&amp;IDNMaps[[#This Row],[Name]])</f>
        <v>(Relation) HubShiftItem/Item</v>
      </c>
      <c r="P168" s="6">
        <f ca="1">IFERROR(VLOOKUP(IDNMaps[[#This Row],[Primary]],INDIRECT(VLOOKUP(IDNMaps[[#This Row],[Type]],RecordCount[],2,0)),VLOOKUP(IDNMaps[[#This Row],[Type]],RecordCount[],8,0),0),"")</f>
        <v>2109181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9" s="6">
        <f ca="1">IF(IDNMaps[[#This Row],[Type]]="","",COUNTIF($K$1:IDNMaps[[#This Row],[Type]],IDNMaps[[#This Row],[Type]]))</f>
        <v>82</v>
      </c>
      <c r="M169" s="6" t="str">
        <f ca="1">IFERROR(VLOOKUP(IDNMaps[[#This Row],[Type]],RecordCount[],6,0)&amp;"-"&amp;IDNMaps[[#This Row],[Type Count]],"")</f>
        <v>Resource Relations-82</v>
      </c>
      <c r="N169" s="6" t="str">
        <f ca="1">IFERROR(VLOOKUP(IDNMaps[[#This Row],[Primary]],INDIRECT(VLOOKUP(IDNMaps[[#This Row],[Type]],RecordCount[],2,0)),VLOOKUP(IDNMaps[[#This Row],[Type]],RecordCount[],7,0),0),"")</f>
        <v>Customer/Orders</v>
      </c>
      <c r="O169" s="6" t="str">
        <f ca="1">IF(IDNMaps[[#This Row],[Name]]="","","("&amp;IDNMaps[[#This Row],[Type]]&amp;") "&amp;IDNMaps[[#This Row],[Name]])</f>
        <v>(Relation) Customer/Orders</v>
      </c>
      <c r="P169" s="6">
        <f ca="1">IFERROR(VLOOKUP(IDNMaps[[#This Row],[Primary]],INDIRECT(VLOOKUP(IDNMaps[[#This Row],[Type]],RecordCount[],2,0)),VLOOKUP(IDNMaps[[#This Row],[Type]],RecordCount[],8,0),0),"")</f>
        <v>2109182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0" s="6">
        <f ca="1">IF(IDNMaps[[#This Row],[Type]]="","",COUNTIF($K$1:IDNMaps[[#This Row],[Type]],IDNMaps[[#This Row],[Type]]))</f>
        <v>83</v>
      </c>
      <c r="M170" s="6" t="str">
        <f ca="1">IFERROR(VLOOKUP(IDNMaps[[#This Row],[Type]],RecordCount[],6,0)&amp;"-"&amp;IDNMaps[[#This Row],[Type Count]],"")</f>
        <v>Resource Relations-83</v>
      </c>
      <c r="N170" s="6" t="str">
        <f ca="1">IFERROR(VLOOKUP(IDNMaps[[#This Row],[Primary]],INDIRECT(VLOOKUP(IDNMaps[[#This Row],[Type]],RecordCount[],2,0)),VLOOKUP(IDNMaps[[#This Row],[Type]],RecordCount[],7,0),0),"")</f>
        <v>Customer/Invoices</v>
      </c>
      <c r="O170" s="6" t="str">
        <f ca="1">IF(IDNMaps[[#This Row],[Name]]="","","("&amp;IDNMaps[[#This Row],[Type]]&amp;") "&amp;IDNMaps[[#This Row],[Name]])</f>
        <v>(Relation) Customer/Invoices</v>
      </c>
      <c r="P170" s="6">
        <f ca="1">IFERROR(VLOOKUP(IDNMaps[[#This Row],[Primary]],INDIRECT(VLOOKUP(IDNMaps[[#This Row],[Type]],RecordCount[],2,0)),VLOOKUP(IDNMaps[[#This Row],[Type]],RecordCount[],8,0),0),"")</f>
        <v>2109183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1" s="6">
        <f ca="1">IF(IDNMaps[[#This Row],[Type]]="","",COUNTIF($K$1:IDNMaps[[#This Row],[Type]],IDNMaps[[#This Row],[Type]]))</f>
        <v>84</v>
      </c>
      <c r="M171" s="6" t="str">
        <f ca="1">IFERROR(VLOOKUP(IDNMaps[[#This Row],[Type]],RecordCount[],6,0)&amp;"-"&amp;IDNMaps[[#This Row],[Type Count]],"")</f>
        <v>Resource Relations-84</v>
      </c>
      <c r="N171" s="6" t="str">
        <f ca="1">IFERROR(VLOOKUP(IDNMaps[[#This Row],[Primary]],INDIRECT(VLOOKUP(IDNMaps[[#This Row],[Type]],RecordCount[],2,0)),VLOOKUP(IDNMaps[[#This Row],[Type]],RecordCount[],7,0),0),"")</f>
        <v>Customer/Receipts</v>
      </c>
      <c r="O171" s="6" t="str">
        <f ca="1">IF(IDNMaps[[#This Row],[Name]]="","","("&amp;IDNMaps[[#This Row],[Type]]&amp;") "&amp;IDNMaps[[#This Row],[Name]])</f>
        <v>(Relation) Customer/Receipts</v>
      </c>
      <c r="P171" s="6">
        <f ca="1">IFERROR(VLOOKUP(IDNMaps[[#This Row],[Primary]],INDIRECT(VLOOKUP(IDNMaps[[#This Row],[Type]],RecordCount[],2,0)),VLOOKUP(IDNMaps[[#This Row],[Type]],RecordCount[],8,0),0),"")</f>
        <v>2109184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2" s="6">
        <f ca="1">IF(IDNMaps[[#This Row],[Type]]="","",COUNTIF($K$1:IDNMaps[[#This Row],[Type]],IDNMaps[[#This Row],[Type]]))</f>
        <v>85</v>
      </c>
      <c r="M172" s="6" t="str">
        <f ca="1">IFERROR(VLOOKUP(IDNMaps[[#This Row],[Type]],RecordCount[],6,0)&amp;"-"&amp;IDNMaps[[#This Row],[Type Count]],"")</f>
        <v>Resource Relations-85</v>
      </c>
      <c r="N172" s="6" t="str">
        <f ca="1">IFERROR(VLOOKUP(IDNMaps[[#This Row],[Primary]],INDIRECT(VLOOKUP(IDNMaps[[#This Row],[Type]],RecordCount[],2,0)),VLOOKUP(IDNMaps[[#This Row],[Type]],RecordCount[],7,0),0),"")</f>
        <v>Customer/Detail</v>
      </c>
      <c r="O172" s="6" t="str">
        <f ca="1">IF(IDNMaps[[#This Row],[Name]]="","","("&amp;IDNMaps[[#This Row],[Type]]&amp;") "&amp;IDNMaps[[#This Row],[Name]])</f>
        <v>(Relation) Customer/Detail</v>
      </c>
      <c r="P172" s="6">
        <f ca="1">IFERROR(VLOOKUP(IDNMaps[[#This Row],[Primary]],INDIRECT(VLOOKUP(IDNMaps[[#This Row],[Type]],RecordCount[],2,0)),VLOOKUP(IDNMaps[[#This Row],[Type]],RecordCount[],8,0),0),"")</f>
        <v>2109185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3" s="6">
        <f ca="1">IF(IDNMaps[[#This Row],[Type]]="","",COUNTIF($K$1:IDNMaps[[#This Row],[Type]],IDNMaps[[#This Row],[Type]]))</f>
        <v>86</v>
      </c>
      <c r="M173" s="6" t="str">
        <f ca="1">IFERROR(VLOOKUP(IDNMaps[[#This Row],[Type]],RecordCount[],6,0)&amp;"-"&amp;IDNMaps[[#This Row],[Type Count]],"")</f>
        <v>Resource Relations-86</v>
      </c>
      <c r="N173" s="6" t="str">
        <f ca="1">IFERROR(VLOOKUP(IDNMaps[[#This Row],[Primary]],INDIRECT(VLOOKUP(IDNMaps[[#This Row],[Type]],RecordCount[],2,0)),VLOOKUP(IDNMaps[[#This Row],[Type]],RecordCount[],7,0),0),"")</f>
        <v>Customer/Groups</v>
      </c>
      <c r="O173" s="6" t="str">
        <f ca="1">IF(IDNMaps[[#This Row],[Name]]="","","("&amp;IDNMaps[[#This Row],[Type]]&amp;") "&amp;IDNMaps[[#This Row],[Name]])</f>
        <v>(Relation) Customer/Groups</v>
      </c>
      <c r="P173" s="6">
        <f ca="1">IFERROR(VLOOKUP(IDNMaps[[#This Row],[Primary]],INDIRECT(VLOOKUP(IDNMaps[[#This Row],[Type]],RecordCount[],2,0)),VLOOKUP(IDNMaps[[#This Row],[Type]],RecordCount[],8,0),0),"")</f>
        <v>2109186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4" s="6">
        <f ca="1">IF(IDNMaps[[#This Row],[Type]]="","",COUNTIF($K$1:IDNMaps[[#This Row],[Type]],IDNMaps[[#This Row],[Type]]))</f>
        <v>87</v>
      </c>
      <c r="M174" s="6" t="str">
        <f ca="1">IFERROR(VLOOKUP(IDNMaps[[#This Row],[Type]],RecordCount[],6,0)&amp;"-"&amp;IDNMaps[[#This Row],[Type Count]],"")</f>
        <v>Resource Relations-87</v>
      </c>
      <c r="N174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74" s="6" t="str">
        <f ca="1">IF(IDNMaps[[#This Row],[Name]]="","","("&amp;IDNMaps[[#This Row],[Type]]&amp;") "&amp;IDNMaps[[#This Row],[Name]])</f>
        <v>(Relation) Employee/GroupsDisplayable</v>
      </c>
      <c r="P174" s="6">
        <f ca="1">IFERROR(VLOOKUP(IDNMaps[[#This Row],[Primary]],INDIRECT(VLOOKUP(IDNMaps[[#This Row],[Type]],RecordCount[],2,0)),VLOOKUP(IDNMaps[[#This Row],[Type]],RecordCount[],8,0),0),"")</f>
        <v>2109187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5" s="6">
        <f ca="1">IF(IDNMaps[[#This Row],[Type]]="","",COUNTIF($K$1:IDNMaps[[#This Row],[Type]],IDNMaps[[#This Row],[Type]]))</f>
        <v>88</v>
      </c>
      <c r="M175" s="6" t="str">
        <f ca="1">IFERROR(VLOOKUP(IDNMaps[[#This Row],[Type]],RecordCount[],6,0)&amp;"-"&amp;IDNMaps[[#This Row],[Type Count]],"")</f>
        <v>Resource Relations-88</v>
      </c>
      <c r="N175" s="6" t="str">
        <f ca="1">IFERROR(VLOOKUP(IDNMaps[[#This Row],[Primary]],INDIRECT(VLOOKUP(IDNMaps[[#This Row],[Type]],RecordCount[],2,0)),VLOOKUP(IDNMaps[[#This Row],[Type]],RecordCount[],7,0),0),"")</f>
        <v>OrderItem/Services</v>
      </c>
      <c r="O175" s="6" t="str">
        <f ca="1">IF(IDNMaps[[#This Row],[Name]]="","","("&amp;IDNMaps[[#This Row],[Type]]&amp;") "&amp;IDNMaps[[#This Row],[Name]])</f>
        <v>(Relation) OrderItem/Services</v>
      </c>
      <c r="P175" s="6">
        <f ca="1">IFERROR(VLOOKUP(IDNMaps[[#This Row],[Primary]],INDIRECT(VLOOKUP(IDNMaps[[#This Row],[Type]],RecordCount[],2,0)),VLOOKUP(IDNMaps[[#This Row],[Type]],RecordCount[],8,0),0),"")</f>
        <v>2109188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6" s="6">
        <f ca="1">IF(IDNMaps[[#This Row],[Type]]="","",COUNTIF($K$1:IDNMaps[[#This Row],[Type]],IDNMaps[[#This Row],[Type]]))</f>
        <v>89</v>
      </c>
      <c r="M176" s="6" t="str">
        <f ca="1">IFERROR(VLOOKUP(IDNMaps[[#This Row],[Type]],RecordCount[],6,0)&amp;"-"&amp;IDNMaps[[#This Row],[Type Count]],"")</f>
        <v>Resource Relations-89</v>
      </c>
      <c r="N176" s="6" t="str">
        <f ca="1">IFERROR(VLOOKUP(IDNMaps[[#This Row],[Primary]],INDIRECT(VLOOKUP(IDNMaps[[#This Row],[Type]],RecordCount[],2,0)),VLOOKUP(IDNMaps[[#This Row],[Type]],RecordCount[],7,0),0),"")</f>
        <v>OrderItemService/Users</v>
      </c>
      <c r="O176" s="6" t="str">
        <f ca="1">IF(IDNMaps[[#This Row],[Name]]="","","("&amp;IDNMaps[[#This Row],[Type]]&amp;") "&amp;IDNMaps[[#This Row],[Name]])</f>
        <v>(Relation) OrderItemService/Users</v>
      </c>
      <c r="P176" s="6">
        <f ca="1">IFERROR(VLOOKUP(IDNMaps[[#This Row],[Primary]],INDIRECT(VLOOKUP(IDNMaps[[#This Row],[Type]],RecordCount[],2,0)),VLOOKUP(IDNMaps[[#This Row],[Type]],RecordCount[],8,0),0),"")</f>
        <v>2109189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7" s="6">
        <f ca="1">IF(IDNMaps[[#This Row],[Type]]="","",COUNTIF($K$1:IDNMaps[[#This Row],[Type]],IDNMaps[[#This Row],[Type]]))</f>
        <v>90</v>
      </c>
      <c r="M177" s="6" t="str">
        <f ca="1">IFERROR(VLOOKUP(IDNMaps[[#This Row],[Type]],RecordCount[],6,0)&amp;"-"&amp;IDNMaps[[#This Row],[Type Count]],"")</f>
        <v>Resource Relations-90</v>
      </c>
      <c r="N177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77" s="6" t="str">
        <f ca="1">IF(IDNMaps[[#This Row],[Name]]="","","("&amp;IDNMaps[[#This Row],[Type]]&amp;") "&amp;IDNMaps[[#This Row],[Name]])</f>
        <v>(Relation) OrderItemServiceUser/AssignedBy</v>
      </c>
      <c r="P177" s="6">
        <f ca="1">IFERROR(VLOOKUP(IDNMaps[[#This Row],[Primary]],INDIRECT(VLOOKUP(IDNMaps[[#This Row],[Type]],RecordCount[],2,0)),VLOOKUP(IDNMaps[[#This Row],[Type]],RecordCount[],8,0),0),"")</f>
        <v>2109190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8" s="6">
        <f ca="1">IF(IDNMaps[[#This Row],[Type]]="","",COUNTIF($K$1:IDNMaps[[#This Row],[Type]],IDNMaps[[#This Row],[Type]]))</f>
        <v>91</v>
      </c>
      <c r="M178" s="6" t="str">
        <f ca="1">IFERROR(VLOOKUP(IDNMaps[[#This Row],[Type]],RecordCount[],6,0)&amp;"-"&amp;IDNMaps[[#This Row],[Type Count]],"")</f>
        <v>Resource Relations-91</v>
      </c>
      <c r="N178" s="6" t="str">
        <f ca="1">IFERROR(VLOOKUP(IDNMaps[[#This Row],[Primary]],INDIRECT(VLOOKUP(IDNMaps[[#This Row],[Type]],RecordCount[],2,0)),VLOOKUP(IDNMaps[[#This Row],[Type]],RecordCount[],7,0),0),"")</f>
        <v>Item/Services</v>
      </c>
      <c r="O178" s="6" t="str">
        <f ca="1">IF(IDNMaps[[#This Row],[Name]]="","","("&amp;IDNMaps[[#This Row],[Type]]&amp;") "&amp;IDNMaps[[#This Row],[Name]])</f>
        <v>(Relation) Item/Services</v>
      </c>
      <c r="P178" s="6">
        <f ca="1">IFERROR(VLOOKUP(IDNMaps[[#This Row],[Primary]],INDIRECT(VLOOKUP(IDNMaps[[#This Row],[Type]],RecordCount[],2,0)),VLOOKUP(IDNMaps[[#This Row],[Type]],RecordCount[],8,0),0),"")</f>
        <v>2109191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9" s="6">
        <f ca="1">IF(IDNMaps[[#This Row],[Type]]="","",COUNTIF($K$1:IDNMaps[[#This Row],[Type]],IDNMaps[[#This Row],[Type]]))</f>
        <v>92</v>
      </c>
      <c r="M179" s="6" t="str">
        <f ca="1">IFERROR(VLOOKUP(IDNMaps[[#This Row],[Type]],RecordCount[],6,0)&amp;"-"&amp;IDNMaps[[#This Row],[Type Count]],"")</f>
        <v>Resource Relations-92</v>
      </c>
      <c r="N179" s="6" t="str">
        <f ca="1">IFERROR(VLOOKUP(IDNMaps[[#This Row],[Primary]],INDIRECT(VLOOKUP(IDNMaps[[#This Row],[Type]],RecordCount[],2,0)),VLOOKUP(IDNMaps[[#This Row],[Type]],RecordCount[],7,0),0),"")</f>
        <v>IdentityLabel/Hub</v>
      </c>
      <c r="O179" s="6" t="str">
        <f ca="1">IF(IDNMaps[[#This Row],[Name]]="","","("&amp;IDNMaps[[#This Row],[Type]]&amp;") "&amp;IDNMaps[[#This Row],[Name]])</f>
        <v>(Relation) IdentityLabel/Hub</v>
      </c>
      <c r="P179" s="6">
        <f ca="1">IFERROR(VLOOKUP(IDNMaps[[#This Row],[Primary]],INDIRECT(VLOOKUP(IDNMaps[[#This Row],[Type]],RecordCount[],2,0)),VLOOKUP(IDNMaps[[#This Row],[Type]],RecordCount[],8,0),0),"")</f>
        <v>2109192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0" s="6">
        <f ca="1">IF(IDNMaps[[#This Row],[Type]]="","",COUNTIF($K$1:IDNMaps[[#This Row],[Type]],IDNMaps[[#This Row],[Type]]))</f>
        <v>93</v>
      </c>
      <c r="M180" s="6" t="str">
        <f ca="1">IFERROR(VLOOKUP(IDNMaps[[#This Row],[Type]],RecordCount[],6,0)&amp;"-"&amp;IDNMaps[[#This Row],[Type Count]],"")</f>
        <v>Resource Relations-93</v>
      </c>
      <c r="N180" s="6" t="str">
        <f ca="1">IFERROR(VLOOKUP(IDNMaps[[#This Row],[Primary]],INDIRECT(VLOOKUP(IDNMaps[[#This Row],[Type]],RecordCount[],2,0)),VLOOKUP(IDNMaps[[#This Row],[Type]],RecordCount[],7,0),0),"")</f>
        <v>Order/Pricelist</v>
      </c>
      <c r="O180" s="6" t="str">
        <f ca="1">IF(IDNMaps[[#This Row],[Name]]="","","("&amp;IDNMaps[[#This Row],[Type]]&amp;") "&amp;IDNMaps[[#This Row],[Name]])</f>
        <v>(Relation) Order/Pricelist</v>
      </c>
      <c r="P180" s="6">
        <f ca="1">IFERROR(VLOOKUP(IDNMaps[[#This Row],[Primary]],INDIRECT(VLOOKUP(IDNMaps[[#This Row],[Type]],RecordCount[],2,0)),VLOOKUP(IDNMaps[[#This Row],[Type]],RecordCount[],8,0),0),"")</f>
        <v>2109193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1" s="6">
        <f ca="1">IF(IDNMaps[[#This Row],[Type]]="","",COUNTIF($K$1:IDNMaps[[#This Row],[Type]],IDNMaps[[#This Row],[Type]]))</f>
        <v>94</v>
      </c>
      <c r="M181" s="6" t="str">
        <f ca="1">IFERROR(VLOOKUP(IDNMaps[[#This Row],[Type]],RecordCount[],6,0)&amp;"-"&amp;IDNMaps[[#This Row],[Type Count]],"")</f>
        <v>Resource Relations-94</v>
      </c>
      <c r="N181" s="6" t="str">
        <f ca="1">IFERROR(VLOOKUP(IDNMaps[[#This Row],[Primary]],INDIRECT(VLOOKUP(IDNMaps[[#This Row],[Type]],RecordCount[],2,0)),VLOOKUP(IDNMaps[[#This Row],[Type]],RecordCount[],7,0),0),"")</f>
        <v>OrderItem/Hub</v>
      </c>
      <c r="O181" s="6" t="str">
        <f ca="1">IF(IDNMaps[[#This Row],[Name]]="","","("&amp;IDNMaps[[#This Row],[Type]]&amp;") "&amp;IDNMaps[[#This Row],[Name]])</f>
        <v>(Relation) OrderItem/Hub</v>
      </c>
      <c r="P181" s="6">
        <f ca="1">IFERROR(VLOOKUP(IDNMaps[[#This Row],[Primary]],INDIRECT(VLOOKUP(IDNMaps[[#This Row],[Type]],RecordCount[],2,0)),VLOOKUP(IDNMaps[[#This Row],[Type]],RecordCount[],8,0),0),"")</f>
        <v>2109194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2" s="6">
        <f ca="1">IF(IDNMaps[[#This Row],[Type]]="","",COUNTIF($K$1:IDNMaps[[#This Row],[Type]],IDNMaps[[#This Row],[Type]]))</f>
        <v>95</v>
      </c>
      <c r="M182" s="6" t="str">
        <f ca="1">IFERROR(VLOOKUP(IDNMaps[[#This Row],[Type]],RecordCount[],6,0)&amp;"-"&amp;IDNMaps[[#This Row],[Type Count]],"")</f>
        <v>Resource Relations-95</v>
      </c>
      <c r="N182" s="6" t="str">
        <f ca="1">IFERROR(VLOOKUP(IDNMaps[[#This Row],[Primary]],INDIRECT(VLOOKUP(IDNMaps[[#This Row],[Type]],RecordCount[],2,0)),VLOOKUP(IDNMaps[[#This Row],[Type]],RecordCount[],7,0),0),"")</f>
        <v>Hub/OrderItems</v>
      </c>
      <c r="O182" s="6" t="str">
        <f ca="1">IF(IDNMaps[[#This Row],[Name]]="","","("&amp;IDNMaps[[#This Row],[Type]]&amp;") "&amp;IDNMaps[[#This Row],[Name]])</f>
        <v>(Relation) Hub/OrderItems</v>
      </c>
      <c r="P182" s="6">
        <f ca="1">IFERROR(VLOOKUP(IDNMaps[[#This Row],[Primary]],INDIRECT(VLOOKUP(IDNMaps[[#This Row],[Type]],RecordCount[],2,0)),VLOOKUP(IDNMaps[[#This Row],[Type]],RecordCount[],8,0),0),"")</f>
        <v>2109195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3" s="6">
        <f ca="1">IF(IDNMaps[[#This Row],[Type]]="","",COUNTIF($K$1:IDNMaps[[#This Row],[Type]],IDNMaps[[#This Row],[Type]]))</f>
        <v>96</v>
      </c>
      <c r="M183" s="6" t="str">
        <f ca="1">IFERROR(VLOOKUP(IDNMaps[[#This Row],[Type]],RecordCount[],6,0)&amp;"-"&amp;IDNMaps[[#This Row],[Type Count]],"")</f>
        <v>Resource Relations-96</v>
      </c>
      <c r="N183" s="6" t="str">
        <f ca="1">IFERROR(VLOOKUP(IDNMaps[[#This Row],[Primary]],INDIRECT(VLOOKUP(IDNMaps[[#This Row],[Type]],RecordCount[],2,0)),VLOOKUP(IDNMaps[[#This Row],[Type]],RecordCount[],7,0),0),"")</f>
        <v>HubShift/ManageItems</v>
      </c>
      <c r="O183" s="6" t="str">
        <f ca="1">IF(IDNMaps[[#This Row],[Name]]="","","("&amp;IDNMaps[[#This Row],[Type]]&amp;") "&amp;IDNMaps[[#This Row],[Name]])</f>
        <v>(Relation) HubShift/ManageItems</v>
      </c>
      <c r="P183" s="6">
        <f ca="1">IFERROR(VLOOKUP(IDNMaps[[#This Row],[Primary]],INDIRECT(VLOOKUP(IDNMaps[[#This Row],[Type]],RecordCount[],2,0)),VLOOKUP(IDNMaps[[#This Row],[Type]],RecordCount[],8,0),0),"")</f>
        <v>2109196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4" s="6">
        <f ca="1">IF(IDNMaps[[#This Row],[Type]]="","",COUNTIF($K$1:IDNMaps[[#This Row],[Type]],IDNMaps[[#This Row],[Type]]))</f>
        <v>97</v>
      </c>
      <c r="M184" s="6" t="str">
        <f ca="1">IFERROR(VLOOKUP(IDNMaps[[#This Row],[Type]],RecordCount[],6,0)&amp;"-"&amp;IDNMaps[[#This Row],[Type Count]],"")</f>
        <v>Resource Relations-97</v>
      </c>
      <c r="N184" s="6" t="str">
        <f ca="1">IFERROR(VLOOKUP(IDNMaps[[#This Row],[Primary]],INDIRECT(VLOOKUP(IDNMaps[[#This Row],[Type]],RecordCount[],2,0)),VLOOKUP(IDNMaps[[#This Row],[Type]],RecordCount[],7,0),0),"")</f>
        <v>Employee/Tasks</v>
      </c>
      <c r="O184" s="6" t="str">
        <f ca="1">IF(IDNMaps[[#This Row],[Name]]="","","("&amp;IDNMaps[[#This Row],[Type]]&amp;") "&amp;IDNMaps[[#This Row],[Name]])</f>
        <v>(Relation) Employee/Tasks</v>
      </c>
      <c r="P184" s="6">
        <f ca="1">IFERROR(VLOOKUP(IDNMaps[[#This Row],[Primary]],INDIRECT(VLOOKUP(IDNMaps[[#This Row],[Type]],RecordCount[],2,0)),VLOOKUP(IDNMaps[[#This Row],[Type]],RecordCount[],8,0),0),"")</f>
        <v>2109197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5" s="6">
        <f ca="1">IF(IDNMaps[[#This Row],[Type]]="","",COUNTIF($K$1:IDNMaps[[#This Row],[Type]],IDNMaps[[#This Row],[Type]]))</f>
        <v>98</v>
      </c>
      <c r="M185" s="6" t="str">
        <f ca="1">IFERROR(VLOOKUP(IDNMaps[[#This Row],[Type]],RecordCount[],6,0)&amp;"-"&amp;IDNMaps[[#This Row],[Type Count]],"")</f>
        <v>Resource Relations-98</v>
      </c>
      <c r="N185" s="6" t="str">
        <f ca="1">IFERROR(VLOOKUP(IDNMaps[[#This Row],[Primary]],INDIRECT(VLOOKUP(IDNMaps[[#This Row],[Type]],RecordCount[],2,0)),VLOOKUP(IDNMaps[[#This Row],[Type]],RecordCount[],7,0),0),"")</f>
        <v>Employee/TaskList</v>
      </c>
      <c r="O185" s="6" t="str">
        <f ca="1">IF(IDNMaps[[#This Row],[Name]]="","","("&amp;IDNMaps[[#This Row],[Type]]&amp;") "&amp;IDNMaps[[#This Row],[Name]])</f>
        <v>(Relation) Employee/TaskList</v>
      </c>
      <c r="P185" s="6">
        <f ca="1">IFERROR(VLOOKUP(IDNMaps[[#This Row],[Primary]],INDIRECT(VLOOKUP(IDNMaps[[#This Row],[Type]],RecordCount[],2,0)),VLOOKUP(IDNMaps[[#This Row],[Type]],RecordCount[],8,0),0),"")</f>
        <v>2109198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6" s="6">
        <f ca="1">IF(IDNMaps[[#This Row],[Type]]="","",COUNTIF($K$1:IDNMaps[[#This Row],[Type]],IDNMaps[[#This Row],[Type]]))</f>
        <v>99</v>
      </c>
      <c r="M186" s="6" t="str">
        <f ca="1">IFERROR(VLOOKUP(IDNMaps[[#This Row],[Type]],RecordCount[],6,0)&amp;"-"&amp;IDNMaps[[#This Row],[Type Count]],"")</f>
        <v>Resource Relations-99</v>
      </c>
      <c r="N186" s="6" t="str">
        <f ca="1">IFERROR(VLOOKUP(IDNMaps[[#This Row],[Primary]],INDIRECT(VLOOKUP(IDNMaps[[#This Row],[Type]],RecordCount[],2,0)),VLOOKUP(IDNMaps[[#This Row],[Type]],RecordCount[],7,0),0),"")</f>
        <v>OrderItem/Delivery</v>
      </c>
      <c r="O186" s="6" t="str">
        <f ca="1">IF(IDNMaps[[#This Row],[Name]]="","","("&amp;IDNMaps[[#This Row],[Type]]&amp;") "&amp;IDNMaps[[#This Row],[Name]])</f>
        <v>(Relation) OrderItem/Delivery</v>
      </c>
      <c r="P186" s="6">
        <f ca="1">IFERROR(VLOOKUP(IDNMaps[[#This Row],[Primary]],INDIRECT(VLOOKUP(IDNMaps[[#This Row],[Type]],RecordCount[],2,0)),VLOOKUP(IDNMaps[[#This Row],[Type]],RecordCount[],8,0),0),"")</f>
        <v>2109199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1</v>
      </c>
      <c r="M187" s="6" t="str">
        <f ca="1">IFERROR(VLOOKUP(IDNMaps[[#This Row],[Type]],RecordCount[],6,0)&amp;"-"&amp;IDNMaps[[#This Row],[Type Count]],"")</f>
        <v>Form Fields-1</v>
      </c>
      <c r="N187" s="6" t="str">
        <f ca="1">IFERROR(VLOOKUP(IDNMaps[[#This Row],[Primary]],INDIRECT(VLOOKUP(IDNMaps[[#This Row],[Type]],RecordCount[],2,0)),VLOOKUP(IDNMaps[[#This Row],[Type]],RecordCount[],7,0),0),"")</f>
        <v>Owner/NewOwnerForm/name</v>
      </c>
      <c r="O187" s="6" t="str">
        <f ca="1">IF(IDNMaps[[#This Row],[Name]]="","","("&amp;IDNMaps[[#This Row],[Type]]&amp;") "&amp;IDNMaps[[#This Row],[Name]])</f>
        <v>(Fields) Owner/NewOwnerForm/name</v>
      </c>
      <c r="P187" s="6">
        <f ca="1">IFERROR(VLOOKUP(IDNMaps[[#This Row],[Primary]],INDIRECT(VLOOKUP(IDNMaps[[#This Row],[Type]],RecordCount[],2,0)),VLOOKUP(IDNMaps[[#This Row],[Type]],RecordCount[],8,0),0),"")</f>
        <v>2111101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2</v>
      </c>
      <c r="M188" s="6" t="str">
        <f ca="1">IFERROR(VLOOKUP(IDNMaps[[#This Row],[Type]],RecordCount[],6,0)&amp;"-"&amp;IDNMaps[[#This Row],[Type Count]],"")</f>
        <v>Form Fields-2</v>
      </c>
      <c r="N188" s="6" t="str">
        <f ca="1">IFERROR(VLOOKUP(IDNMaps[[#This Row],[Primary]],INDIRECT(VLOOKUP(IDNMaps[[#This Row],[Type]],RecordCount[],2,0)),VLOOKUP(IDNMaps[[#This Row],[Type]],RecordCount[],7,0),0),"")</f>
        <v>Owner/NewOwnerForm/email</v>
      </c>
      <c r="O188" s="6" t="str">
        <f ca="1">IF(IDNMaps[[#This Row],[Name]]="","","("&amp;IDNMaps[[#This Row],[Type]]&amp;") "&amp;IDNMaps[[#This Row],[Name]])</f>
        <v>(Fields) Owner/NewOwnerForm/email</v>
      </c>
      <c r="P188" s="6">
        <f ca="1">IFERROR(VLOOKUP(IDNMaps[[#This Row],[Primary]],INDIRECT(VLOOKUP(IDNMaps[[#This Row],[Type]],RecordCount[],2,0)),VLOOKUP(IDNMaps[[#This Row],[Type]],RecordCount[],8,0),0),"")</f>
        <v>2111102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3</v>
      </c>
      <c r="M189" s="6" t="str">
        <f ca="1">IFERROR(VLOOKUP(IDNMaps[[#This Row],[Type]],RecordCount[],6,0)&amp;"-"&amp;IDNMaps[[#This Row],[Type Count]],"")</f>
        <v>Form Fields-3</v>
      </c>
      <c r="N189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89" s="6" t="str">
        <f ca="1">IF(IDNMaps[[#This Row],[Name]]="","","("&amp;IDNMaps[[#This Row],[Type]]&amp;") "&amp;IDNMaps[[#This Row],[Name]])</f>
        <v>(Fields) Owner/NewOwnerForm/password</v>
      </c>
      <c r="P189" s="6">
        <f ca="1">IFERROR(VLOOKUP(IDNMaps[[#This Row],[Primary]],INDIRECT(VLOOKUP(IDNMaps[[#This Row],[Type]],RecordCount[],2,0)),VLOOKUP(IDNMaps[[#This Row],[Type]],RecordCount[],8,0),0),"")</f>
        <v>2111103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4</v>
      </c>
      <c r="M190" s="6" t="str">
        <f ca="1">IFERROR(VLOOKUP(IDNMaps[[#This Row],[Type]],RecordCount[],6,0)&amp;"-"&amp;IDNMaps[[#This Row],[Type Count]],"")</f>
        <v>Form Fields-4</v>
      </c>
      <c r="N190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90" s="6" t="str">
        <f ca="1">IF(IDNMaps[[#This Row],[Name]]="","","("&amp;IDNMaps[[#This Row],[Type]]&amp;") "&amp;IDNMaps[[#This Row],[Name]])</f>
        <v>(Fields) Employee/NewEmployee/group</v>
      </c>
      <c r="P190" s="6">
        <f ca="1">IFERROR(VLOOKUP(IDNMaps[[#This Row],[Primary]],INDIRECT(VLOOKUP(IDNMaps[[#This Row],[Type]],RecordCount[],2,0)),VLOOKUP(IDNMaps[[#This Row],[Type]],RecordCount[],8,0),0),"")</f>
        <v>2111104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5</v>
      </c>
      <c r="M191" s="6" t="str">
        <f ca="1">IFERROR(VLOOKUP(IDNMaps[[#This Row],[Type]],RecordCount[],6,0)&amp;"-"&amp;IDNMaps[[#This Row],[Type Count]],"")</f>
        <v>Form Fields-5</v>
      </c>
      <c r="N191" s="6" t="str">
        <f ca="1">IFERROR(VLOOKUP(IDNMaps[[#This Row],[Primary]],INDIRECT(VLOOKUP(IDNMaps[[#This Row],[Type]],RecordCount[],2,0)),VLOOKUP(IDNMaps[[#This Row],[Type]],RecordCount[],7,0),0),"")</f>
        <v>Employee/NewEmployee/name</v>
      </c>
      <c r="O191" s="6" t="str">
        <f ca="1">IF(IDNMaps[[#This Row],[Name]]="","","("&amp;IDNMaps[[#This Row],[Type]]&amp;") "&amp;IDNMaps[[#This Row],[Name]])</f>
        <v>(Fields) Employee/NewEmployee/name</v>
      </c>
      <c r="P191" s="6">
        <f ca="1">IFERROR(VLOOKUP(IDNMaps[[#This Row],[Primary]],INDIRECT(VLOOKUP(IDNMaps[[#This Row],[Type]],RecordCount[],2,0)),VLOOKUP(IDNMaps[[#This Row],[Type]],RecordCount[],8,0),0),"")</f>
        <v>2111105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6</v>
      </c>
      <c r="M192" s="6" t="str">
        <f ca="1">IFERROR(VLOOKUP(IDNMaps[[#This Row],[Type]],RecordCount[],6,0)&amp;"-"&amp;IDNMaps[[#This Row],[Type Count]],"")</f>
        <v>Form Fields-6</v>
      </c>
      <c r="N192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92" s="6" t="str">
        <f ca="1">IF(IDNMaps[[#This Row],[Name]]="","","("&amp;IDNMaps[[#This Row],[Type]]&amp;") "&amp;IDNMaps[[#This Row],[Name]])</f>
        <v>(Fields) Employee/NewEmployee/email</v>
      </c>
      <c r="P192" s="6">
        <f ca="1">IFERROR(VLOOKUP(IDNMaps[[#This Row],[Primary]],INDIRECT(VLOOKUP(IDNMaps[[#This Row],[Type]],RecordCount[],2,0)),VLOOKUP(IDNMaps[[#This Row],[Type]],RecordCount[],8,0),0),"")</f>
        <v>2111106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7</v>
      </c>
      <c r="M193" s="6" t="str">
        <f ca="1">IFERROR(VLOOKUP(IDNMaps[[#This Row],[Type]],RecordCount[],6,0)&amp;"-"&amp;IDNMaps[[#This Row],[Type Count]],"")</f>
        <v>Form Fields-7</v>
      </c>
      <c r="N193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93" s="6" t="str">
        <f ca="1">IF(IDNMaps[[#This Row],[Name]]="","","("&amp;IDNMaps[[#This Row],[Type]]&amp;") "&amp;IDNMaps[[#This Row],[Name]])</f>
        <v>(Fields) Employee/NewEmployee/password</v>
      </c>
      <c r="P193" s="6">
        <f ca="1">IFERROR(VLOOKUP(IDNMaps[[#This Row],[Primary]],INDIRECT(VLOOKUP(IDNMaps[[#This Row],[Type]],RecordCount[],2,0)),VLOOKUP(IDNMaps[[#This Row],[Type]],RecordCount[],8,0),0),"")</f>
        <v>2111107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8</v>
      </c>
      <c r="M194" s="6" t="str">
        <f ca="1">IFERROR(VLOOKUP(IDNMaps[[#This Row],[Type]],RecordCount[],6,0)&amp;"-"&amp;IDNMaps[[#This Row],[Type Count]],"")</f>
        <v>Form Fields-8</v>
      </c>
      <c r="N194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94" s="6" t="str">
        <f ca="1">IF(IDNMaps[[#This Row],[Name]]="","","("&amp;IDNMaps[[#This Row],[Type]]&amp;") "&amp;IDNMaps[[#This Row],[Name]])</f>
        <v>(Fields) Employee/NewServiceProvider/name</v>
      </c>
      <c r="P194" s="6">
        <f ca="1">IFERROR(VLOOKUP(IDNMaps[[#This Row],[Primary]],INDIRECT(VLOOKUP(IDNMaps[[#This Row],[Type]],RecordCount[],2,0)),VLOOKUP(IDNMaps[[#This Row],[Type]],RecordCount[],8,0),0),"")</f>
        <v>2111108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9</v>
      </c>
      <c r="M195" s="6" t="str">
        <f ca="1">IFERROR(VLOOKUP(IDNMaps[[#This Row],[Type]],RecordCount[],6,0)&amp;"-"&amp;IDNMaps[[#This Row],[Type Count]],"")</f>
        <v>Form Fields-9</v>
      </c>
      <c r="N195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95" s="6" t="str">
        <f ca="1">IF(IDNMaps[[#This Row],[Name]]="","","("&amp;IDNMaps[[#This Row],[Type]]&amp;") "&amp;IDNMaps[[#This Row],[Name]])</f>
        <v>(Fields) Employee/NewServiceProvider/email</v>
      </c>
      <c r="P195" s="6">
        <f ca="1">IFERROR(VLOOKUP(IDNMaps[[#This Row],[Primary]],INDIRECT(VLOOKUP(IDNMaps[[#This Row],[Type]],RecordCount[],2,0)),VLOOKUP(IDNMaps[[#This Row],[Type]],RecordCount[],8,0),0),"")</f>
        <v>2111109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10</v>
      </c>
      <c r="M196" s="6" t="str">
        <f ca="1">IFERROR(VLOOKUP(IDNMaps[[#This Row],[Type]],RecordCount[],6,0)&amp;"-"&amp;IDNMaps[[#This Row],[Type Count]],"")</f>
        <v>Form Fields-10</v>
      </c>
      <c r="N196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96" s="6" t="str">
        <f ca="1">IF(IDNMaps[[#This Row],[Name]]="","","("&amp;IDNMaps[[#This Row],[Type]]&amp;") "&amp;IDNMaps[[#This Row],[Name]])</f>
        <v>(Fields) Employee/NewServiceProvider/password</v>
      </c>
      <c r="P196" s="6">
        <f ca="1">IFERROR(VLOOKUP(IDNMaps[[#This Row],[Primary]],INDIRECT(VLOOKUP(IDNMaps[[#This Row],[Type]],RecordCount[],2,0)),VLOOKUP(IDNMaps[[#This Row],[Type]],RecordCount[],8,0),0),"")</f>
        <v>2111110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11</v>
      </c>
      <c r="M197" s="6" t="str">
        <f ca="1">IFERROR(VLOOKUP(IDNMaps[[#This Row],[Type]],RecordCount[],6,0)&amp;"-"&amp;IDNMaps[[#This Row],[Type Count]],"")</f>
        <v>Form Fields-11</v>
      </c>
      <c r="N197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97" s="6" t="str">
        <f ca="1">IF(IDNMaps[[#This Row],[Name]]="","","("&amp;IDNMaps[[#This Row],[Type]]&amp;") "&amp;IDNMaps[[#This Row],[Name]])</f>
        <v>(Fields) Customer/NewCustomerForm/name</v>
      </c>
      <c r="P197" s="6">
        <f ca="1">IFERROR(VLOOKUP(IDNMaps[[#This Row],[Primary]],INDIRECT(VLOOKUP(IDNMaps[[#This Row],[Type]],RecordCount[],2,0)),VLOOKUP(IDNMaps[[#This Row],[Type]],RecordCount[],8,0),0),"")</f>
        <v>2111111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12</v>
      </c>
      <c r="M198" s="6" t="str">
        <f ca="1">IFERROR(VLOOKUP(IDNMaps[[#This Row],[Type]],RecordCount[],6,0)&amp;"-"&amp;IDNMaps[[#This Row],[Type Count]],"")</f>
        <v>Form Fields-12</v>
      </c>
      <c r="N198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98" s="6" t="str">
        <f ca="1">IF(IDNMaps[[#This Row],[Name]]="","","("&amp;IDNMaps[[#This Row],[Type]]&amp;") "&amp;IDNMaps[[#This Row],[Name]])</f>
        <v>(Fields) Customer/NewCustomerForm/phone</v>
      </c>
      <c r="P198" s="6">
        <f ca="1">IFERROR(VLOOKUP(IDNMaps[[#This Row],[Primary]],INDIRECT(VLOOKUP(IDNMaps[[#This Row],[Type]],RecordCount[],2,0)),VLOOKUP(IDNMaps[[#This Row],[Type]],RecordCount[],8,0),0),"")</f>
        <v>2111112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13</v>
      </c>
      <c r="M199" s="6" t="str">
        <f ca="1">IFERROR(VLOOKUP(IDNMaps[[#This Row],[Type]],RecordCount[],6,0)&amp;"-"&amp;IDNMaps[[#This Row],[Type Count]],"")</f>
        <v>Form Fields-13</v>
      </c>
      <c r="N199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99" s="6" t="str">
        <f ca="1">IF(IDNMaps[[#This Row],[Name]]="","","("&amp;IDNMaps[[#This Row],[Type]]&amp;") "&amp;IDNMaps[[#This Row],[Name]])</f>
        <v>(Fields) Customer/NewCustomerForm/address</v>
      </c>
      <c r="P199" s="6">
        <f ca="1">IFERROR(VLOOKUP(IDNMaps[[#This Row],[Primary]],INDIRECT(VLOOKUP(IDNMaps[[#This Row],[Type]],RecordCount[],2,0)),VLOOKUP(IDNMaps[[#This Row],[Type]],RecordCount[],8,0),0),"")</f>
        <v>2111113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14</v>
      </c>
      <c r="M200" s="6" t="str">
        <f ca="1">IFERROR(VLOOKUP(IDNMaps[[#This Row],[Type]],RecordCount[],6,0)&amp;"-"&amp;IDNMaps[[#This Row],[Type Count]],"")</f>
        <v>Form Fields-14</v>
      </c>
      <c r="N200" s="6" t="str">
        <f ca="1">IFERROR(VLOOKUP(IDNMaps[[#This Row],[Primary]],INDIRECT(VLOOKUP(IDNMaps[[#This Row],[Type]],RecordCount[],2,0)),VLOOKUP(IDNMaps[[#This Row],[Type]],RecordCount[],7,0),0),"")</f>
        <v>Hub/NewHubCreateFrom/name</v>
      </c>
      <c r="O200" s="6" t="str">
        <f ca="1">IF(IDNMaps[[#This Row],[Name]]="","","("&amp;IDNMaps[[#This Row],[Type]]&amp;") "&amp;IDNMaps[[#This Row],[Name]])</f>
        <v>(Fields) Hub/NewHubCreateFrom/name</v>
      </c>
      <c r="P200" s="6">
        <f ca="1">IFERROR(VLOOKUP(IDNMaps[[#This Row],[Primary]],INDIRECT(VLOOKUP(IDNMaps[[#This Row],[Type]],RecordCount[],2,0)),VLOOKUP(IDNMaps[[#This Row],[Type]],RecordCount[],8,0),0),"")</f>
        <v>2111114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15</v>
      </c>
      <c r="M201" s="6" t="str">
        <f ca="1">IFERROR(VLOOKUP(IDNMaps[[#This Row],[Type]],RecordCount[],6,0)&amp;"-"&amp;IDNMaps[[#This Row],[Type Count]],"")</f>
        <v>Form Fields-15</v>
      </c>
      <c r="N201" s="6" t="str">
        <f ca="1">IFERROR(VLOOKUP(IDNMaps[[#This Row],[Primary]],INDIRECT(VLOOKUP(IDNMaps[[#This Row],[Type]],RecordCount[],2,0)),VLOOKUP(IDNMaps[[#This Row],[Type]],RecordCount[],7,0),0),"")</f>
        <v>Hub/NewHubCreateFrom/phone</v>
      </c>
      <c r="O201" s="6" t="str">
        <f ca="1">IF(IDNMaps[[#This Row],[Name]]="","","("&amp;IDNMaps[[#This Row],[Type]]&amp;") "&amp;IDNMaps[[#This Row],[Name]])</f>
        <v>(Fields) Hub/NewHubCreateFrom/phone</v>
      </c>
      <c r="P201" s="6">
        <f ca="1">IFERROR(VLOOKUP(IDNMaps[[#This Row],[Primary]],INDIRECT(VLOOKUP(IDNMaps[[#This Row],[Type]],RecordCount[],2,0)),VLOOKUP(IDNMaps[[#This Row],[Type]],RecordCount[],8,0),0),"")</f>
        <v>2111115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16</v>
      </c>
      <c r="M202" s="6" t="str">
        <f ca="1">IFERROR(VLOOKUP(IDNMaps[[#This Row],[Type]],RecordCount[],6,0)&amp;"-"&amp;IDNMaps[[#This Row],[Type Count]],"")</f>
        <v>Form Fields-16</v>
      </c>
      <c r="N202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202" s="6" t="str">
        <f ca="1">IF(IDNMaps[[#This Row],[Name]]="","","("&amp;IDNMaps[[#This Row],[Type]]&amp;") "&amp;IDNMaps[[#This Row],[Name]])</f>
        <v>(Fields) Hub/NewHubCreateFrom/status</v>
      </c>
      <c r="P202" s="6">
        <f ca="1">IFERROR(VLOOKUP(IDNMaps[[#This Row],[Primary]],INDIRECT(VLOOKUP(IDNMaps[[#This Row],[Type]],RecordCount[],2,0)),VLOOKUP(IDNMaps[[#This Row],[Type]],RecordCount[],8,0),0),"")</f>
        <v>2111116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17</v>
      </c>
      <c r="M203" s="6" t="str">
        <f ca="1">IFERROR(VLOOKUP(IDNMaps[[#This Row],[Type]],RecordCount[],6,0)&amp;"-"&amp;IDNMaps[[#This Row],[Type Count]],"")</f>
        <v>Form Fields-17</v>
      </c>
      <c r="N203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203" s="6" t="str">
        <f ca="1">IF(IDNMaps[[#This Row],[Name]]="","","("&amp;IDNMaps[[#This Row],[Type]]&amp;") "&amp;IDNMaps[[#This Row],[Name]])</f>
        <v>(Fields) Hub/NewHubCreateFrom/address</v>
      </c>
      <c r="P203" s="6">
        <f ca="1">IFERROR(VLOOKUP(IDNMaps[[#This Row],[Primary]],INDIRECT(VLOOKUP(IDNMaps[[#This Row],[Type]],RecordCount[],2,0)),VLOOKUP(IDNMaps[[#This Row],[Type]],RecordCount[],8,0),0),"")</f>
        <v>2111117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18</v>
      </c>
      <c r="M204" s="6" t="str">
        <f ca="1">IFERROR(VLOOKUP(IDNMaps[[#This Row],[Type]],RecordCount[],6,0)&amp;"-"&amp;IDNMaps[[#This Row],[Type Count]],"")</f>
        <v>Form Fields-18</v>
      </c>
      <c r="N204" s="6" t="str">
        <f ca="1">IFERROR(VLOOKUP(IDNMaps[[#This Row],[Primary]],INDIRECT(VLOOKUP(IDNMaps[[#This Row],[Type]],RecordCount[],2,0)),VLOOKUP(IDNMaps[[#This Row],[Type]],RecordCount[],7,0),0),"")</f>
        <v>Hub/NewHubCreateFrom/image</v>
      </c>
      <c r="O204" s="6" t="str">
        <f ca="1">IF(IDNMaps[[#This Row],[Name]]="","","("&amp;IDNMaps[[#This Row],[Type]]&amp;") "&amp;IDNMaps[[#This Row],[Name]])</f>
        <v>(Fields) Hub/NewHubCreateFrom/image</v>
      </c>
      <c r="P204" s="6">
        <f ca="1">IFERROR(VLOOKUP(IDNMaps[[#This Row],[Primary]],INDIRECT(VLOOKUP(IDNMaps[[#This Row],[Type]],RecordCount[],2,0)),VLOOKUP(IDNMaps[[#This Row],[Type]],RecordCount[],8,0),0),"")</f>
        <v>2111118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19</v>
      </c>
      <c r="M205" s="6" t="str">
        <f ca="1">IFERROR(VLOOKUP(IDNMaps[[#This Row],[Type]],RecordCount[],6,0)&amp;"-"&amp;IDNMaps[[#This Row],[Type Count]],"")</f>
        <v>Form Fields-19</v>
      </c>
      <c r="N205" s="6" t="str">
        <f ca="1">IFERROR(VLOOKUP(IDNMaps[[#This Row],[Primary]],INDIRECT(VLOOKUP(IDNMaps[[#This Row],[Type]],RecordCount[],2,0)),VLOOKUP(IDNMaps[[#This Row],[Type]],RecordCount[],7,0),0),"")</f>
        <v>Hub/NewHubCreateFrom/email</v>
      </c>
      <c r="O205" s="6" t="str">
        <f ca="1">IF(IDNMaps[[#This Row],[Name]]="","","("&amp;IDNMaps[[#This Row],[Type]]&amp;") "&amp;IDNMaps[[#This Row],[Name]])</f>
        <v>(Fields) Hub/NewHubCreateFrom/email</v>
      </c>
      <c r="P205" s="6">
        <f ca="1">IFERROR(VLOOKUP(IDNMaps[[#This Row],[Primary]],INDIRECT(VLOOKUP(IDNMaps[[#This Row],[Type]],RecordCount[],2,0)),VLOOKUP(IDNMaps[[#This Row],[Type]],RecordCount[],8,0),0),"")</f>
        <v>2111119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20</v>
      </c>
      <c r="M206" s="6" t="str">
        <f ca="1">IFERROR(VLOOKUP(IDNMaps[[#This Row],[Type]],RecordCount[],6,0)&amp;"-"&amp;IDNMaps[[#This Row],[Type Count]],"")</f>
        <v>Form Fields-20</v>
      </c>
      <c r="N206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206" s="6" t="str">
        <f ca="1">IF(IDNMaps[[#This Row],[Name]]="","","("&amp;IDNMaps[[#This Row],[Type]]&amp;") "&amp;IDNMaps[[#This Row],[Name]])</f>
        <v>(Fields) Hub/NewHubCreateFrom/website</v>
      </c>
      <c r="P206" s="6">
        <f ca="1">IFERROR(VLOOKUP(IDNMaps[[#This Row],[Primary]],INDIRECT(VLOOKUP(IDNMaps[[#This Row],[Type]],RecordCount[],2,0)),VLOOKUP(IDNMaps[[#This Row],[Type]],RecordCount[],8,0),0),"")</f>
        <v>2111120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21</v>
      </c>
      <c r="M207" s="6" t="str">
        <f ca="1">IFERROR(VLOOKUP(IDNMaps[[#This Row],[Type]],RecordCount[],6,0)&amp;"-"&amp;IDNMaps[[#This Row],[Type Count]],"")</f>
        <v>Form Fields-21</v>
      </c>
      <c r="N207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207" s="6" t="str">
        <f ca="1">IF(IDNMaps[[#This Row],[Name]]="","","("&amp;IDNMaps[[#This Row],[Type]]&amp;") "&amp;IDNMaps[[#This Row],[Name]])</f>
        <v>(Fields) Service/AddNewServiceForm/name</v>
      </c>
      <c r="P207" s="6">
        <f ca="1">IFERROR(VLOOKUP(IDNMaps[[#This Row],[Primary]],INDIRECT(VLOOKUP(IDNMaps[[#This Row],[Type]],RecordCount[],2,0)),VLOOKUP(IDNMaps[[#This Row],[Type]],RecordCount[],8,0),0),"")</f>
        <v>2111121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22</v>
      </c>
      <c r="M208" s="6" t="str">
        <f ca="1">IFERROR(VLOOKUP(IDNMaps[[#This Row],[Type]],RecordCount[],6,0)&amp;"-"&amp;IDNMaps[[#This Row],[Type Count]],"")</f>
        <v>Form Fields-22</v>
      </c>
      <c r="N208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208" s="6" t="str">
        <f ca="1">IF(IDNMaps[[#This Row],[Name]]="","","("&amp;IDNMaps[[#This Row],[Type]]&amp;") "&amp;IDNMaps[[#This Row],[Name]])</f>
        <v>(Fields) Service/AddNewServiceForm/description</v>
      </c>
      <c r="P208" s="6">
        <f ca="1">IFERROR(VLOOKUP(IDNMaps[[#This Row],[Primary]],INDIRECT(VLOOKUP(IDNMaps[[#This Row],[Type]],RecordCount[],2,0)),VLOOKUP(IDNMaps[[#This Row],[Type]],RecordCount[],8,0),0),"")</f>
        <v>2111122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23</v>
      </c>
      <c r="M209" s="6" t="str">
        <f ca="1">IFERROR(VLOOKUP(IDNMaps[[#This Row],[Type]],RecordCount[],6,0)&amp;"-"&amp;IDNMaps[[#This Row],[Type Count]],"")</f>
        <v>Form Fields-23</v>
      </c>
      <c r="N209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209" s="6" t="str">
        <f ca="1">IF(IDNMaps[[#This Row],[Name]]="","","("&amp;IDNMaps[[#This Row],[Type]]&amp;") "&amp;IDNMaps[[#This Row],[Name]])</f>
        <v>(Fields) Service/AddNewServiceForm/status</v>
      </c>
      <c r="P209" s="6">
        <f ca="1">IFERROR(VLOOKUP(IDNMaps[[#This Row],[Primary]],INDIRECT(VLOOKUP(IDNMaps[[#This Row],[Type]],RecordCount[],2,0)),VLOOKUP(IDNMaps[[#This Row],[Type]],RecordCount[],8,0),0),"")</f>
        <v>2111123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24</v>
      </c>
      <c r="M210" s="6" t="str">
        <f ca="1">IFERROR(VLOOKUP(IDNMaps[[#This Row],[Type]],RecordCount[],6,0)&amp;"-"&amp;IDNMaps[[#This Row],[Type Count]],"")</f>
        <v>Form Fields-24</v>
      </c>
      <c r="N210" s="6" t="str">
        <f ca="1">IFERROR(VLOOKUP(IDNMaps[[#This Row],[Primary]],INDIRECT(VLOOKUP(IDNMaps[[#This Row],[Type]],RecordCount[],2,0)),VLOOKUP(IDNMaps[[#This Row],[Type]],RecordCount[],7,0),0),"")</f>
        <v>Item/AddNewItemForm/name</v>
      </c>
      <c r="O210" s="6" t="str">
        <f ca="1">IF(IDNMaps[[#This Row],[Name]]="","","("&amp;IDNMaps[[#This Row],[Type]]&amp;") "&amp;IDNMaps[[#This Row],[Name]])</f>
        <v>(Fields) Item/AddNewItemForm/name</v>
      </c>
      <c r="P210" s="6">
        <f ca="1">IFERROR(VLOOKUP(IDNMaps[[#This Row],[Primary]],INDIRECT(VLOOKUP(IDNMaps[[#This Row],[Type]],RecordCount[],2,0)),VLOOKUP(IDNMaps[[#This Row],[Type]],RecordCount[],8,0),0),"")</f>
        <v>2111124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25</v>
      </c>
      <c r="M211" s="6" t="str">
        <f ca="1">IFERROR(VLOOKUP(IDNMaps[[#This Row],[Type]],RecordCount[],6,0)&amp;"-"&amp;IDNMaps[[#This Row],[Type Count]],"")</f>
        <v>Form Fields-25</v>
      </c>
      <c r="N211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211" s="6" t="str">
        <f ca="1">IF(IDNMaps[[#This Row],[Name]]="","","("&amp;IDNMaps[[#This Row],[Type]]&amp;") "&amp;IDNMaps[[#This Row],[Name]])</f>
        <v>(Fields) Item/AddNewItemForm/description</v>
      </c>
      <c r="P211" s="6">
        <f ca="1">IFERROR(VLOOKUP(IDNMaps[[#This Row],[Primary]],INDIRECT(VLOOKUP(IDNMaps[[#This Row],[Type]],RecordCount[],2,0)),VLOOKUP(IDNMaps[[#This Row],[Type]],RecordCount[],8,0),0),"")</f>
        <v>2111125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26</v>
      </c>
      <c r="M212" s="6" t="str">
        <f ca="1">IFERROR(VLOOKUP(IDNMaps[[#This Row],[Type]],RecordCount[],6,0)&amp;"-"&amp;IDNMaps[[#This Row],[Type Count]],"")</f>
        <v>Form Fields-26</v>
      </c>
      <c r="N212" s="6" t="str">
        <f ca="1">IFERROR(VLOOKUP(IDNMaps[[#This Row],[Primary]],INDIRECT(VLOOKUP(IDNMaps[[#This Row],[Type]],RecordCount[],2,0)),VLOOKUP(IDNMaps[[#This Row],[Type]],RecordCount[],7,0),0),"")</f>
        <v>Item/AddNewItemForm/status</v>
      </c>
      <c r="O212" s="6" t="str">
        <f ca="1">IF(IDNMaps[[#This Row],[Name]]="","","("&amp;IDNMaps[[#This Row],[Type]]&amp;") "&amp;IDNMaps[[#This Row],[Name]])</f>
        <v>(Fields) Item/AddNewItemForm/status</v>
      </c>
      <c r="P212" s="6">
        <f ca="1">IFERROR(VLOOKUP(IDNMaps[[#This Row],[Primary]],INDIRECT(VLOOKUP(IDNMaps[[#This Row],[Type]],RecordCount[],2,0)),VLOOKUP(IDNMaps[[#This Row],[Type]],RecordCount[],8,0),0),"")</f>
        <v>2111126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27</v>
      </c>
      <c r="M213" s="6" t="str">
        <f ca="1">IFERROR(VLOOKUP(IDNMaps[[#This Row],[Type]],RecordCount[],6,0)&amp;"-"&amp;IDNMaps[[#This Row],[Type Count]],"")</f>
        <v>Form Fields-27</v>
      </c>
      <c r="N213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213" s="6" t="str">
        <f ca="1">IF(IDNMaps[[#This Row],[Name]]="","","("&amp;IDNMaps[[#This Row],[Type]]&amp;") "&amp;IDNMaps[[#This Row],[Name]])</f>
        <v>(Fields) ItemService/AddServicesToItemForm/item</v>
      </c>
      <c r="P213" s="6">
        <f ca="1">IFERROR(VLOOKUP(IDNMaps[[#This Row],[Primary]],INDIRECT(VLOOKUP(IDNMaps[[#This Row],[Type]],RecordCount[],2,0)),VLOOKUP(IDNMaps[[#This Row],[Type]],RecordCount[],8,0),0),"")</f>
        <v>2111127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28</v>
      </c>
      <c r="M214" s="6" t="str">
        <f ca="1">IFERROR(VLOOKUP(IDNMaps[[#This Row],[Type]],RecordCount[],6,0)&amp;"-"&amp;IDNMaps[[#This Row],[Type Count]],"")</f>
        <v>Form Fields-28</v>
      </c>
      <c r="N214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214" s="6" t="str">
        <f ca="1">IF(IDNMaps[[#This Row],[Name]]="","","("&amp;IDNMaps[[#This Row],[Type]]&amp;") "&amp;IDNMaps[[#This Row],[Name]])</f>
        <v>(Fields) ItemService/AddServicesToItemForm/service</v>
      </c>
      <c r="P214" s="6">
        <f ca="1">IFERROR(VLOOKUP(IDNMaps[[#This Row],[Primary]],INDIRECT(VLOOKUP(IDNMaps[[#This Row],[Type]],RecordCount[],2,0)),VLOOKUP(IDNMaps[[#This Row],[Type]],RecordCount[],8,0),0),"")</f>
        <v>2111128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29</v>
      </c>
      <c r="M215" s="6" t="str">
        <f ca="1">IFERROR(VLOOKUP(IDNMaps[[#This Row],[Type]],RecordCount[],6,0)&amp;"-"&amp;IDNMaps[[#This Row],[Type Count]],"")</f>
        <v>Form Fields-29</v>
      </c>
      <c r="N215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215" s="6" t="str">
        <f ca="1">IF(IDNMaps[[#This Row],[Name]]="","","("&amp;IDNMaps[[#This Row],[Type]]&amp;") "&amp;IDNMaps[[#This Row],[Name]])</f>
        <v>(Fields) ItemService/AddServicesToItemForm/name</v>
      </c>
      <c r="P215" s="6">
        <f ca="1">IFERROR(VLOOKUP(IDNMaps[[#This Row],[Primary]],INDIRECT(VLOOKUP(IDNMaps[[#This Row],[Type]],RecordCount[],2,0)),VLOOKUP(IDNMaps[[#This Row],[Type]],RecordCount[],8,0),0),"")</f>
        <v>2111129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30</v>
      </c>
      <c r="M216" s="6" t="str">
        <f ca="1">IFERROR(VLOOKUP(IDNMaps[[#This Row],[Type]],RecordCount[],6,0)&amp;"-"&amp;IDNMaps[[#This Row],[Type Count]],"")</f>
        <v>Form Fields-30</v>
      </c>
      <c r="N216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216" s="6" t="str">
        <f ca="1">IF(IDNMaps[[#This Row],[Name]]="","","("&amp;IDNMaps[[#This Row],[Type]]&amp;") "&amp;IDNMaps[[#This Row],[Name]])</f>
        <v>(Fields) ItemService/UpdateItemsService/name</v>
      </c>
      <c r="P216" s="6">
        <f ca="1">IFERROR(VLOOKUP(IDNMaps[[#This Row],[Primary]],INDIRECT(VLOOKUP(IDNMaps[[#This Row],[Type]],RecordCount[],2,0)),VLOOKUP(IDNMaps[[#This Row],[Type]],RecordCount[],8,0),0),"")</f>
        <v>2111130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31</v>
      </c>
      <c r="M217" s="6" t="str">
        <f ca="1">IFERROR(VLOOKUP(IDNMaps[[#This Row],[Type]],RecordCount[],6,0)&amp;"-"&amp;IDNMaps[[#This Row],[Type Count]],"")</f>
        <v>Form Fields-31</v>
      </c>
      <c r="N217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217" s="6" t="str">
        <f ca="1">IF(IDNMaps[[#This Row],[Name]]="","","("&amp;IDNMaps[[#This Row],[Type]]&amp;") "&amp;IDNMaps[[#This Row],[Name]])</f>
        <v>(Fields) ItemService/UpdateItemsService/service</v>
      </c>
      <c r="P217" s="6">
        <f ca="1">IFERROR(VLOOKUP(IDNMaps[[#This Row],[Primary]],INDIRECT(VLOOKUP(IDNMaps[[#This Row],[Type]],RecordCount[],2,0)),VLOOKUP(IDNMaps[[#This Row],[Type]],RecordCount[],8,0),0),"")</f>
        <v>2111131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32</v>
      </c>
      <c r="M218" s="6" t="str">
        <f ca="1">IFERROR(VLOOKUP(IDNMaps[[#This Row],[Type]],RecordCount[],6,0)&amp;"-"&amp;IDNMaps[[#This Row],[Type Count]],"")</f>
        <v>Form Fields-32</v>
      </c>
      <c r="N218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218" s="6" t="str">
        <f ca="1">IF(IDNMaps[[#This Row],[Name]]="","","("&amp;IDNMaps[[#This Row],[Type]]&amp;") "&amp;IDNMaps[[#This Row],[Name]])</f>
        <v>(Fields) ItemService/UpdateItemsService/status</v>
      </c>
      <c r="P218" s="6">
        <f ca="1">IFERROR(VLOOKUP(IDNMaps[[#This Row],[Primary]],INDIRECT(VLOOKUP(IDNMaps[[#This Row],[Type]],RecordCount[],2,0)),VLOOKUP(IDNMaps[[#This Row],[Type]],RecordCount[],8,0),0),"")</f>
        <v>2111132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33</v>
      </c>
      <c r="M219" s="6" t="str">
        <f ca="1">IFERROR(VLOOKUP(IDNMaps[[#This Row],[Type]],RecordCount[],6,0)&amp;"-"&amp;IDNMaps[[#This Row],[Type Count]],"")</f>
        <v>Form Fields-33</v>
      </c>
      <c r="N219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219" s="6" t="str">
        <f ca="1">IF(IDNMaps[[#This Row],[Name]]="","","("&amp;IDNMaps[[#This Row],[Type]]&amp;") "&amp;IDNMaps[[#This Row],[Name]])</f>
        <v>(Fields) Shelf/CreateNewShelfForm/hub</v>
      </c>
      <c r="P219" s="6">
        <f ca="1">IFERROR(VLOOKUP(IDNMaps[[#This Row],[Primary]],INDIRECT(VLOOKUP(IDNMaps[[#This Row],[Type]],RecordCount[],2,0)),VLOOKUP(IDNMaps[[#This Row],[Type]],RecordCount[],8,0),0),"")</f>
        <v>2111133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34</v>
      </c>
      <c r="M220" s="6" t="str">
        <f ca="1">IFERROR(VLOOKUP(IDNMaps[[#This Row],[Type]],RecordCount[],6,0)&amp;"-"&amp;IDNMaps[[#This Row],[Type Count]],"")</f>
        <v>Form Fields-34</v>
      </c>
      <c r="N220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220" s="6" t="str">
        <f ca="1">IF(IDNMaps[[#This Row],[Name]]="","","("&amp;IDNMaps[[#This Row],[Type]]&amp;") "&amp;IDNMaps[[#This Row],[Name]])</f>
        <v>(Fields) Shelf/CreateNewShelfForm/name</v>
      </c>
      <c r="P220" s="6">
        <f ca="1">IFERROR(VLOOKUP(IDNMaps[[#This Row],[Primary]],INDIRECT(VLOOKUP(IDNMaps[[#This Row],[Type]],RecordCount[],2,0)),VLOOKUP(IDNMaps[[#This Row],[Type]],RecordCount[],8,0),0),"")</f>
        <v>2111134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35</v>
      </c>
      <c r="M221" s="6" t="str">
        <f ca="1">IFERROR(VLOOKUP(IDNMaps[[#This Row],[Type]],RecordCount[],6,0)&amp;"-"&amp;IDNMaps[[#This Row],[Type Count]],"")</f>
        <v>Form Fields-35</v>
      </c>
      <c r="N221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221" s="6" t="str">
        <f ca="1">IF(IDNMaps[[#This Row],[Name]]="","","("&amp;IDNMaps[[#This Row],[Type]]&amp;") "&amp;IDNMaps[[#This Row],[Name]])</f>
        <v>(Fields) Shelf/CreateNewShelfForm/status</v>
      </c>
      <c r="P221" s="6">
        <f ca="1">IFERROR(VLOOKUP(IDNMaps[[#This Row],[Primary]],INDIRECT(VLOOKUP(IDNMaps[[#This Row],[Type]],RecordCount[],2,0)),VLOOKUP(IDNMaps[[#This Row],[Type]],RecordCount[],8,0),0),"")</f>
        <v>2111135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36</v>
      </c>
      <c r="M222" s="6" t="str">
        <f ca="1">IFERROR(VLOOKUP(IDNMaps[[#This Row],[Type]],RecordCount[],6,0)&amp;"-"&amp;IDNMaps[[#This Row],[Type Count]],"")</f>
        <v>Form Fields-36</v>
      </c>
      <c r="N222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222" s="6" t="str">
        <f ca="1">IF(IDNMaps[[#This Row],[Name]]="","","("&amp;IDNMaps[[#This Row],[Type]]&amp;") "&amp;IDNMaps[[#This Row],[Name]])</f>
        <v>(Fields) HubDefaultShelf/AssignHubsDefaultShelf/hub</v>
      </c>
      <c r="P222" s="6">
        <f ca="1">IFERROR(VLOOKUP(IDNMaps[[#This Row],[Primary]],INDIRECT(VLOOKUP(IDNMaps[[#This Row],[Type]],RecordCount[],2,0)),VLOOKUP(IDNMaps[[#This Row],[Type]],RecordCount[],8,0),0),"")</f>
        <v>2111136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37</v>
      </c>
      <c r="M223" s="6" t="str">
        <f ca="1">IFERROR(VLOOKUP(IDNMaps[[#This Row],[Type]],RecordCount[],6,0)&amp;"-"&amp;IDNMaps[[#This Row],[Type Count]],"")</f>
        <v>Form Fields-37</v>
      </c>
      <c r="N223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223" s="6" t="str">
        <f ca="1">IF(IDNMaps[[#This Row],[Name]]="","","("&amp;IDNMaps[[#This Row],[Type]]&amp;") "&amp;IDNMaps[[#This Row],[Name]])</f>
        <v>(Fields) HubDefaultShelf/AssignHubsDefaultShelf/shelf</v>
      </c>
      <c r="P223" s="6">
        <f ca="1">IFERROR(VLOOKUP(IDNMaps[[#This Row],[Primary]],INDIRECT(VLOOKUP(IDNMaps[[#This Row],[Type]],RecordCount[],2,0)),VLOOKUP(IDNMaps[[#This Row],[Type]],RecordCount[],8,0),0),"")</f>
        <v>2111137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38</v>
      </c>
      <c r="M224" s="6" t="str">
        <f ca="1">IFERROR(VLOOKUP(IDNMaps[[#This Row],[Type]],RecordCount[],6,0)&amp;"-"&amp;IDNMaps[[#This Row],[Type Count]],"")</f>
        <v>Form Fields-38</v>
      </c>
      <c r="N224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224" s="6" t="str">
        <f ca="1">IF(IDNMaps[[#This Row],[Name]]="","","("&amp;IDNMaps[[#This Row],[Type]]&amp;") "&amp;IDNMaps[[#This Row],[Name]])</f>
        <v>(Fields) Pricelist/CreateNewPLForm/name</v>
      </c>
      <c r="P224" s="6">
        <f ca="1">IFERROR(VLOOKUP(IDNMaps[[#This Row],[Primary]],INDIRECT(VLOOKUP(IDNMaps[[#This Row],[Type]],RecordCount[],2,0)),VLOOKUP(IDNMaps[[#This Row],[Type]],RecordCount[],8,0),0),"")</f>
        <v>2111138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39</v>
      </c>
      <c r="M225" s="6" t="str">
        <f ca="1">IFERROR(VLOOKUP(IDNMaps[[#This Row],[Type]],RecordCount[],6,0)&amp;"-"&amp;IDNMaps[[#This Row],[Type Count]],"")</f>
        <v>Form Fields-39</v>
      </c>
      <c r="N225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225" s="6" t="str">
        <f ca="1">IF(IDNMaps[[#This Row],[Name]]="","","("&amp;IDNMaps[[#This Row],[Type]]&amp;") "&amp;IDNMaps[[#This Row],[Name]])</f>
        <v>(Fields) Pricelist/CreateNewPLForm/description</v>
      </c>
      <c r="P225" s="6">
        <f ca="1">IFERROR(VLOOKUP(IDNMaps[[#This Row],[Primary]],INDIRECT(VLOOKUP(IDNMaps[[#This Row],[Type]],RecordCount[],2,0)),VLOOKUP(IDNMaps[[#This Row],[Type]],RecordCount[],8,0),0),"")</f>
        <v>2111139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40</v>
      </c>
      <c r="M226" s="6" t="str">
        <f ca="1">IFERROR(VLOOKUP(IDNMaps[[#This Row],[Type]],RecordCount[],6,0)&amp;"-"&amp;IDNMaps[[#This Row],[Type Count]],"")</f>
        <v>Form Fields-40</v>
      </c>
      <c r="N226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226" s="6" t="str">
        <f ca="1">IF(IDNMaps[[#This Row],[Name]]="","","("&amp;IDNMaps[[#This Row],[Type]]&amp;") "&amp;IDNMaps[[#This Row],[Name]])</f>
        <v>(Fields) Pricelist/CreateNewPLForm/status</v>
      </c>
      <c r="P226" s="6">
        <f ca="1">IFERROR(VLOOKUP(IDNMaps[[#This Row],[Primary]],INDIRECT(VLOOKUP(IDNMaps[[#This Row],[Type]],RecordCount[],2,0)),VLOOKUP(IDNMaps[[#This Row],[Type]],RecordCount[],8,0),0),"")</f>
        <v>2111140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41</v>
      </c>
      <c r="M227" s="6" t="str">
        <f ca="1">IFERROR(VLOOKUP(IDNMaps[[#This Row],[Type]],RecordCount[],6,0)&amp;"-"&amp;IDNMaps[[#This Row],[Type Count]],"")</f>
        <v>Form Fields-41</v>
      </c>
      <c r="N227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27" s="6" t="str">
        <f ca="1">IF(IDNMaps[[#This Row],[Name]]="","","("&amp;IDNMaps[[#This Row],[Type]]&amp;") "&amp;IDNMaps[[#This Row],[Name]])</f>
        <v>(Fields) PricelistContent/AddContentsToPL/pl</v>
      </c>
      <c r="P227" s="6">
        <f ca="1">IFERROR(VLOOKUP(IDNMaps[[#This Row],[Primary]],INDIRECT(VLOOKUP(IDNMaps[[#This Row],[Type]],RecordCount[],2,0)),VLOOKUP(IDNMaps[[#This Row],[Type]],RecordCount[],8,0),0),"")</f>
        <v>2111141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42</v>
      </c>
      <c r="M228" s="6" t="str">
        <f ca="1">IFERROR(VLOOKUP(IDNMaps[[#This Row],[Type]],RecordCount[],6,0)&amp;"-"&amp;IDNMaps[[#This Row],[Type Count]],"")</f>
        <v>Form Fields-42</v>
      </c>
      <c r="N228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28" s="6" t="str">
        <f ca="1">IF(IDNMaps[[#This Row],[Name]]="","","("&amp;IDNMaps[[#This Row],[Type]]&amp;") "&amp;IDNMaps[[#This Row],[Name]])</f>
        <v>(Fields) PricelistContent/AddContentsToPL/is</v>
      </c>
      <c r="P228" s="6">
        <f ca="1">IFERROR(VLOOKUP(IDNMaps[[#This Row],[Primary]],INDIRECT(VLOOKUP(IDNMaps[[#This Row],[Type]],RecordCount[],2,0)),VLOOKUP(IDNMaps[[#This Row],[Type]],RecordCount[],8,0),0),"")</f>
        <v>2111142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43</v>
      </c>
      <c r="M229" s="6" t="str">
        <f ca="1">IFERROR(VLOOKUP(IDNMaps[[#This Row],[Type]],RecordCount[],6,0)&amp;"-"&amp;IDNMaps[[#This Row],[Type Count]],"")</f>
        <v>Form Fields-43</v>
      </c>
      <c r="N229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29" s="6" t="str">
        <f ca="1">IF(IDNMaps[[#This Row],[Name]]="","","("&amp;IDNMaps[[#This Row],[Type]]&amp;") "&amp;IDNMaps[[#This Row],[Name]])</f>
        <v>(Fields) PricelistContent/AddContentsToPL/price</v>
      </c>
      <c r="P229" s="6">
        <f ca="1">IFERROR(VLOOKUP(IDNMaps[[#This Row],[Primary]],INDIRECT(VLOOKUP(IDNMaps[[#This Row],[Type]],RecordCount[],2,0)),VLOOKUP(IDNMaps[[#This Row],[Type]],RecordCount[],8,0),0),"")</f>
        <v>2111143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44</v>
      </c>
      <c r="M230" s="6" t="str">
        <f ca="1">IFERROR(VLOOKUP(IDNMaps[[#This Row],[Type]],RecordCount[],6,0)&amp;"-"&amp;IDNMaps[[#This Row],[Type Count]],"")</f>
        <v>Form Fields-44</v>
      </c>
      <c r="N230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30" s="6" t="str">
        <f ca="1">IF(IDNMaps[[#This Row],[Name]]="","","("&amp;IDNMaps[[#This Row],[Type]]&amp;") "&amp;IDNMaps[[#This Row],[Name]])</f>
        <v>(Fields) PricelistContent/UpdatePLContent/price</v>
      </c>
      <c r="P230" s="6">
        <f ca="1">IFERROR(VLOOKUP(IDNMaps[[#This Row],[Primary]],INDIRECT(VLOOKUP(IDNMaps[[#This Row],[Type]],RecordCount[],2,0)),VLOOKUP(IDNMaps[[#This Row],[Type]],RecordCount[],8,0),0),"")</f>
        <v>2111144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45</v>
      </c>
      <c r="M231" s="6" t="str">
        <f ca="1">IFERROR(VLOOKUP(IDNMaps[[#This Row],[Type]],RecordCount[],6,0)&amp;"-"&amp;IDNMaps[[#This Row],[Type Count]],"")</f>
        <v>Form Fields-45</v>
      </c>
      <c r="N231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31" s="6" t="str">
        <f ca="1">IF(IDNMaps[[#This Row],[Name]]="","","("&amp;IDNMaps[[#This Row],[Type]]&amp;") "&amp;IDNMaps[[#This Row],[Name]])</f>
        <v>(Fields) PricelistContent/UpdatePLContent/status</v>
      </c>
      <c r="P231" s="6">
        <f ca="1">IFERROR(VLOOKUP(IDNMaps[[#This Row],[Primary]],INDIRECT(VLOOKUP(IDNMaps[[#This Row],[Type]],RecordCount[],2,0)),VLOOKUP(IDNMaps[[#This Row],[Type]],RecordCount[],8,0),0),"")</f>
        <v>2111145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46</v>
      </c>
      <c r="M232" s="6" t="str">
        <f ca="1">IFERROR(VLOOKUP(IDNMaps[[#This Row],[Type]],RecordCount[],6,0)&amp;"-"&amp;IDNMaps[[#This Row],[Type Count]],"")</f>
        <v>Form Fields-46</v>
      </c>
      <c r="N232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32" s="6" t="str">
        <f ca="1">IF(IDNMaps[[#This Row],[Name]]="","","("&amp;IDNMaps[[#This Row],[Type]]&amp;") "&amp;IDNMaps[[#This Row],[Name]])</f>
        <v>(Fields) IdentityLabel/NewIdentityLabelForm/hub</v>
      </c>
      <c r="P232" s="6">
        <f ca="1">IFERROR(VLOOKUP(IDNMaps[[#This Row],[Primary]],INDIRECT(VLOOKUP(IDNMaps[[#This Row],[Type]],RecordCount[],2,0)),VLOOKUP(IDNMaps[[#This Row],[Type]],RecordCount[],8,0),0),"")</f>
        <v>2111146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47</v>
      </c>
      <c r="M233" s="6" t="str">
        <f ca="1">IFERROR(VLOOKUP(IDNMaps[[#This Row],[Type]],RecordCount[],6,0)&amp;"-"&amp;IDNMaps[[#This Row],[Type Count]],"")</f>
        <v>Form Fields-47</v>
      </c>
      <c r="N233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33" s="6" t="str">
        <f ca="1">IF(IDNMaps[[#This Row],[Name]]="","","("&amp;IDNMaps[[#This Row],[Type]]&amp;") "&amp;IDNMaps[[#This Row],[Name]])</f>
        <v>(Fields) IdentityLabel/NewIdentityLabelForm/code</v>
      </c>
      <c r="P233" s="6">
        <f ca="1">IFERROR(VLOOKUP(IDNMaps[[#This Row],[Primary]],INDIRECT(VLOOKUP(IDNMaps[[#This Row],[Type]],RecordCount[],2,0)),VLOOKUP(IDNMaps[[#This Row],[Type]],RecordCount[],8,0),0),"")</f>
        <v>2111147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48</v>
      </c>
      <c r="M234" s="6" t="str">
        <f ca="1">IFERROR(VLOOKUP(IDNMaps[[#This Row],[Type]],RecordCount[],6,0)&amp;"-"&amp;IDNMaps[[#This Row],[Type Count]],"")</f>
        <v>Form Fields-48</v>
      </c>
      <c r="N234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34" s="6" t="str">
        <f ca="1">IF(IDNMaps[[#This Row],[Name]]="","","("&amp;IDNMaps[[#This Row],[Type]]&amp;") "&amp;IDNMaps[[#This Row],[Name]])</f>
        <v>(Fields) IdentityLabel/NewIdentityLabelForm/status</v>
      </c>
      <c r="P234" s="6">
        <f ca="1">IFERROR(VLOOKUP(IDNMaps[[#This Row],[Primary]],INDIRECT(VLOOKUP(IDNMaps[[#This Row],[Type]],RecordCount[],2,0)),VLOOKUP(IDNMaps[[#This Row],[Type]],RecordCount[],8,0),0),"")</f>
        <v>2111148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49</v>
      </c>
      <c r="M235" s="6" t="str">
        <f ca="1">IFERROR(VLOOKUP(IDNMaps[[#This Row],[Type]],RecordCount[],6,0)&amp;"-"&amp;IDNMaps[[#This Row],[Type Count]],"")</f>
        <v>Form Fields-49</v>
      </c>
      <c r="N235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35" s="6" t="str">
        <f ca="1">IF(IDNMaps[[#This Row],[Name]]="","","("&amp;IDNMaps[[#This Row],[Type]]&amp;") "&amp;IDNMaps[[#This Row],[Name]])</f>
        <v>(Fields) Order/NewOrderForm/customer</v>
      </c>
      <c r="P235" s="6">
        <f ca="1">IFERROR(VLOOKUP(IDNMaps[[#This Row],[Primary]],INDIRECT(VLOOKUP(IDNMaps[[#This Row],[Type]],RecordCount[],2,0)),VLOOKUP(IDNMaps[[#This Row],[Type]],RecordCount[],8,0),0),"")</f>
        <v>2111149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50</v>
      </c>
      <c r="M236" s="6" t="str">
        <f ca="1">IFERROR(VLOOKUP(IDNMaps[[#This Row],[Type]],RecordCount[],6,0)&amp;"-"&amp;IDNMaps[[#This Row],[Type Count]],"")</f>
        <v>Form Fields-50</v>
      </c>
      <c r="N236" s="6" t="str">
        <f ca="1">IFERROR(VLOOKUP(IDNMaps[[#This Row],[Primary]],INDIRECT(VLOOKUP(IDNMaps[[#This Row],[Type]],RecordCount[],2,0)),VLOOKUP(IDNMaps[[#This Row],[Type]],RecordCount[],7,0),0),"")</f>
        <v>Order/NewOrderForm/date</v>
      </c>
      <c r="O236" s="6" t="str">
        <f ca="1">IF(IDNMaps[[#This Row],[Name]]="","","("&amp;IDNMaps[[#This Row],[Type]]&amp;") "&amp;IDNMaps[[#This Row],[Name]])</f>
        <v>(Fields) Order/NewOrderForm/date</v>
      </c>
      <c r="P236" s="6">
        <f ca="1">IFERROR(VLOOKUP(IDNMaps[[#This Row],[Primary]],INDIRECT(VLOOKUP(IDNMaps[[#This Row],[Type]],RecordCount[],2,0)),VLOOKUP(IDNMaps[[#This Row],[Type]],RecordCount[],8,0),0),"")</f>
        <v>2111150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51</v>
      </c>
      <c r="M237" s="6" t="str">
        <f ca="1">IFERROR(VLOOKUP(IDNMaps[[#This Row],[Type]],RecordCount[],6,0)&amp;"-"&amp;IDNMaps[[#This Row],[Type Count]],"")</f>
        <v>Form Fields-51</v>
      </c>
      <c r="N237" s="6" t="str">
        <f ca="1">IFERROR(VLOOKUP(IDNMaps[[#This Row],[Primary]],INDIRECT(VLOOKUP(IDNMaps[[#This Row],[Type]],RecordCount[],2,0)),VLOOKUP(IDNMaps[[#This Row],[Type]],RecordCount[],7,0),0),"")</f>
        <v>Order/NewOrderForm/pl</v>
      </c>
      <c r="O237" s="6" t="str">
        <f ca="1">IF(IDNMaps[[#This Row],[Name]]="","","("&amp;IDNMaps[[#This Row],[Type]]&amp;") "&amp;IDNMaps[[#This Row],[Name]])</f>
        <v>(Fields) Order/NewOrderForm/pl</v>
      </c>
      <c r="P237" s="6">
        <f ca="1">IFERROR(VLOOKUP(IDNMaps[[#This Row],[Primary]],INDIRECT(VLOOKUP(IDNMaps[[#This Row],[Type]],RecordCount[],2,0)),VLOOKUP(IDNMaps[[#This Row],[Type]],RecordCount[],8,0),0),"")</f>
        <v>2111151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52</v>
      </c>
      <c r="M238" s="6" t="str">
        <f ca="1">IFERROR(VLOOKUP(IDNMaps[[#This Row],[Type]],RecordCount[],6,0)&amp;"-"&amp;IDNMaps[[#This Row],[Type Count]],"")</f>
        <v>Form Fields-52</v>
      </c>
      <c r="N238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38" s="6" t="str">
        <f ca="1">IF(IDNMaps[[#This Row],[Name]]="","","("&amp;IDNMaps[[#This Row],[Type]]&amp;") "&amp;IDNMaps[[#This Row],[Name]])</f>
        <v>(Fields) OrderItem/AddOrderItemForm/order</v>
      </c>
      <c r="P238" s="6">
        <f ca="1">IFERROR(VLOOKUP(IDNMaps[[#This Row],[Primary]],INDIRECT(VLOOKUP(IDNMaps[[#This Row],[Type]],RecordCount[],2,0)),VLOOKUP(IDNMaps[[#This Row],[Type]],RecordCount[],8,0),0),"")</f>
        <v>2111152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53</v>
      </c>
      <c r="M239" s="6" t="str">
        <f ca="1">IFERROR(VLOOKUP(IDNMaps[[#This Row],[Type]],RecordCount[],6,0)&amp;"-"&amp;IDNMaps[[#This Row],[Type Count]],"")</f>
        <v>Form Fields-53</v>
      </c>
      <c r="N239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39" s="6" t="str">
        <f ca="1">IF(IDNMaps[[#This Row],[Name]]="","","("&amp;IDNMaps[[#This Row],[Type]]&amp;") "&amp;IDNMaps[[#This Row],[Name]])</f>
        <v>(Fields) OrderItem/AddOrderItemForm/item</v>
      </c>
      <c r="P239" s="6">
        <f ca="1">IFERROR(VLOOKUP(IDNMaps[[#This Row],[Primary]],INDIRECT(VLOOKUP(IDNMaps[[#This Row],[Type]],RecordCount[],2,0)),VLOOKUP(IDNMaps[[#This Row],[Type]],RecordCount[],8,0),0),"")</f>
        <v>2111153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54</v>
      </c>
      <c r="M240" s="6" t="str">
        <f ca="1">IFERROR(VLOOKUP(IDNMaps[[#This Row],[Type]],RecordCount[],6,0)&amp;"-"&amp;IDNMaps[[#This Row],[Type Count]],"")</f>
        <v>Form Fields-54</v>
      </c>
      <c r="N240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40" s="6" t="str">
        <f ca="1">IF(IDNMaps[[#This Row],[Name]]="","","("&amp;IDNMaps[[#This Row],[Type]]&amp;") "&amp;IDNMaps[[#This Row],[Name]])</f>
        <v>(Fields) OrderItem/AddOrderItemForm/service</v>
      </c>
      <c r="P240" s="6">
        <f ca="1">IFERROR(VLOOKUP(IDNMaps[[#This Row],[Primary]],INDIRECT(VLOOKUP(IDNMaps[[#This Row],[Type]],RecordCount[],2,0)),VLOOKUP(IDNMaps[[#This Row],[Type]],RecordCount[],8,0),0),"")</f>
        <v>2111154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55</v>
      </c>
      <c r="M241" s="6" t="str">
        <f ca="1">IFERROR(VLOOKUP(IDNMaps[[#This Row],[Type]],RecordCount[],6,0)&amp;"-"&amp;IDNMaps[[#This Row],[Type Count]],"")</f>
        <v>Form Fields-55</v>
      </c>
      <c r="N241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41" s="6" t="str">
        <f ca="1">IF(IDNMaps[[#This Row],[Name]]="","","("&amp;IDNMaps[[#This Row],[Type]]&amp;") "&amp;IDNMaps[[#This Row],[Name]])</f>
        <v>(Fields) OrderItem/AddOrderItemForm/label</v>
      </c>
      <c r="P241" s="6">
        <f ca="1">IFERROR(VLOOKUP(IDNMaps[[#This Row],[Primary]],INDIRECT(VLOOKUP(IDNMaps[[#This Row],[Type]],RecordCount[],2,0)),VLOOKUP(IDNMaps[[#This Row],[Type]],RecordCount[],8,0),0),"")</f>
        <v>2111155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56</v>
      </c>
      <c r="M242" s="6" t="str">
        <f ca="1">IFERROR(VLOOKUP(IDNMaps[[#This Row],[Type]],RecordCount[],6,0)&amp;"-"&amp;IDNMaps[[#This Row],[Type Count]],"")</f>
        <v>Form Fields-56</v>
      </c>
      <c r="N242" s="6" t="str">
        <f ca="1">IFERROR(VLOOKUP(IDNMaps[[#This Row],[Primary]],INDIRECT(VLOOKUP(IDNMaps[[#This Row],[Type]],RecordCount[],2,0)),VLOOKUP(IDNMaps[[#This Row],[Type]],RecordCount[],7,0),0),"")</f>
        <v>OrderItem/UpdateOrderItem/hub</v>
      </c>
      <c r="O242" s="6" t="str">
        <f ca="1">IF(IDNMaps[[#This Row],[Name]]="","","("&amp;IDNMaps[[#This Row],[Type]]&amp;") "&amp;IDNMaps[[#This Row],[Name]])</f>
        <v>(Fields) OrderItem/UpdateOrderItem/hub</v>
      </c>
      <c r="P242" s="6">
        <f ca="1">IFERROR(VLOOKUP(IDNMaps[[#This Row],[Primary]],INDIRECT(VLOOKUP(IDNMaps[[#This Row],[Type]],RecordCount[],2,0)),VLOOKUP(IDNMaps[[#This Row],[Type]],RecordCount[],8,0),0),"")</f>
        <v>2111156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57</v>
      </c>
      <c r="M243" s="6" t="str">
        <f ca="1">IFERROR(VLOOKUP(IDNMaps[[#This Row],[Type]],RecordCount[],6,0)&amp;"-"&amp;IDNMaps[[#This Row],[Type Count]],"")</f>
        <v>Form Fields-57</v>
      </c>
      <c r="N243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43" s="6" t="str">
        <f ca="1">IF(IDNMaps[[#This Row],[Name]]="","","("&amp;IDNMaps[[#This Row],[Type]]&amp;") "&amp;IDNMaps[[#This Row],[Name]])</f>
        <v>(Fields) OrderItem/UpdateOrderItem/label</v>
      </c>
      <c r="P243" s="6">
        <f ca="1">IFERROR(VLOOKUP(IDNMaps[[#This Row],[Primary]],INDIRECT(VLOOKUP(IDNMaps[[#This Row],[Type]],RecordCount[],2,0)),VLOOKUP(IDNMaps[[#This Row],[Type]],RecordCount[],8,0),0),"")</f>
        <v>2111157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58</v>
      </c>
      <c r="M244" s="6" t="str">
        <f ca="1">IFERROR(VLOOKUP(IDNMaps[[#This Row],[Type]],RecordCount[],6,0)&amp;"-"&amp;IDNMaps[[#This Row],[Type Count]],"")</f>
        <v>Form Fields-58</v>
      </c>
      <c r="N244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44" s="6" t="str">
        <f ca="1">IF(IDNMaps[[#This Row],[Name]]="","","("&amp;IDNMaps[[#This Row],[Type]]&amp;") "&amp;IDNMaps[[#This Row],[Name]])</f>
        <v>(Fields) OrderItem/UpdateOrderItem/shelf</v>
      </c>
      <c r="P244" s="6">
        <f ca="1">IFERROR(VLOOKUP(IDNMaps[[#This Row],[Primary]],INDIRECT(VLOOKUP(IDNMaps[[#This Row],[Type]],RecordCount[],2,0)),VLOOKUP(IDNMaps[[#This Row],[Type]],RecordCount[],8,0),0),"")</f>
        <v>2111158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59</v>
      </c>
      <c r="M245" s="6" t="str">
        <f ca="1">IFERROR(VLOOKUP(IDNMaps[[#This Row],[Type]],RecordCount[],6,0)&amp;"-"&amp;IDNMaps[[#This Row],[Type Count]],"")</f>
        <v>Form Fields-59</v>
      </c>
      <c r="N245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45" s="6" t="str">
        <f ca="1">IF(IDNMaps[[#This Row],[Name]]="","","("&amp;IDNMaps[[#This Row],[Type]]&amp;") "&amp;IDNMaps[[#This Row],[Name]])</f>
        <v>(Fields) OrderItem/UpdateOrderItem/delivery</v>
      </c>
      <c r="P245" s="6">
        <f ca="1">IFERROR(VLOOKUP(IDNMaps[[#This Row],[Primary]],INDIRECT(VLOOKUP(IDNMaps[[#This Row],[Type]],RecordCount[],2,0)),VLOOKUP(IDNMaps[[#This Row],[Type]],RecordCount[],8,0),0),"")</f>
        <v>2111159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6" s="6">
        <f ca="1">IF(IDNMaps[[#This Row],[Type]]="","",COUNTIF($K$1:IDNMaps[[#This Row],[Type]],IDNMaps[[#This Row],[Type]]))</f>
        <v>60</v>
      </c>
      <c r="M246" s="6" t="str">
        <f ca="1">IFERROR(VLOOKUP(IDNMaps[[#This Row],[Type]],RecordCount[],6,0)&amp;"-"&amp;IDNMaps[[#This Row],[Type Count]],"")</f>
        <v>Form Fields-60</v>
      </c>
      <c r="N246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46" s="6" t="str">
        <f ca="1">IF(IDNMaps[[#This Row],[Name]]="","","("&amp;IDNMaps[[#This Row],[Type]]&amp;") "&amp;IDNMaps[[#This Row],[Name]])</f>
        <v>(Fields) OrderItem/UpdateOrderItem/status</v>
      </c>
      <c r="P246" s="6">
        <f ca="1">IFERROR(VLOOKUP(IDNMaps[[#This Row],[Primary]],INDIRECT(VLOOKUP(IDNMaps[[#This Row],[Type]],RecordCount[],2,0)),VLOOKUP(IDNMaps[[#This Row],[Type]],RecordCount[],8,0),0),"")</f>
        <v>2111160</v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7" s="6">
        <f ca="1">IF(IDNMaps[[#This Row],[Type]]="","",COUNTIF($K$1:IDNMaps[[#This Row],[Type]],IDNMaps[[#This Row],[Type]]))</f>
        <v>61</v>
      </c>
      <c r="M247" s="6" t="str">
        <f ca="1">IFERROR(VLOOKUP(IDNMaps[[#This Row],[Type]],RecordCount[],6,0)&amp;"-"&amp;IDNMaps[[#This Row],[Type Count]],"")</f>
        <v>Form Fields-61</v>
      </c>
      <c r="N247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47" s="6" t="str">
        <f ca="1">IF(IDNMaps[[#This Row],[Name]]="","","("&amp;IDNMaps[[#This Row],[Type]]&amp;") "&amp;IDNMaps[[#This Row],[Name]])</f>
        <v>(Fields) OrderItemServiceUser/AssignProviderToOIS/ois</v>
      </c>
      <c r="P247" s="6">
        <f ca="1">IFERROR(VLOOKUP(IDNMaps[[#This Row],[Primary]],INDIRECT(VLOOKUP(IDNMaps[[#This Row],[Type]],RecordCount[],2,0)),VLOOKUP(IDNMaps[[#This Row],[Type]],RecordCount[],8,0),0),"")</f>
        <v>2111161</v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8" s="6">
        <f ca="1">IF(IDNMaps[[#This Row],[Type]]="","",COUNTIF($K$1:IDNMaps[[#This Row],[Type]],IDNMaps[[#This Row],[Type]]))</f>
        <v>62</v>
      </c>
      <c r="M248" s="6" t="str">
        <f ca="1">IFERROR(VLOOKUP(IDNMaps[[#This Row],[Type]],RecordCount[],6,0)&amp;"-"&amp;IDNMaps[[#This Row],[Type Count]],"")</f>
        <v>Form Fields-62</v>
      </c>
      <c r="N248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48" s="6" t="str">
        <f ca="1">IF(IDNMaps[[#This Row],[Name]]="","","("&amp;IDNMaps[[#This Row],[Type]]&amp;") "&amp;IDNMaps[[#This Row],[Name]])</f>
        <v>(Fields) OrderItemServiceUser/AssignProviderToOIS/user</v>
      </c>
      <c r="P248" s="6">
        <f ca="1">IFERROR(VLOOKUP(IDNMaps[[#This Row],[Primary]],INDIRECT(VLOOKUP(IDNMaps[[#This Row],[Type]],RecordCount[],2,0)),VLOOKUP(IDNMaps[[#This Row],[Type]],RecordCount[],8,0),0),"")</f>
        <v>2111162</v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9" s="6">
        <f ca="1">IF(IDNMaps[[#This Row],[Type]]="","",COUNTIF($K$1:IDNMaps[[#This Row],[Type]],IDNMaps[[#This Row],[Type]]))</f>
        <v>63</v>
      </c>
      <c r="M249" s="6" t="str">
        <f ca="1">IFERROR(VLOOKUP(IDNMaps[[#This Row],[Type]],RecordCount[],6,0)&amp;"-"&amp;IDNMaps[[#This Row],[Type Count]],"")</f>
        <v>Form Fields-63</v>
      </c>
      <c r="N249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49" s="6" t="str">
        <f ca="1">IF(IDNMaps[[#This Row],[Name]]="","","("&amp;IDNMaps[[#This Row],[Type]]&amp;") "&amp;IDNMaps[[#This Row],[Name]])</f>
        <v>(Fields) Receipt/NewReceiptForm/date</v>
      </c>
      <c r="P249" s="6">
        <f ca="1">IFERROR(VLOOKUP(IDNMaps[[#This Row],[Primary]],INDIRECT(VLOOKUP(IDNMaps[[#This Row],[Type]],RecordCount[],2,0)),VLOOKUP(IDNMaps[[#This Row],[Type]],RecordCount[],8,0),0),"")</f>
        <v>2111163</v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0" s="6">
        <f ca="1">IF(IDNMaps[[#This Row],[Type]]="","",COUNTIF($K$1:IDNMaps[[#This Row],[Type]],IDNMaps[[#This Row],[Type]]))</f>
        <v>64</v>
      </c>
      <c r="M250" s="6" t="str">
        <f ca="1">IFERROR(VLOOKUP(IDNMaps[[#This Row],[Type]],RecordCount[],6,0)&amp;"-"&amp;IDNMaps[[#This Row],[Type Count]],"")</f>
        <v>Form Fields-64</v>
      </c>
      <c r="N250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50" s="6" t="str">
        <f ca="1">IF(IDNMaps[[#This Row],[Name]]="","","("&amp;IDNMaps[[#This Row],[Type]]&amp;") "&amp;IDNMaps[[#This Row],[Name]])</f>
        <v>(Fields) Receipt/NewReceiptForm/invoice</v>
      </c>
      <c r="P250" s="6">
        <f ca="1">IFERROR(VLOOKUP(IDNMaps[[#This Row],[Primary]],INDIRECT(VLOOKUP(IDNMaps[[#This Row],[Type]],RecordCount[],2,0)),VLOOKUP(IDNMaps[[#This Row],[Type]],RecordCount[],8,0),0),"")</f>
        <v>2111164</v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1" s="6">
        <f ca="1">IF(IDNMaps[[#This Row],[Type]]="","",COUNTIF($K$1:IDNMaps[[#This Row],[Type]],IDNMaps[[#This Row],[Type]]))</f>
        <v>65</v>
      </c>
      <c r="M251" s="6" t="str">
        <f ca="1">IFERROR(VLOOKUP(IDNMaps[[#This Row],[Type]],RecordCount[],6,0)&amp;"-"&amp;IDNMaps[[#This Row],[Type Count]],"")</f>
        <v>Form Fields-65</v>
      </c>
      <c r="N251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51" s="6" t="str">
        <f ca="1">IF(IDNMaps[[#This Row],[Name]]="","","("&amp;IDNMaps[[#This Row],[Type]]&amp;") "&amp;IDNMaps[[#This Row],[Name]])</f>
        <v>(Fields) Receipt/NewReceiptForm/amount</v>
      </c>
      <c r="P251" s="6">
        <f ca="1">IFERROR(VLOOKUP(IDNMaps[[#This Row],[Primary]],INDIRECT(VLOOKUP(IDNMaps[[#This Row],[Type]],RecordCount[],2,0)),VLOOKUP(IDNMaps[[#This Row],[Type]],RecordCount[],8,0),0),"")</f>
        <v>2111165</v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2" s="6">
        <f ca="1">IF(IDNMaps[[#This Row],[Type]]="","",COUNTIF($K$1:IDNMaps[[#This Row],[Type]],IDNMaps[[#This Row],[Type]]))</f>
        <v>66</v>
      </c>
      <c r="M252" s="6" t="str">
        <f ca="1">IFERROR(VLOOKUP(IDNMaps[[#This Row],[Type]],RecordCount[],6,0)&amp;"-"&amp;IDNMaps[[#This Row],[Type Count]],"")</f>
        <v>Form Fields-66</v>
      </c>
      <c r="N252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52" s="6" t="str">
        <f ca="1">IF(IDNMaps[[#This Row],[Name]]="","","("&amp;IDNMaps[[#This Row],[Type]]&amp;") "&amp;IDNMaps[[#This Row],[Name]])</f>
        <v>(Fields) Delivery/NewOrderDeliveryForm/date</v>
      </c>
      <c r="P252" s="6">
        <f ca="1">IFERROR(VLOOKUP(IDNMaps[[#This Row],[Primary]],INDIRECT(VLOOKUP(IDNMaps[[#This Row],[Type]],RecordCount[],2,0)),VLOOKUP(IDNMaps[[#This Row],[Type]],RecordCount[],8,0),0),"")</f>
        <v>2111166</v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3" s="6">
        <f ca="1">IF(IDNMaps[[#This Row],[Type]]="","",COUNTIF($K$1:IDNMaps[[#This Row],[Type]],IDNMaps[[#This Row],[Type]]))</f>
        <v>67</v>
      </c>
      <c r="M253" s="6" t="str">
        <f ca="1">IFERROR(VLOOKUP(IDNMaps[[#This Row],[Type]],RecordCount[],6,0)&amp;"-"&amp;IDNMaps[[#This Row],[Type Count]],"")</f>
        <v>Form Fields-67</v>
      </c>
      <c r="N253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53" s="6" t="str">
        <f ca="1">IF(IDNMaps[[#This Row],[Name]]="","","("&amp;IDNMaps[[#This Row],[Type]]&amp;") "&amp;IDNMaps[[#This Row],[Name]])</f>
        <v>(Fields) Delivery/NewOrderDeliveryForm/order</v>
      </c>
      <c r="P253" s="6">
        <f ca="1">IFERROR(VLOOKUP(IDNMaps[[#This Row],[Primary]],INDIRECT(VLOOKUP(IDNMaps[[#This Row],[Type]],RecordCount[],2,0)),VLOOKUP(IDNMaps[[#This Row],[Type]],RecordCount[],8,0),0),"")</f>
        <v>2111167</v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4" s="6">
        <f ca="1">IF(IDNMaps[[#This Row],[Type]]="","",COUNTIF($K$1:IDNMaps[[#This Row],[Type]],IDNMaps[[#This Row],[Type]]))</f>
        <v>68</v>
      </c>
      <c r="M254" s="6" t="str">
        <f ca="1">IFERROR(VLOOKUP(IDNMaps[[#This Row],[Type]],RecordCount[],6,0)&amp;"-"&amp;IDNMaps[[#This Row],[Type Count]],"")</f>
        <v>Form Fields-68</v>
      </c>
      <c r="N254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54" s="6" t="str">
        <f ca="1">IF(IDNMaps[[#This Row],[Name]]="","","("&amp;IDNMaps[[#This Row],[Type]]&amp;") "&amp;IDNMaps[[#This Row],[Name]])</f>
        <v>(Fields) Delivery/NewOrderDeliveryForm/oi</v>
      </c>
      <c r="P254" s="6">
        <f ca="1">IFERROR(VLOOKUP(IDNMaps[[#This Row],[Primary]],INDIRECT(VLOOKUP(IDNMaps[[#This Row],[Type]],RecordCount[],2,0)),VLOOKUP(IDNMaps[[#This Row],[Type]],RecordCount[],8,0),0),"")</f>
        <v>2111168</v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5" s="6">
        <f ca="1">IF(IDNMaps[[#This Row],[Type]]="","",COUNTIF($K$1:IDNMaps[[#This Row],[Type]],IDNMaps[[#This Row],[Type]]))</f>
        <v>69</v>
      </c>
      <c r="M255" s="6" t="str">
        <f ca="1">IFERROR(VLOOKUP(IDNMaps[[#This Row],[Type]],RecordCount[],6,0)&amp;"-"&amp;IDNMaps[[#This Row],[Type Count]],"")</f>
        <v>Form Fields-69</v>
      </c>
      <c r="N255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55" s="6" t="str">
        <f ca="1">IF(IDNMaps[[#This Row],[Name]]="","","("&amp;IDNMaps[[#This Row],[Type]]&amp;") "&amp;IDNMaps[[#This Row],[Name]])</f>
        <v>(Fields) HubShift/NewHubShiftProcessForm/source_hub</v>
      </c>
      <c r="P255" s="6">
        <f ca="1">IFERROR(VLOOKUP(IDNMaps[[#This Row],[Primary]],INDIRECT(VLOOKUP(IDNMaps[[#This Row],[Type]],RecordCount[],2,0)),VLOOKUP(IDNMaps[[#This Row],[Type]],RecordCount[],8,0),0),"")</f>
        <v>2111169</v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6" s="6">
        <f ca="1">IF(IDNMaps[[#This Row],[Type]]="","",COUNTIF($K$1:IDNMaps[[#This Row],[Type]],IDNMaps[[#This Row],[Type]]))</f>
        <v>70</v>
      </c>
      <c r="M256" s="6" t="str">
        <f ca="1">IFERROR(VLOOKUP(IDNMaps[[#This Row],[Type]],RecordCount[],6,0)&amp;"-"&amp;IDNMaps[[#This Row],[Type Count]],"")</f>
        <v>Form Fields-70</v>
      </c>
      <c r="N256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56" s="6" t="str">
        <f ca="1">IF(IDNMaps[[#This Row],[Name]]="","","("&amp;IDNMaps[[#This Row],[Type]]&amp;") "&amp;IDNMaps[[#This Row],[Name]])</f>
        <v>(Fields) HubShift/NewHubShiftProcessForm/destination_hub</v>
      </c>
      <c r="P256" s="6">
        <f ca="1">IFERROR(VLOOKUP(IDNMaps[[#This Row],[Primary]],INDIRECT(VLOOKUP(IDNMaps[[#This Row],[Type]],RecordCount[],2,0)),VLOOKUP(IDNMaps[[#This Row],[Type]],RecordCount[],8,0),0),"")</f>
        <v>2111170</v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7" s="6">
        <f ca="1">IF(IDNMaps[[#This Row],[Type]]="","",COUNTIF($K$1:IDNMaps[[#This Row],[Type]],IDNMaps[[#This Row],[Type]]))</f>
        <v>71</v>
      </c>
      <c r="M257" s="6" t="str">
        <f ca="1">IFERROR(VLOOKUP(IDNMaps[[#This Row],[Type]],RecordCount[],6,0)&amp;"-"&amp;IDNMaps[[#This Row],[Type Count]],"")</f>
        <v>Form Fields-71</v>
      </c>
      <c r="N257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57" s="6" t="str">
        <f ca="1">IF(IDNMaps[[#This Row],[Name]]="","","("&amp;IDNMaps[[#This Row],[Type]]&amp;") "&amp;IDNMaps[[#This Row],[Name]])</f>
        <v>(Fields) HubShift/NewHubShiftProcessForm/date</v>
      </c>
      <c r="P257" s="6">
        <f ca="1">IFERROR(VLOOKUP(IDNMaps[[#This Row],[Primary]],INDIRECT(VLOOKUP(IDNMaps[[#This Row],[Type]],RecordCount[],2,0)),VLOOKUP(IDNMaps[[#This Row],[Type]],RecordCount[],8,0),0),"")</f>
        <v>2111171</v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8" s="6">
        <f ca="1">IF(IDNMaps[[#This Row],[Type]]="","",COUNTIF($K$1:IDNMaps[[#This Row],[Type]],IDNMaps[[#This Row],[Type]]))</f>
        <v>72</v>
      </c>
      <c r="M258" s="6" t="str">
        <f ca="1">IFERROR(VLOOKUP(IDNMaps[[#This Row],[Type]],RecordCount[],6,0)&amp;"-"&amp;IDNMaps[[#This Row],[Type Count]],"")</f>
        <v>Form Fields-72</v>
      </c>
      <c r="N258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58" s="6" t="str">
        <f ca="1">IF(IDNMaps[[#This Row],[Name]]="","","("&amp;IDNMaps[[#This Row],[Type]]&amp;") "&amp;IDNMaps[[#This Row],[Name]])</f>
        <v>(Fields) HubShift/NewHubShiftProcessForm/status</v>
      </c>
      <c r="P258" s="6">
        <f ca="1">IFERROR(VLOOKUP(IDNMaps[[#This Row],[Primary]],INDIRECT(VLOOKUP(IDNMaps[[#This Row],[Type]],RecordCount[],2,0)),VLOOKUP(IDNMaps[[#This Row],[Type]],RecordCount[],8,0),0),"")</f>
        <v>2111172</v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9" s="6">
        <f ca="1">IF(IDNMaps[[#This Row],[Type]]="","",COUNTIF($K$1:IDNMaps[[#This Row],[Type]],IDNMaps[[#This Row],[Type]]))</f>
        <v>73</v>
      </c>
      <c r="M259" s="6" t="str">
        <f ca="1">IFERROR(VLOOKUP(IDNMaps[[#This Row],[Type]],RecordCount[],6,0)&amp;"-"&amp;IDNMaps[[#This Row],[Type Count]],"")</f>
        <v>Form Fields-73</v>
      </c>
      <c r="N259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59" s="6" t="str">
        <f ca="1">IF(IDNMaps[[#This Row],[Name]]="","","("&amp;IDNMaps[[#This Row],[Type]]&amp;") "&amp;IDNMaps[[#This Row],[Name]])</f>
        <v>(Fields) Employee/UpdateEmployeeDetails/name</v>
      </c>
      <c r="P259" s="6">
        <f ca="1">IFERROR(VLOOKUP(IDNMaps[[#This Row],[Primary]],INDIRECT(VLOOKUP(IDNMaps[[#This Row],[Type]],RecordCount[],2,0)),VLOOKUP(IDNMaps[[#This Row],[Type]],RecordCount[],8,0),0),"")</f>
        <v>2111173</v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0" s="6">
        <f ca="1">IF(IDNMaps[[#This Row],[Type]]="","",COUNTIF($K$1:IDNMaps[[#This Row],[Type]],IDNMaps[[#This Row],[Type]]))</f>
        <v>74</v>
      </c>
      <c r="M260" s="6" t="str">
        <f ca="1">IFERROR(VLOOKUP(IDNMaps[[#This Row],[Type]],RecordCount[],6,0)&amp;"-"&amp;IDNMaps[[#This Row],[Type Count]],"")</f>
        <v>Form Fields-74</v>
      </c>
      <c r="N260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60" s="6" t="str">
        <f ca="1">IF(IDNMaps[[#This Row],[Name]]="","","("&amp;IDNMaps[[#This Row],[Type]]&amp;") "&amp;IDNMaps[[#This Row],[Name]])</f>
        <v>(Fields) Employee/UpdateEmployeeDetails/email</v>
      </c>
      <c r="P260" s="6">
        <f ca="1">IFERROR(VLOOKUP(IDNMaps[[#This Row],[Primary]],INDIRECT(VLOOKUP(IDNMaps[[#This Row],[Type]],RecordCount[],2,0)),VLOOKUP(IDNMaps[[#This Row],[Type]],RecordCount[],8,0),0),"")</f>
        <v>2111174</v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1" s="6">
        <f ca="1">IF(IDNMaps[[#This Row],[Type]]="","",COUNTIF($K$1:IDNMaps[[#This Row],[Type]],IDNMaps[[#This Row],[Type]]))</f>
        <v>75</v>
      </c>
      <c r="M261" s="6" t="str">
        <f ca="1">IFERROR(VLOOKUP(IDNMaps[[#This Row],[Type]],RecordCount[],6,0)&amp;"-"&amp;IDNMaps[[#This Row],[Type Count]],"")</f>
        <v>Form Fields-75</v>
      </c>
      <c r="N261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61" s="6" t="str">
        <f ca="1">IF(IDNMaps[[#This Row],[Name]]="","","("&amp;IDNMaps[[#This Row],[Type]]&amp;") "&amp;IDNMaps[[#This Row],[Name]])</f>
        <v>(Fields) Employee/UpdateEmployeeDetails/password</v>
      </c>
      <c r="P261" s="6">
        <f ca="1">IFERROR(VLOOKUP(IDNMaps[[#This Row],[Primary]],INDIRECT(VLOOKUP(IDNMaps[[#This Row],[Type]],RecordCount[],2,0)),VLOOKUP(IDNMaps[[#This Row],[Type]],RecordCount[],8,0),0),"")</f>
        <v>2111175</v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2" s="6">
        <f ca="1">IF(IDNMaps[[#This Row],[Type]]="","",COUNTIF($K$1:IDNMaps[[#This Row],[Type]],IDNMaps[[#This Row],[Type]]))</f>
        <v>76</v>
      </c>
      <c r="M262" s="6" t="str">
        <f ca="1">IFERROR(VLOOKUP(IDNMaps[[#This Row],[Type]],RecordCount[],6,0)&amp;"-"&amp;IDNMaps[[#This Row],[Type Count]],"")</f>
        <v>Form Fields-76</v>
      </c>
      <c r="N262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62" s="6" t="str">
        <f ca="1">IF(IDNMaps[[#This Row],[Name]]="","","("&amp;IDNMaps[[#This Row],[Type]]&amp;") "&amp;IDNMaps[[#This Row],[Name]])</f>
        <v>(Fields) Pricelist/EditPricelistForm/name</v>
      </c>
      <c r="P262" s="6">
        <f ca="1">IFERROR(VLOOKUP(IDNMaps[[#This Row],[Primary]],INDIRECT(VLOOKUP(IDNMaps[[#This Row],[Type]],RecordCount[],2,0)),VLOOKUP(IDNMaps[[#This Row],[Type]],RecordCount[],8,0),0),"")</f>
        <v>2111176</v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3" s="6">
        <f ca="1">IF(IDNMaps[[#This Row],[Type]]="","",COUNTIF($K$1:IDNMaps[[#This Row],[Type]],IDNMaps[[#This Row],[Type]]))</f>
        <v>77</v>
      </c>
      <c r="M263" s="6" t="str">
        <f ca="1">IFERROR(VLOOKUP(IDNMaps[[#This Row],[Type]],RecordCount[],6,0)&amp;"-"&amp;IDNMaps[[#This Row],[Type Count]],"")</f>
        <v>Form Fields-77</v>
      </c>
      <c r="N263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63" s="6" t="str">
        <f ca="1">IF(IDNMaps[[#This Row],[Name]]="","","("&amp;IDNMaps[[#This Row],[Type]]&amp;") "&amp;IDNMaps[[#This Row],[Name]])</f>
        <v>(Fields) Pricelist/EditPricelistForm/description</v>
      </c>
      <c r="P263" s="6">
        <f ca="1">IFERROR(VLOOKUP(IDNMaps[[#This Row],[Primary]],INDIRECT(VLOOKUP(IDNMaps[[#This Row],[Type]],RecordCount[],2,0)),VLOOKUP(IDNMaps[[#This Row],[Type]],RecordCount[],8,0),0),"")</f>
        <v>2111177</v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4" s="6">
        <f ca="1">IF(IDNMaps[[#This Row],[Type]]="","",COUNTIF($K$1:IDNMaps[[#This Row],[Type]],IDNMaps[[#This Row],[Type]]))</f>
        <v>78</v>
      </c>
      <c r="M264" s="6" t="str">
        <f ca="1">IFERROR(VLOOKUP(IDNMaps[[#This Row],[Type]],RecordCount[],6,0)&amp;"-"&amp;IDNMaps[[#This Row],[Type Count]],"")</f>
        <v>Form Fields-78</v>
      </c>
      <c r="N264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64" s="6" t="str">
        <f ca="1">IF(IDNMaps[[#This Row],[Name]]="","","("&amp;IDNMaps[[#This Row],[Type]]&amp;") "&amp;IDNMaps[[#This Row],[Name]])</f>
        <v>(Fields) Pricelist/EditPricelistForm/status</v>
      </c>
      <c r="P264" s="6">
        <f ca="1">IFERROR(VLOOKUP(IDNMaps[[#This Row],[Primary]],INDIRECT(VLOOKUP(IDNMaps[[#This Row],[Type]],RecordCount[],2,0)),VLOOKUP(IDNMaps[[#This Row],[Type]],RecordCount[],8,0),0),"")</f>
        <v>2111178</v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5" s="6">
        <f ca="1">IF(IDNMaps[[#This Row],[Type]]="","",COUNTIF($K$1:IDNMaps[[#This Row],[Type]],IDNMaps[[#This Row],[Type]]))</f>
        <v>79</v>
      </c>
      <c r="M265" s="6" t="str">
        <f ca="1">IFERROR(VLOOKUP(IDNMaps[[#This Row],[Type]],RecordCount[],6,0)&amp;"-"&amp;IDNMaps[[#This Row],[Type Count]],"")</f>
        <v>Form Fields-79</v>
      </c>
      <c r="N265" s="6" t="str">
        <f ca="1">IFERROR(VLOOKUP(IDNMaps[[#This Row],[Primary]],INDIRECT(VLOOKUP(IDNMaps[[#This Row],[Type]],RecordCount[],2,0)),VLOOKUP(IDNMaps[[#This Row],[Type]],RecordCount[],7,0),0),"")</f>
        <v>Item/EditItemForm/name</v>
      </c>
      <c r="O265" s="6" t="str">
        <f ca="1">IF(IDNMaps[[#This Row],[Name]]="","","("&amp;IDNMaps[[#This Row],[Type]]&amp;") "&amp;IDNMaps[[#This Row],[Name]])</f>
        <v>(Fields) Item/EditItemForm/name</v>
      </c>
      <c r="P265" s="6">
        <f ca="1">IFERROR(VLOOKUP(IDNMaps[[#This Row],[Primary]],INDIRECT(VLOOKUP(IDNMaps[[#This Row],[Type]],RecordCount[],2,0)),VLOOKUP(IDNMaps[[#This Row],[Type]],RecordCount[],8,0),0),"")</f>
        <v>2111179</v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6" s="6">
        <f ca="1">IF(IDNMaps[[#This Row],[Type]]="","",COUNTIF($K$1:IDNMaps[[#This Row],[Type]],IDNMaps[[#This Row],[Type]]))</f>
        <v>80</v>
      </c>
      <c r="M266" s="6" t="str">
        <f ca="1">IFERROR(VLOOKUP(IDNMaps[[#This Row],[Type]],RecordCount[],6,0)&amp;"-"&amp;IDNMaps[[#This Row],[Type Count]],"")</f>
        <v>Form Fields-80</v>
      </c>
      <c r="N266" s="6" t="str">
        <f ca="1">IFERROR(VLOOKUP(IDNMaps[[#This Row],[Primary]],INDIRECT(VLOOKUP(IDNMaps[[#This Row],[Type]],RecordCount[],2,0)),VLOOKUP(IDNMaps[[#This Row],[Type]],RecordCount[],7,0),0),"")</f>
        <v>Item/EditItemForm/status</v>
      </c>
      <c r="O266" s="6" t="str">
        <f ca="1">IF(IDNMaps[[#This Row],[Name]]="","","("&amp;IDNMaps[[#This Row],[Type]]&amp;") "&amp;IDNMaps[[#This Row],[Name]])</f>
        <v>(Fields) Item/EditItemForm/status</v>
      </c>
      <c r="P266" s="6">
        <f ca="1">IFERROR(VLOOKUP(IDNMaps[[#This Row],[Primary]],INDIRECT(VLOOKUP(IDNMaps[[#This Row],[Type]],RecordCount[],2,0)),VLOOKUP(IDNMaps[[#This Row],[Type]],RecordCount[],8,0),0),"")</f>
        <v>2111180</v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7" s="6">
        <f ca="1">IF(IDNMaps[[#This Row],[Type]]="","",COUNTIF($K$1:IDNMaps[[#This Row],[Type]],IDNMaps[[#This Row],[Type]]))</f>
        <v>81</v>
      </c>
      <c r="M267" s="6" t="str">
        <f ca="1">IFERROR(VLOOKUP(IDNMaps[[#This Row],[Type]],RecordCount[],6,0)&amp;"-"&amp;IDNMaps[[#This Row],[Type Count]],"")</f>
        <v>Form Fields-81</v>
      </c>
      <c r="N267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67" s="6" t="str">
        <f ca="1">IF(IDNMaps[[#This Row],[Name]]="","","("&amp;IDNMaps[[#This Row],[Type]]&amp;") "&amp;IDNMaps[[#This Row],[Name]])</f>
        <v>(Fields) Item/EditItemForm/description</v>
      </c>
      <c r="P267" s="6">
        <f ca="1">IFERROR(VLOOKUP(IDNMaps[[#This Row],[Primary]],INDIRECT(VLOOKUP(IDNMaps[[#This Row],[Type]],RecordCount[],2,0)),VLOOKUP(IDNMaps[[#This Row],[Type]],RecordCount[],8,0),0),"")</f>
        <v>2111181</v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8" s="6">
        <f ca="1">IF(IDNMaps[[#This Row],[Type]]="","",COUNTIF($K$1:IDNMaps[[#This Row],[Type]],IDNMaps[[#This Row],[Type]]))</f>
        <v>82</v>
      </c>
      <c r="M268" s="6" t="str">
        <f ca="1">IFERROR(VLOOKUP(IDNMaps[[#This Row],[Type]],RecordCount[],6,0)&amp;"-"&amp;IDNMaps[[#This Row],[Type Count]],"")</f>
        <v>Form Fields-82</v>
      </c>
      <c r="N268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68" s="6" t="str">
        <f ca="1">IF(IDNMaps[[#This Row],[Name]]="","","("&amp;IDNMaps[[#This Row],[Type]]&amp;") "&amp;IDNMaps[[#This Row],[Name]])</f>
        <v>(Fields) Order/EditOrderForm/customer</v>
      </c>
      <c r="P268" s="6">
        <f ca="1">IFERROR(VLOOKUP(IDNMaps[[#This Row],[Primary]],INDIRECT(VLOOKUP(IDNMaps[[#This Row],[Type]],RecordCount[],2,0)),VLOOKUP(IDNMaps[[#This Row],[Type]],RecordCount[],8,0),0),"")</f>
        <v>2111182</v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9" s="6">
        <f ca="1">IF(IDNMaps[[#This Row],[Type]]="","",COUNTIF($K$1:IDNMaps[[#This Row],[Type]],IDNMaps[[#This Row],[Type]]))</f>
        <v>83</v>
      </c>
      <c r="M269" s="6" t="str">
        <f ca="1">IFERROR(VLOOKUP(IDNMaps[[#This Row],[Type]],RecordCount[],6,0)&amp;"-"&amp;IDNMaps[[#This Row],[Type Count]],"")</f>
        <v>Form Fields-83</v>
      </c>
      <c r="N269" s="6" t="str">
        <f ca="1">IFERROR(VLOOKUP(IDNMaps[[#This Row],[Primary]],INDIRECT(VLOOKUP(IDNMaps[[#This Row],[Type]],RecordCount[],2,0)),VLOOKUP(IDNMaps[[#This Row],[Type]],RecordCount[],7,0),0),"")</f>
        <v>Order/EditOrderForm/date</v>
      </c>
      <c r="O269" s="6" t="str">
        <f ca="1">IF(IDNMaps[[#This Row],[Name]]="","","("&amp;IDNMaps[[#This Row],[Type]]&amp;") "&amp;IDNMaps[[#This Row],[Name]])</f>
        <v>(Fields) Order/EditOrderForm/date</v>
      </c>
      <c r="P269" s="6">
        <f ca="1">IFERROR(VLOOKUP(IDNMaps[[#This Row],[Primary]],INDIRECT(VLOOKUP(IDNMaps[[#This Row],[Type]],RecordCount[],2,0)),VLOOKUP(IDNMaps[[#This Row],[Type]],RecordCount[],8,0),0),"")</f>
        <v>2111183</v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0" s="6">
        <f ca="1">IF(IDNMaps[[#This Row],[Type]]="","",COUNTIF($K$1:IDNMaps[[#This Row],[Type]],IDNMaps[[#This Row],[Type]]))</f>
        <v>84</v>
      </c>
      <c r="M270" s="6" t="str">
        <f ca="1">IFERROR(VLOOKUP(IDNMaps[[#This Row],[Type]],RecordCount[],6,0)&amp;"-"&amp;IDNMaps[[#This Row],[Type Count]],"")</f>
        <v>Form Fields-84</v>
      </c>
      <c r="N270" s="6" t="str">
        <f ca="1">IFERROR(VLOOKUP(IDNMaps[[#This Row],[Primary]],INDIRECT(VLOOKUP(IDNMaps[[#This Row],[Type]],RecordCount[],2,0)),VLOOKUP(IDNMaps[[#This Row],[Type]],RecordCount[],7,0),0),"")</f>
        <v>Order/EditOrderForm/pl</v>
      </c>
      <c r="O270" s="6" t="str">
        <f ca="1">IF(IDNMaps[[#This Row],[Name]]="","","("&amp;IDNMaps[[#This Row],[Type]]&amp;") "&amp;IDNMaps[[#This Row],[Name]])</f>
        <v>(Fields) Order/EditOrderForm/pl</v>
      </c>
      <c r="P270" s="6">
        <f ca="1">IFERROR(VLOOKUP(IDNMaps[[#This Row],[Primary]],INDIRECT(VLOOKUP(IDNMaps[[#This Row],[Type]],RecordCount[],2,0)),VLOOKUP(IDNMaps[[#This Row],[Type]],RecordCount[],8,0),0),"")</f>
        <v>2111184</v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1" s="6">
        <f ca="1">IF(IDNMaps[[#This Row],[Type]]="","",COUNTIF($K$1:IDNMaps[[#This Row],[Type]],IDNMaps[[#This Row],[Type]]))</f>
        <v>85</v>
      </c>
      <c r="M271" s="6" t="str">
        <f ca="1">IFERROR(VLOOKUP(IDNMaps[[#This Row],[Type]],RecordCount[],6,0)&amp;"-"&amp;IDNMaps[[#This Row],[Type Count]],"")</f>
        <v>Form Fields-85</v>
      </c>
      <c r="N271" s="6" t="str">
        <f ca="1">IFERROR(VLOOKUP(IDNMaps[[#This Row],[Primary]],INDIRECT(VLOOKUP(IDNMaps[[#This Row],[Type]],RecordCount[],2,0)),VLOOKUP(IDNMaps[[#This Row],[Type]],RecordCount[],7,0),0),"")</f>
        <v>Order/EditOrderForm/hub</v>
      </c>
      <c r="O271" s="6" t="str">
        <f ca="1">IF(IDNMaps[[#This Row],[Name]]="","","("&amp;IDNMaps[[#This Row],[Type]]&amp;") "&amp;IDNMaps[[#This Row],[Name]])</f>
        <v>(Fields) Order/EditOrderForm/hub</v>
      </c>
      <c r="P271" s="6">
        <f ca="1">IFERROR(VLOOKUP(IDNMaps[[#This Row],[Primary]],INDIRECT(VLOOKUP(IDNMaps[[#This Row],[Type]],RecordCount[],2,0)),VLOOKUP(IDNMaps[[#This Row],[Type]],RecordCount[],8,0),0),"")</f>
        <v>2111185</v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2" s="6">
        <f ca="1">IF(IDNMaps[[#This Row],[Type]]="","",COUNTIF($K$1:IDNMaps[[#This Row],[Type]],IDNMaps[[#This Row],[Type]]))</f>
        <v>86</v>
      </c>
      <c r="M272" s="6" t="str">
        <f ca="1">IFERROR(VLOOKUP(IDNMaps[[#This Row],[Type]],RecordCount[],6,0)&amp;"-"&amp;IDNMaps[[#This Row],[Type Count]],"")</f>
        <v>Form Fields-86</v>
      </c>
      <c r="N272" s="6" t="str">
        <f ca="1">IFERROR(VLOOKUP(IDNMaps[[#This Row],[Primary]],INDIRECT(VLOOKUP(IDNMaps[[#This Row],[Type]],RecordCount[],2,0)),VLOOKUP(IDNMaps[[#This Row],[Type]],RecordCount[],7,0),0),"")</f>
        <v>OrderItemServiceUser/JobStartForm/start_at</v>
      </c>
      <c r="O272" s="6" t="str">
        <f ca="1">IF(IDNMaps[[#This Row],[Name]]="","","("&amp;IDNMaps[[#This Row],[Type]]&amp;") "&amp;IDNMaps[[#This Row],[Name]])</f>
        <v>(Fields) OrderItemServiceUser/JobStartForm/start_at</v>
      </c>
      <c r="P272" s="6">
        <f ca="1">IFERROR(VLOOKUP(IDNMaps[[#This Row],[Primary]],INDIRECT(VLOOKUP(IDNMaps[[#This Row],[Type]],RecordCount[],2,0)),VLOOKUP(IDNMaps[[#This Row],[Type]],RecordCount[],8,0),0),"")</f>
        <v>2111186</v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3" s="6">
        <f ca="1">IF(IDNMaps[[#This Row],[Type]]="","",COUNTIF($K$1:IDNMaps[[#This Row],[Type]],IDNMaps[[#This Row],[Type]]))</f>
        <v>87</v>
      </c>
      <c r="M273" s="6" t="str">
        <f ca="1">IFERROR(VLOOKUP(IDNMaps[[#This Row],[Type]],RecordCount[],6,0)&amp;"-"&amp;IDNMaps[[#This Row],[Type Count]],"")</f>
        <v>Form Fields-87</v>
      </c>
      <c r="N273" s="6" t="str">
        <f ca="1">IFERROR(VLOOKUP(IDNMaps[[#This Row],[Primary]],INDIRECT(VLOOKUP(IDNMaps[[#This Row],[Type]],RecordCount[],2,0)),VLOOKUP(IDNMaps[[#This Row],[Type]],RecordCount[],7,0),0),"")</f>
        <v>OrderItemServiceUser/FinishJobForm/end_at</v>
      </c>
      <c r="O273" s="6" t="str">
        <f ca="1">IF(IDNMaps[[#This Row],[Name]]="","","("&amp;IDNMaps[[#This Row],[Type]]&amp;") "&amp;IDNMaps[[#This Row],[Name]])</f>
        <v>(Fields) OrderItemServiceUser/FinishJobForm/end_at</v>
      </c>
      <c r="P273" s="6">
        <f ca="1">IFERROR(VLOOKUP(IDNMaps[[#This Row],[Primary]],INDIRECT(VLOOKUP(IDNMaps[[#This Row],[Type]],RecordCount[],2,0)),VLOOKUP(IDNMaps[[#This Row],[Type]],RecordCount[],8,0),0),"")</f>
        <v>2111187</v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5" sqref="D65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4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1695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2006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70" workbookViewId="0">
      <selection activeCell="K75" sqref="K75:K8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1154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1154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1154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1154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1154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807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'hub'</v>
      </c>
      <c r="E7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$table-&gt;foreignNullable('hub', 'hubs');</v>
      </c>
    </row>
    <row r="79" spans="1:11">
      <c r="A79" s="2" t="s">
        <v>769</v>
      </c>
      <c r="B79" s="62" t="s">
        <v>838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'label'</v>
      </c>
      <c r="E79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$table-&gt;foreignNullable('label', 'identity_labels');</v>
      </c>
    </row>
    <row r="80" spans="1:11">
      <c r="A80" s="2" t="s">
        <v>769</v>
      </c>
      <c r="B80" s="62" t="s">
        <v>1020</v>
      </c>
      <c r="C80" s="62" t="str">
        <f>VLOOKUP([Field],Columns[],2,0)&amp;"("</f>
        <v>foreignNullable(</v>
      </c>
      <c r="D80" s="62" t="str">
        <f>IF(VLOOKUP([Field],Columns[],3,0)&lt;&gt;"","'"&amp;VLOOKUP([Field],Columns[],3,0)&amp;"'","")</f>
        <v>'shelf'</v>
      </c>
      <c r="E80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80" s="62" t="str">
        <f>IF(VLOOKUP([Field],Columns[],5,0)=0,"","-&gt;"&amp;VLOOKUP([Field],Columns[],5,0))</f>
        <v/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$table-&gt;foreignNullable('shelf', 'shelf');</v>
      </c>
    </row>
    <row r="81" spans="1:11">
      <c r="A81" s="2" t="s">
        <v>769</v>
      </c>
      <c r="B81" s="62" t="s">
        <v>855</v>
      </c>
      <c r="C81" s="62" t="str">
        <f>VLOOKUP([Field],Columns[],2,0)&amp;"("</f>
        <v>date(</v>
      </c>
      <c r="D81" s="62" t="str">
        <f>IF(VLOOKUP([Field],Columns[],3,0)&lt;&gt;"","'"&amp;VLOOKUP([Field],Columns[],3,0)&amp;"'","")</f>
        <v>'delivery'</v>
      </c>
      <c r="E81" s="63" t="str">
        <f>IF(VLOOKUP([Field],Columns[],4,0)&lt;&gt;0,", "&amp;IF(ISERR(SEARCH(",",VLOOKUP([Field],Columns[],4,0))),"'"&amp;VLOOKUP([Field],Columns[],4,0)&amp;"'",VLOOKUP([Field],Columns[],4,0))&amp;")",")")</f>
        <v>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$table-&gt;date('delivery')-&gt;nullable();</v>
      </c>
    </row>
    <row r="82" spans="1:11">
      <c r="A82" s="2" t="s">
        <v>769</v>
      </c>
      <c r="B82" s="62" t="s">
        <v>890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'progress'</v>
      </c>
      <c r="E8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-&gt;default('New')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$table-&gt;enum('progress', ['New','In Service','Service Completed','Ready To Deliver','Delivered'])-&gt;nullable()-&gt;default('New');</v>
      </c>
    </row>
    <row r="83" spans="1:11">
      <c r="A83" s="2" t="s">
        <v>769</v>
      </c>
      <c r="B83" s="62" t="s">
        <v>802</v>
      </c>
      <c r="C83" s="62" t="str">
        <f>VLOOKUP([Field],Columns[],2,0)&amp;"("</f>
        <v>enum(</v>
      </c>
      <c r="D83" s="62" t="str">
        <f>IF(VLOOKUP([Field],Columns[],3,0)&lt;&gt;"","'"&amp;VLOOKUP([Field],Columns[],3,0)&amp;"'","")</f>
        <v>'status'</v>
      </c>
      <c r="E8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3" s="62" t="str">
        <f>IF(VLOOKUP([Field],Columns[],5,0)=0,"","-&gt;"&amp;VLOOKUP([Field],Columns[],5,0))</f>
        <v>-&gt;nullable()</v>
      </c>
      <c r="G83" s="62" t="str">
        <f>IF(VLOOKUP([Field],Columns[],6,0)=0,"","-&gt;"&amp;VLOOKUP([Field],Columns[],6,0))</f>
        <v>-&gt;default('Active')</v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4" spans="1:11">
      <c r="A84" s="2" t="s">
        <v>769</v>
      </c>
      <c r="B84" s="62" t="s">
        <v>288</v>
      </c>
      <c r="C84" s="62" t="str">
        <f>VLOOKUP([Field],Columns[],2,0)&amp;"("</f>
        <v>audit(</v>
      </c>
      <c r="D84" s="62" t="str">
        <f>IF(VLOOKUP([Field],Columns[],3,0)&lt;&gt;"","'"&amp;VLOOKUP([Field],Columns[],3,0)&amp;"'","")</f>
        <v/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771</v>
      </c>
      <c r="B85" s="62" t="s">
        <v>21</v>
      </c>
      <c r="C85" s="62" t="str">
        <f>VLOOKUP([Field],Columns[],2,0)&amp;"("</f>
        <v>bigIncrements(</v>
      </c>
      <c r="D85" s="62" t="str">
        <f>IF(VLOOKUP([Field],Columns[],3,0)&lt;&gt;"","'"&amp;VLOOKUP([Field],Columns[],3,0)&amp;"'","")</f>
        <v>'id'</v>
      </c>
      <c r="E85" s="63" t="str">
        <f>IF(VLOOKUP([Field],Columns[],4,0)&lt;&gt;0,", "&amp;IF(ISERR(SEARCH(",",VLOOKUP([Field],Columns[],4,0))),"'"&amp;VLOOKUP([Field],Columns[],4,0)&amp;"'",VLOOKUP([Field],Columns[],4,0))&amp;")",")")</f>
        <v>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$table-&gt;bigIncrements('id');</v>
      </c>
    </row>
    <row r="86" spans="1:11">
      <c r="A86" s="2" t="s">
        <v>771</v>
      </c>
      <c r="B86" s="62" t="s">
        <v>841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'oi'</v>
      </c>
      <c r="E86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$table-&gt;foreignCascade('oi', 'order_items');</v>
      </c>
    </row>
    <row r="87" spans="1:11">
      <c r="A87" s="2" t="s">
        <v>771</v>
      </c>
      <c r="B87" s="62" t="s">
        <v>813</v>
      </c>
      <c r="C87" s="62" t="str">
        <f>VLOOKUP([Field],Columns[],2,0)&amp;"("</f>
        <v>foreignCascade(</v>
      </c>
      <c r="D87" s="62" t="str">
        <f>IF(VLOOKUP([Field],Columns[],3,0)&lt;&gt;"","'"&amp;VLOOKUP([Field],Columns[],3,0)&amp;"'","")</f>
        <v>'service'</v>
      </c>
      <c r="E87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$table-&gt;foreignCascade('service', 'services');</v>
      </c>
    </row>
    <row r="88" spans="1:11">
      <c r="A88" s="2" t="s">
        <v>771</v>
      </c>
      <c r="B88" s="62" t="s">
        <v>891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'progress'</v>
      </c>
      <c r="E88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-&gt;default('New')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9" spans="1:11">
      <c r="A89" s="2" t="s">
        <v>771</v>
      </c>
      <c r="B89" s="62" t="s">
        <v>802</v>
      </c>
      <c r="C89" s="62" t="str">
        <f>VLOOKUP([Field],Columns[],2,0)&amp;"("</f>
        <v>enum(</v>
      </c>
      <c r="D89" s="62" t="str">
        <f>IF(VLOOKUP([Field],Columns[],3,0)&lt;&gt;"","'"&amp;VLOOKUP([Field],Columns[],3,0)&amp;"'","")</f>
        <v>'status'</v>
      </c>
      <c r="E8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9" s="62" t="str">
        <f>IF(VLOOKUP([Field],Columns[],5,0)=0,"","-&gt;"&amp;VLOOKUP([Field],Columns[],5,0))</f>
        <v>-&gt;nullable()</v>
      </c>
      <c r="G89" s="62" t="str">
        <f>IF(VLOOKUP([Field],Columns[],6,0)=0,"","-&gt;"&amp;VLOOKUP([Field],Columns[],6,0))</f>
        <v>-&gt;default('Active')</v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0" spans="1:11">
      <c r="A90" s="2" t="s">
        <v>771</v>
      </c>
      <c r="B90" s="62" t="s">
        <v>288</v>
      </c>
      <c r="C90" s="62" t="str">
        <f>VLOOKUP([Field],Columns[],2,0)&amp;"("</f>
        <v>audit(</v>
      </c>
      <c r="D90" s="62" t="str">
        <f>IF(VLOOKUP([Field],Columns[],3,0)&lt;&gt;"","'"&amp;VLOOKUP([Field],Columns[],3,0)&amp;"'","")</f>
        <v/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$table-&gt;audit();</v>
      </c>
    </row>
    <row r="91" spans="1:11">
      <c r="A91" s="2" t="s">
        <v>846</v>
      </c>
      <c r="B91" s="62" t="s">
        <v>21</v>
      </c>
      <c r="C91" s="62" t="str">
        <f>VLOOKUP([Field],Columns[],2,0)&amp;"("</f>
        <v>bigIncrements(</v>
      </c>
      <c r="D91" s="62" t="str">
        <f>IF(VLOOKUP([Field],Columns[],3,0)&lt;&gt;"","'"&amp;VLOOKUP([Field],Columns[],3,0)&amp;"'","")</f>
        <v>'id'</v>
      </c>
      <c r="E91" s="63" t="str">
        <f>IF(VLOOKUP([Field],Columns[],4,0)&lt;&gt;0,", "&amp;IF(ISERR(SEARCH(",",VLOOKUP([Field],Columns[],4,0))),"'"&amp;VLOOKUP([Field],Columns[],4,0)&amp;"'",VLOOKUP([Field],Columns[],4,0))&amp;")",")")</f>
        <v>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$table-&gt;bigIncrements('id');</v>
      </c>
    </row>
    <row r="92" spans="1:11">
      <c r="A92" s="2" t="s">
        <v>846</v>
      </c>
      <c r="B92" s="62" t="s">
        <v>835</v>
      </c>
      <c r="C92" s="62" t="str">
        <f>VLOOKUP([Field],Columns[],2,0)&amp;"("</f>
        <v>foreignCascade(</v>
      </c>
      <c r="D92" s="62" t="str">
        <f>IF(VLOOKUP([Field],Columns[],3,0)&lt;&gt;"","'"&amp;VLOOKUP([Field],Columns[],3,0)&amp;"'","")</f>
        <v>'order'</v>
      </c>
      <c r="E92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$table-&gt;foreignCascade('order', 'orders');</v>
      </c>
    </row>
    <row r="93" spans="1:11">
      <c r="A93" s="2" t="s">
        <v>846</v>
      </c>
      <c r="B93" s="62" t="s">
        <v>828</v>
      </c>
      <c r="C93" s="62" t="str">
        <f>VLOOKUP([Field],Columns[],2,0)&amp;"("</f>
        <v>foreignNullable(</v>
      </c>
      <c r="D93" s="62" t="str">
        <f>IF(VLOOKUP([Field],Columns[],3,0)&lt;&gt;"","'"&amp;VLOOKUP([Field],Columns[],3,0)&amp;"'","")</f>
        <v>'customer'</v>
      </c>
      <c r="E9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3" s="62" t="str">
        <f>IF(VLOOKUP([Field],Columns[],5,0)=0,"","-&gt;"&amp;VLOOKUP([Field],Columns[],5,0))</f>
        <v/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$table-&gt;foreignNullable('customer', 'users');</v>
      </c>
    </row>
    <row r="94" spans="1:11">
      <c r="A94" s="2" t="s">
        <v>846</v>
      </c>
      <c r="B94" s="62" t="s">
        <v>827</v>
      </c>
      <c r="C94" s="62" t="str">
        <f>VLOOKUP([Field],Columns[],2,0)&amp;"("</f>
        <v>date(</v>
      </c>
      <c r="D94" s="62" t="str">
        <f>IF(VLOOKUP([Field],Columns[],3,0)&lt;&gt;"","'"&amp;VLOOKUP([Field],Columns[],3,0)&amp;"'","")</f>
        <v>'date'</v>
      </c>
      <c r="E94" s="63" t="str">
        <f>IF(VLOOKUP([Field],Columns[],4,0)&lt;&gt;0,", "&amp;IF(ISERR(SEARCH(",",VLOOKUP([Field],Columns[],4,0))),"'"&amp;VLOOKUP([Field],Columns[],4,0)&amp;"'",VLOOKUP([Field],Columns[],4,0))&amp;")",")")</f>
        <v>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$table-&gt;date('date')-&gt;nullable();</v>
      </c>
    </row>
    <row r="95" spans="1:11">
      <c r="A95" s="2" t="s">
        <v>846</v>
      </c>
      <c r="B95" s="62" t="s">
        <v>892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'progress'</v>
      </c>
      <c r="E95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-&gt;default('Unpaid')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6" spans="1:11">
      <c r="A96" s="2" t="s">
        <v>846</v>
      </c>
      <c r="B96" s="62" t="s">
        <v>802</v>
      </c>
      <c r="C96" s="62" t="str">
        <f>VLOOKUP([Field],Columns[],2,0)&amp;"("</f>
        <v>enum(</v>
      </c>
      <c r="D96" s="62" t="str">
        <f>IF(VLOOKUP([Field],Columns[],3,0)&lt;&gt;"","'"&amp;VLOOKUP([Field],Columns[],3,0)&amp;"'","")</f>
        <v>'status'</v>
      </c>
      <c r="E9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6" s="62" t="str">
        <f>IF(VLOOKUP([Field],Columns[],5,0)=0,"","-&gt;"&amp;VLOOKUP([Field],Columns[],5,0))</f>
        <v>-&gt;nullable()</v>
      </c>
      <c r="G96" s="62" t="str">
        <f>IF(VLOOKUP([Field],Columns[],6,0)=0,"","-&gt;"&amp;VLOOKUP([Field],Columns[],6,0))</f>
        <v>-&gt;default('Active')</v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7" spans="1:11">
      <c r="A97" s="2" t="s">
        <v>846</v>
      </c>
      <c r="B97" s="62" t="s">
        <v>288</v>
      </c>
      <c r="C97" s="62" t="str">
        <f>VLOOKUP([Field],Columns[],2,0)&amp;"("</f>
        <v>audit(</v>
      </c>
      <c r="D97" s="62" t="str">
        <f>IF(VLOOKUP([Field],Columns[],3,0)&lt;&gt;"","'"&amp;VLOOKUP([Field],Columns[],3,0)&amp;"'","")</f>
        <v/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$table-&gt;audit();</v>
      </c>
    </row>
    <row r="98" spans="1:11">
      <c r="A98" s="2" t="s">
        <v>847</v>
      </c>
      <c r="B98" s="62" t="s">
        <v>21</v>
      </c>
      <c r="C98" s="62" t="str">
        <f>VLOOKUP([Field],Columns[],2,0)&amp;"("</f>
        <v>bigIncrements(</v>
      </c>
      <c r="D98" s="62" t="str">
        <f>IF(VLOOKUP([Field],Columns[],3,0)&lt;&gt;"","'"&amp;VLOOKUP([Field],Columns[],3,0)&amp;"'","")</f>
        <v>'id'</v>
      </c>
      <c r="E98" s="63" t="str">
        <f>IF(VLOOKUP([Field],Columns[],4,0)&lt;&gt;0,", "&amp;IF(ISERR(SEARCH(",",VLOOKUP([Field],Columns[],4,0))),"'"&amp;VLOOKUP([Field],Columns[],4,0)&amp;"'",VLOOKUP([Field],Columns[],4,0))&amp;")",")")</f>
        <v>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$table-&gt;bigIncrements('id');</v>
      </c>
    </row>
    <row r="99" spans="1:11">
      <c r="A99" s="2" t="s">
        <v>847</v>
      </c>
      <c r="B99" s="62" t="s">
        <v>849</v>
      </c>
      <c r="C99" s="62" t="str">
        <f>VLOOKUP([Field],Columns[],2,0)&amp;"("</f>
        <v>foreignCascade(</v>
      </c>
      <c r="D99" s="62" t="str">
        <f>IF(VLOOKUP([Field],Columns[],3,0)&lt;&gt;"","'"&amp;VLOOKUP([Field],Columns[],3,0)&amp;"'","")</f>
        <v>'invoice'</v>
      </c>
      <c r="E99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$table-&gt;foreignCascade('invoice', 'invoices');</v>
      </c>
    </row>
    <row r="100" spans="1:11">
      <c r="A100" s="2" t="s">
        <v>847</v>
      </c>
      <c r="B100" s="62" t="s">
        <v>815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'item'</v>
      </c>
      <c r="E100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$table-&gt;foreignNullable('item', 'items');</v>
      </c>
    </row>
    <row r="101" spans="1:11">
      <c r="A101" s="2" t="s">
        <v>847</v>
      </c>
      <c r="B101" s="62" t="s">
        <v>812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'service'</v>
      </c>
      <c r="E101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$table-&gt;foreignNullable('service', 'services');</v>
      </c>
    </row>
    <row r="102" spans="1:11">
      <c r="A102" s="2" t="s">
        <v>847</v>
      </c>
      <c r="B102" s="62" t="s">
        <v>843</v>
      </c>
      <c r="C102" s="62" t="str">
        <f>VLOOKUP([Field],Columns[],2,0)&amp;"("</f>
        <v>foreignNullable(</v>
      </c>
      <c r="D102" s="62" t="str">
        <f>IF(VLOOKUP([Field],Columns[],3,0)&lt;&gt;"","'"&amp;VLOOKUP([Field],Columns[],3,0)&amp;"'","")</f>
        <v>'ois'</v>
      </c>
      <c r="E102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$table-&gt;foreignNullable('ois', 'order_item_services');</v>
      </c>
    </row>
    <row r="103" spans="1:11">
      <c r="A103" s="2" t="s">
        <v>847</v>
      </c>
      <c r="B103" s="62" t="s">
        <v>851</v>
      </c>
      <c r="C103" s="62" t="str">
        <f>VLOOKUP([Field],Columns[],2,0)&amp;"("</f>
        <v>float(</v>
      </c>
      <c r="D103" s="62" t="str">
        <f>IF(VLOOKUP([Field],Columns[],3,0)&lt;&gt;"","'"&amp;VLOOKUP([Field],Columns[],3,0)&amp;"'","")</f>
        <v>'price'</v>
      </c>
      <c r="E103" s="63" t="str">
        <f>IF(VLOOKUP([Field],Columns[],4,0)&lt;&gt;0,", "&amp;IF(ISERR(SEARCH(",",VLOOKUP([Field],Columns[],4,0))),"'"&amp;VLOOKUP([Field],Columns[],4,0)&amp;"'",VLOOKUP([Field],Columns[],4,0))&amp;")",")")</f>
        <v>, 9,2)</v>
      </c>
      <c r="F103" s="62" t="str">
        <f>IF(VLOOKUP([Field],Columns[],5,0)=0,"","-&gt;"&amp;VLOOKUP([Field],Columns[],5,0))</f>
        <v>-&gt;nullable()</v>
      </c>
      <c r="G103" s="62" t="str">
        <f>IF(VLOOKUP([Field],Columns[],6,0)=0,"","-&gt;"&amp;VLOOKUP([Field],Columns[],6,0))</f>
        <v>-&gt;default(0)</v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$table-&gt;float('price', 9,2)-&gt;nullable()-&gt;default(0);</v>
      </c>
    </row>
    <row r="104" spans="1:11">
      <c r="A104" s="2" t="s">
        <v>847</v>
      </c>
      <c r="B104" s="62" t="s">
        <v>288</v>
      </c>
      <c r="C104" s="62" t="str">
        <f>VLOOKUP([Field],Columns[],2,0)&amp;"("</f>
        <v>audit(</v>
      </c>
      <c r="D104" s="62" t="str">
        <f>IF(VLOOKUP([Field],Columns[],3,0)&lt;&gt;"","'"&amp;VLOOKUP([Field],Columns[],3,0)&amp;"'","")</f>
        <v/>
      </c>
      <c r="E104" s="63" t="str">
        <f>IF(VLOOKUP([Field],Columns[],4,0)&lt;&gt;0,", "&amp;IF(ISERR(SEARCH(",",VLOOKUP([Field],Columns[],4,0))),"'"&amp;VLOOKUP([Field],Columns[],4,0)&amp;"'",VLOOKUP([Field],Columns[],4,0))&amp;")",")")</f>
        <v>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$table-&gt;audit();</v>
      </c>
    </row>
    <row r="105" spans="1:11">
      <c r="A105" s="2" t="s">
        <v>772</v>
      </c>
      <c r="B105" s="62" t="s">
        <v>21</v>
      </c>
      <c r="C105" s="62" t="str">
        <f>VLOOKUP([Field],Columns[],2,0)&amp;"("</f>
        <v>bigIncrements(</v>
      </c>
      <c r="D105" s="62" t="str">
        <f>IF(VLOOKUP([Field],Columns[],3,0)&lt;&gt;"","'"&amp;VLOOKUP([Field],Columns[],3,0)&amp;"'","")</f>
        <v>'id'</v>
      </c>
      <c r="E105" s="63" t="str">
        <f>IF(VLOOKUP([Field],Columns[],4,0)&lt;&gt;0,", "&amp;IF(ISERR(SEARCH(",",VLOOKUP([Field],Columns[],4,0))),"'"&amp;VLOOKUP([Field],Columns[],4,0)&amp;"'",VLOOKUP([Field],Columns[],4,0))&amp;")",")")</f>
        <v>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$table-&gt;bigIncrements('id');</v>
      </c>
    </row>
    <row r="106" spans="1:11">
      <c r="A106" s="2" t="s">
        <v>772</v>
      </c>
      <c r="B106" s="62" t="s">
        <v>844</v>
      </c>
      <c r="C106" s="62" t="str">
        <f>VLOOKUP([Field],Columns[],2,0)&amp;"("</f>
        <v>foreignCascade(</v>
      </c>
      <c r="D106" s="62" t="str">
        <f>IF(VLOOKUP([Field],Columns[],3,0)&lt;&gt;"","'"&amp;VLOOKUP([Field],Columns[],3,0)&amp;"'","")</f>
        <v>'ois'</v>
      </c>
      <c r="E106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$table-&gt;foreignCascade('ois', 'order_item_services');</v>
      </c>
    </row>
    <row r="107" spans="1:11">
      <c r="A107" s="2" t="s">
        <v>772</v>
      </c>
      <c r="B107" s="62" t="s">
        <v>824</v>
      </c>
      <c r="C107" s="62" t="str">
        <f>VLOOKUP([Field],Columns[],2,0)&amp;"("</f>
        <v>foreignNullable(</v>
      </c>
      <c r="D107" s="62" t="str">
        <f>IF(VLOOKUP([Field],Columns[],3,0)&lt;&gt;"","'"&amp;VLOOKUP([Field],Columns[],3,0)&amp;"'","")</f>
        <v>'user'</v>
      </c>
      <c r="E10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$table-&gt;foreignNullable('user', 'users');</v>
      </c>
    </row>
    <row r="108" spans="1:11">
      <c r="A108" s="2" t="s">
        <v>772</v>
      </c>
      <c r="B108" s="62" t="s">
        <v>864</v>
      </c>
      <c r="C108" s="62" t="str">
        <f>VLOOKUP([Field],Columns[],2,0)&amp;"("</f>
        <v>foreignNullable(</v>
      </c>
      <c r="D108" s="62" t="str">
        <f>IF(VLOOKUP([Field],Columns[],3,0)&lt;&gt;"","'"&amp;VLOOKUP([Field],Columns[],3,0)&amp;"'","")</f>
        <v>'assigned_by'</v>
      </c>
      <c r="E10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$table-&gt;foreignNullable('assigned_by', 'users');</v>
      </c>
    </row>
    <row r="109" spans="1:11">
      <c r="A109" s="2" t="s">
        <v>772</v>
      </c>
      <c r="B109" s="62" t="s">
        <v>862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'assigned_on'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>-&gt;nullable()</v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10" spans="1:11">
      <c r="A110" s="2" t="s">
        <v>772</v>
      </c>
      <c r="B110" s="62" t="s">
        <v>866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'start_at'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$table-&gt;unsignedBigInteger('start_at')-&gt;default(0);</v>
      </c>
    </row>
    <row r="111" spans="1:11">
      <c r="A111" s="2" t="s">
        <v>772</v>
      </c>
      <c r="B111" s="62" t="s">
        <v>868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'end_at'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$table-&gt;unsignedBigInteger('end_at')-&gt;default(0);</v>
      </c>
    </row>
    <row r="112" spans="1:11">
      <c r="A112" s="2" t="s">
        <v>772</v>
      </c>
      <c r="B112" s="62" t="s">
        <v>871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'service_time'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$table-&gt;unsignedBigInteger('service_time')-&gt;default(0);</v>
      </c>
    </row>
    <row r="113" spans="1:11">
      <c r="A113" s="2" t="s">
        <v>772</v>
      </c>
      <c r="B113" s="62" t="s">
        <v>870</v>
      </c>
      <c r="C113" s="62" t="str">
        <f>VLOOKUP([Field],Columns[],2,0)&amp;"("</f>
        <v>unsignedBigInteger(</v>
      </c>
      <c r="D113" s="62" t="str">
        <f>IF(VLOOKUP([Field],Columns[],3,0)&lt;&gt;"","'"&amp;VLOOKUP([Field],Columns[],3,0)&amp;"'","")</f>
        <v>'total_time'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>-&gt;default(0)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$table-&gt;unsignedBigInteger('total_time')-&gt;default(0);</v>
      </c>
    </row>
    <row r="114" spans="1:11">
      <c r="A114" s="2" t="s">
        <v>772</v>
      </c>
      <c r="B114" s="62" t="s">
        <v>802</v>
      </c>
      <c r="C114" s="62" t="str">
        <f>VLOOKUP([Field],Columns[],2,0)&amp;"("</f>
        <v>enum(</v>
      </c>
      <c r="D114" s="62" t="str">
        <f>IF(VLOOKUP([Field],Columns[],3,0)&lt;&gt;"","'"&amp;VLOOKUP([Field],Columns[],3,0)&amp;"'","")</f>
        <v>'status'</v>
      </c>
      <c r="E1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62" t="str">
        <f>IF(VLOOKUP([Field],Columns[],5,0)=0,"","-&gt;"&amp;VLOOKUP([Field],Columns[],5,0))</f>
        <v>-&gt;nullable()</v>
      </c>
      <c r="G114" s="62" t="str">
        <f>IF(VLOOKUP([Field],Columns[],6,0)=0,"","-&gt;"&amp;VLOOKUP([Field],Columns[],6,0))</f>
        <v>-&gt;default('Active')</v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2" t="s">
        <v>772</v>
      </c>
      <c r="B115" s="62" t="s">
        <v>288</v>
      </c>
      <c r="C115" s="62" t="str">
        <f>VLOOKUP([Field],Columns[],2,0)&amp;"("</f>
        <v>audit(</v>
      </c>
      <c r="D115" s="62" t="str">
        <f>IF(VLOOKUP([Field],Columns[],3,0)&lt;&gt;"","'"&amp;VLOOKUP([Field],Columns[],3,0)&amp;"'","")</f>
        <v/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$table-&gt;audit();</v>
      </c>
    </row>
    <row r="116" spans="1:11">
      <c r="A116" s="2" t="s">
        <v>773</v>
      </c>
      <c r="B116" s="62" t="s">
        <v>21</v>
      </c>
      <c r="C116" s="62" t="str">
        <f>VLOOKUP([Field],Columns[],2,0)&amp;"("</f>
        <v>bigIncrements(</v>
      </c>
      <c r="D116" s="62" t="str">
        <f>IF(VLOOKUP([Field],Columns[],3,0)&lt;&gt;"","'"&amp;VLOOKUP([Field],Columns[],3,0)&amp;"'","")</f>
        <v>'id'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$table-&gt;bigIncrements('id');</v>
      </c>
    </row>
    <row r="117" spans="1:11">
      <c r="A117" s="2" t="s">
        <v>773</v>
      </c>
      <c r="B117" s="62" t="s">
        <v>848</v>
      </c>
      <c r="C117" s="62" t="str">
        <f>VLOOKUP([Field],Columns[],2,0)&amp;"("</f>
        <v>foreignNullable(</v>
      </c>
      <c r="D117" s="62" t="str">
        <f>IF(VLOOKUP([Field],Columns[],3,0)&lt;&gt;"","'"&amp;VLOOKUP([Field],Columns[],3,0)&amp;"'","")</f>
        <v>'invoice'</v>
      </c>
      <c r="E117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$table-&gt;foreignNullable('invoice', 'invoices');</v>
      </c>
    </row>
    <row r="118" spans="1:11">
      <c r="A118" s="2" t="s">
        <v>773</v>
      </c>
      <c r="B118" s="62" t="s">
        <v>827</v>
      </c>
      <c r="C118" s="62" t="str">
        <f>VLOOKUP([Field],Columns[],2,0)&amp;"("</f>
        <v>date(</v>
      </c>
      <c r="D118" s="62" t="str">
        <f>IF(VLOOKUP([Field],Columns[],3,0)&lt;&gt;"","'"&amp;VLOOKUP([Field],Columns[],3,0)&amp;"'","")</f>
        <v>'date'</v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$table-&gt;date('date')-&gt;nullable();</v>
      </c>
    </row>
    <row r="119" spans="1:11">
      <c r="A119" s="2" t="s">
        <v>773</v>
      </c>
      <c r="B119" s="62" t="s">
        <v>824</v>
      </c>
      <c r="C119" s="62" t="str">
        <f>VLOOKUP([Field],Columns[],2,0)&amp;"("</f>
        <v>foreignNullable(</v>
      </c>
      <c r="D119" s="62" t="str">
        <f>IF(VLOOKUP([Field],Columns[],3,0)&lt;&gt;"","'"&amp;VLOOKUP([Field],Columns[],3,0)&amp;"'","")</f>
        <v>'user'</v>
      </c>
      <c r="E11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$table-&gt;foreignNullable('user', 'users');</v>
      </c>
    </row>
    <row r="120" spans="1:11">
      <c r="A120" s="2" t="s">
        <v>773</v>
      </c>
      <c r="B120" s="62" t="s">
        <v>875</v>
      </c>
      <c r="C120" s="62" t="str">
        <f>VLOOKUP([Field],Columns[],2,0)&amp;"("</f>
        <v>float(</v>
      </c>
      <c r="D120" s="62" t="str">
        <f>IF(VLOOKUP([Field],Columns[],3,0)&lt;&gt;"","'"&amp;VLOOKUP([Field],Columns[],3,0)&amp;"'","")</f>
        <v>'amount'</v>
      </c>
      <c r="E120" s="63" t="str">
        <f>IF(VLOOKUP([Field],Columns[],4,0)&lt;&gt;0,", "&amp;IF(ISERR(SEARCH(",",VLOOKUP([Field],Columns[],4,0))),"'"&amp;VLOOKUP([Field],Columns[],4,0)&amp;"'",VLOOKUP([Field],Columns[],4,0))&amp;")",")")</f>
        <v>, 9,2)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>-&gt;default(0)</v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$table-&gt;float('amount', 9,2)-&gt;nullable()-&gt;default(0);</v>
      </c>
    </row>
    <row r="121" spans="1:11">
      <c r="A121" s="2" t="s">
        <v>773</v>
      </c>
      <c r="B121" s="62" t="s">
        <v>802</v>
      </c>
      <c r="C121" s="62" t="str">
        <f>VLOOKUP([Field],Columns[],2,0)&amp;"("</f>
        <v>enum(</v>
      </c>
      <c r="D121" s="62" t="str">
        <f>IF(VLOOKUP([Field],Columns[],3,0)&lt;&gt;"","'"&amp;VLOOKUP([Field],Columns[],3,0)&amp;"'","")</f>
        <v>'status'</v>
      </c>
      <c r="E12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>-&gt;default('Active')</v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2" spans="1:11">
      <c r="A122" s="2" t="s">
        <v>773</v>
      </c>
      <c r="B122" s="62" t="s">
        <v>288</v>
      </c>
      <c r="C122" s="62" t="str">
        <f>VLOOKUP([Field],Columns[],2,0)&amp;"("</f>
        <v>audit(</v>
      </c>
      <c r="D122" s="62" t="str">
        <f>IF(VLOOKUP([Field],Columns[],3,0)&lt;&gt;"","'"&amp;VLOOKUP([Field],Columns[],3,0)&amp;"'","")</f>
        <v/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$table-&gt;audit();</v>
      </c>
    </row>
    <row r="123" spans="1:11">
      <c r="A123" s="2" t="s">
        <v>856</v>
      </c>
      <c r="B123" s="62" t="s">
        <v>21</v>
      </c>
      <c r="C123" s="62" t="str">
        <f>VLOOKUP([Field],Columns[],2,0)&amp;"("</f>
        <v>bigIncrements(</v>
      </c>
      <c r="D123" s="62" t="str">
        <f>IF(VLOOKUP([Field],Columns[],3,0)&lt;&gt;"","'"&amp;VLOOKUP([Field],Columns[],3,0)&amp;"'","")</f>
        <v>'id'</v>
      </c>
      <c r="E123" s="63" t="str">
        <f>IF(VLOOKUP([Field],Columns[],4,0)&lt;&gt;0,", "&amp;IF(ISERR(SEARCH(",",VLOOKUP([Field],Columns[],4,0))),"'"&amp;VLOOKUP([Field],Columns[],4,0)&amp;"'",VLOOKUP([Field],Columns[],4,0))&amp;")",")")</f>
        <v>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$table-&gt;bigIncrements('id');</v>
      </c>
    </row>
    <row r="124" spans="1:11">
      <c r="A124" s="2" t="s">
        <v>856</v>
      </c>
      <c r="B124" s="62" t="s">
        <v>827</v>
      </c>
      <c r="C124" s="62" t="str">
        <f>VLOOKUP([Field],Columns[],2,0)&amp;"("</f>
        <v>date(</v>
      </c>
      <c r="D124" s="62" t="str">
        <f>IF(VLOOKUP([Field],Columns[],3,0)&lt;&gt;"","'"&amp;VLOOKUP([Field],Columns[],3,0)&amp;"'","")</f>
        <v>'date'</v>
      </c>
      <c r="E124" s="63" t="str">
        <f>IF(VLOOKUP([Field],Columns[],4,0)&lt;&gt;0,", "&amp;IF(ISERR(SEARCH(",",VLOOKUP([Field],Columns[],4,0))),"'"&amp;VLOOKUP([Field],Columns[],4,0)&amp;"'",VLOOKUP([Field],Columns[],4,0))&amp;")",")")</f>
        <v>)</v>
      </c>
      <c r="F124" s="62" t="str">
        <f>IF(VLOOKUP([Field],Columns[],5,0)=0,"","-&gt;"&amp;VLOOKUP([Field],Columns[],5,0))</f>
        <v>-&gt;nullable()</v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$table-&gt;date('date')-&gt;nullable();</v>
      </c>
    </row>
    <row r="125" spans="1:11">
      <c r="A125" s="2" t="s">
        <v>856</v>
      </c>
      <c r="B125" s="62" t="s">
        <v>824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'user'</v>
      </c>
      <c r="E12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$table-&gt;foreignNullable('user', 'users');</v>
      </c>
    </row>
    <row r="126" spans="1:11">
      <c r="A126" s="2" t="s">
        <v>856</v>
      </c>
      <c r="B126" s="62" t="s">
        <v>836</v>
      </c>
      <c r="C126" s="62" t="str">
        <f>VLOOKUP([Field],Columns[],2,0)&amp;"("</f>
        <v>foreignNullable(</v>
      </c>
      <c r="D126" s="62" t="str">
        <f>IF(VLOOKUP([Field],Columns[],3,0)&lt;&gt;"","'"&amp;VLOOKUP([Field],Columns[],3,0)&amp;"'","")</f>
        <v>'order'</v>
      </c>
      <c r="E12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$table-&gt;foreignNullable('order', 'orders');</v>
      </c>
    </row>
    <row r="127" spans="1:11">
      <c r="A127" s="2" t="s">
        <v>856</v>
      </c>
      <c r="B127" s="62" t="s">
        <v>807</v>
      </c>
      <c r="C127" s="62" t="str">
        <f>VLOOKUP([Field],Columns[],2,0)&amp;"("</f>
        <v>foreignNullable(</v>
      </c>
      <c r="D127" s="62" t="str">
        <f>IF(VLOOKUP([Field],Columns[],3,0)&lt;&gt;"","'"&amp;VLOOKUP([Field],Columns[],3,0)&amp;"'","")</f>
        <v>'hub'</v>
      </c>
      <c r="E12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$table-&gt;foreignNullable('hub', 'hubs');</v>
      </c>
    </row>
    <row r="128" spans="1:11">
      <c r="A128" s="2" t="s">
        <v>856</v>
      </c>
      <c r="B128" s="62" t="s">
        <v>288</v>
      </c>
      <c r="C128" s="62" t="str">
        <f>VLOOKUP([Field],Columns[],2,0)&amp;"("</f>
        <v>audit(</v>
      </c>
      <c r="D128" s="62" t="str">
        <f>IF(VLOOKUP([Field],Columns[],3,0)&lt;&gt;"","'"&amp;VLOOKUP([Field],Columns[],3,0)&amp;"'","")</f>
        <v/>
      </c>
      <c r="E128" s="63" t="str">
        <f>IF(VLOOKUP([Field],Columns[],4,0)&lt;&gt;0,", "&amp;IF(ISERR(SEARCH(",",VLOOKUP([Field],Columns[],4,0))),"'"&amp;VLOOKUP([Field],Columns[],4,0)&amp;"'",VLOOKUP([Field],Columns[],4,0))&amp;")",")")</f>
        <v>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$table-&gt;audit();</v>
      </c>
    </row>
    <row r="129" spans="1:11">
      <c r="A129" s="2" t="s">
        <v>1003</v>
      </c>
      <c r="B129" s="62" t="s">
        <v>21</v>
      </c>
      <c r="C129" s="62" t="str">
        <f>VLOOKUP([Field],Columns[],2,0)&amp;"("</f>
        <v>bigIncrements(</v>
      </c>
      <c r="D129" s="62" t="str">
        <f>IF(VLOOKUP([Field],Columns[],3,0)&lt;&gt;"","'"&amp;VLOOKUP([Field],Columns[],3,0)&amp;"'","")</f>
        <v>'id'</v>
      </c>
      <c r="E129" s="63" t="str">
        <f>IF(VLOOKUP([Field],Columns[],4,0)&lt;&gt;0,", "&amp;IF(ISERR(SEARCH(",",VLOOKUP([Field],Columns[],4,0))),"'"&amp;VLOOKUP([Field],Columns[],4,0)&amp;"'",VLOOKUP([Field],Columns[],4,0))&amp;")",")")</f>
        <v>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$table-&gt;bigIncrements('id');</v>
      </c>
    </row>
    <row r="130" spans="1:11">
      <c r="A130" s="2" t="s">
        <v>1003</v>
      </c>
      <c r="B130" s="62" t="s">
        <v>1006</v>
      </c>
      <c r="C130" s="62" t="str">
        <f>VLOOKUP([Field],Columns[],2,0)&amp;"("</f>
        <v>foreignCascade(</v>
      </c>
      <c r="D130" s="62" t="str">
        <f>IF(VLOOKUP([Field],Columns[],3,0)&lt;&gt;"","'"&amp;VLOOKUP([Field],Columns[],3,0)&amp;"'","")</f>
        <v>'delivery'</v>
      </c>
      <c r="E130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$table-&gt;foreignCascade('delivery', 'delivery');</v>
      </c>
    </row>
    <row r="131" spans="1:11">
      <c r="A131" s="2" t="s">
        <v>1003</v>
      </c>
      <c r="B131" s="62" t="s">
        <v>841</v>
      </c>
      <c r="C131" s="62" t="str">
        <f>VLOOKUP([Field],Columns[],2,0)&amp;"("</f>
        <v>foreignCascade(</v>
      </c>
      <c r="D131" s="62" t="str">
        <f>IF(VLOOKUP([Field],Columns[],3,0)&lt;&gt;"","'"&amp;VLOOKUP([Field],Columns[],3,0)&amp;"'","")</f>
        <v>'oi'</v>
      </c>
      <c r="E131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$table-&gt;foreignCascade('oi', 'order_items');</v>
      </c>
    </row>
    <row r="132" spans="1:11">
      <c r="A132" s="2" t="s">
        <v>1003</v>
      </c>
      <c r="B132" s="62" t="s">
        <v>1020</v>
      </c>
      <c r="C132" s="62" t="str">
        <f>VLOOKUP([Field],Columns[],2,0)&amp;"("</f>
        <v>foreignNullable(</v>
      </c>
      <c r="D132" s="62" t="str">
        <f>IF(VLOOKUP([Field],Columns[],3,0)&lt;&gt;"","'"&amp;VLOOKUP([Field],Columns[],3,0)&amp;"'","")</f>
        <v>'shelf'</v>
      </c>
      <c r="E132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$table-&gt;foreignNullable('shelf', 'shelf');</v>
      </c>
    </row>
    <row r="133" spans="1:11">
      <c r="A133" s="2" t="s">
        <v>1003</v>
      </c>
      <c r="B133" s="62" t="s">
        <v>802</v>
      </c>
      <c r="C133" s="62" t="str">
        <f>VLOOKUP([Field],Columns[],2,0)&amp;"("</f>
        <v>enum(</v>
      </c>
      <c r="D133" s="62" t="str">
        <f>IF(VLOOKUP([Field],Columns[],3,0)&lt;&gt;"","'"&amp;VLOOKUP([Field],Columns[],3,0)&amp;"'","")</f>
        <v>'status'</v>
      </c>
      <c r="E13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3" s="62" t="str">
        <f>IF(VLOOKUP([Field],Columns[],5,0)=0,"","-&gt;"&amp;VLOOKUP([Field],Columns[],5,0))</f>
        <v>-&gt;nullable()</v>
      </c>
      <c r="G133" s="62" t="str">
        <f>IF(VLOOKUP([Field],Columns[],6,0)=0,"","-&gt;"&amp;VLOOKUP([Field],Columns[],6,0))</f>
        <v>-&gt;default('Active')</v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4" spans="1:11">
      <c r="A134" s="2" t="s">
        <v>1003</v>
      </c>
      <c r="B134" s="62" t="s">
        <v>288</v>
      </c>
      <c r="C134" s="62" t="str">
        <f>VLOOKUP([Field],Columns[],2,0)&amp;"("</f>
        <v>audit(</v>
      </c>
      <c r="D134" s="62" t="str">
        <f>IF(VLOOKUP([Field],Columns[],3,0)&lt;&gt;"","'"&amp;VLOOKUP([Field],Columns[],3,0)&amp;"'","")</f>
        <v/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$table-&gt;audit();</v>
      </c>
    </row>
    <row r="135" spans="1:11">
      <c r="A135" s="2" t="s">
        <v>774</v>
      </c>
      <c r="B135" s="62" t="s">
        <v>21</v>
      </c>
      <c r="C135" s="62" t="str">
        <f>VLOOKUP([Field],Columns[],2,0)&amp;"("</f>
        <v>bigIncrements(</v>
      </c>
      <c r="D135" s="62" t="str">
        <f>IF(VLOOKUP([Field],Columns[],3,0)&lt;&gt;"","'"&amp;VLOOKUP([Field],Columns[],3,0)&amp;"'","")</f>
        <v>'id'</v>
      </c>
      <c r="E135" s="63" t="str">
        <f>IF(VLOOKUP([Field],Columns[],4,0)&lt;&gt;0,", "&amp;IF(ISERR(SEARCH(",",VLOOKUP([Field],Columns[],4,0))),"'"&amp;VLOOKUP([Field],Columns[],4,0)&amp;"'",VLOOKUP([Field],Columns[],4,0))&amp;")",")")</f>
        <v>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$table-&gt;bigIncrements('id');</v>
      </c>
    </row>
    <row r="136" spans="1:11">
      <c r="A136" s="2" t="s">
        <v>774</v>
      </c>
      <c r="B136" s="62" t="s">
        <v>827</v>
      </c>
      <c r="C136" s="62" t="str">
        <f>VLOOKUP([Field],Columns[],2,0)&amp;"("</f>
        <v>date(</v>
      </c>
      <c r="D136" s="62" t="str">
        <f>IF(VLOOKUP([Field],Columns[],3,0)&lt;&gt;"","'"&amp;VLOOKUP([Field],Columns[],3,0)&amp;"'","")</f>
        <v>'date'</v>
      </c>
      <c r="E136" s="63" t="str">
        <f>IF(VLOOKUP([Field],Columns[],4,0)&lt;&gt;0,", "&amp;IF(ISERR(SEARCH(",",VLOOKUP([Field],Columns[],4,0))),"'"&amp;VLOOKUP([Field],Columns[],4,0)&amp;"'",VLOOKUP([Field],Columns[],4,0))&amp;")",")")</f>
        <v>)</v>
      </c>
      <c r="F136" s="62" t="str">
        <f>IF(VLOOKUP([Field],Columns[],5,0)=0,"","-&gt;"&amp;VLOOKUP([Field],Columns[],5,0))</f>
        <v>-&gt;nullable()</v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$table-&gt;date('date')-&gt;nullable();</v>
      </c>
    </row>
    <row r="137" spans="1:11">
      <c r="A137" s="2" t="s">
        <v>774</v>
      </c>
      <c r="B137" s="62" t="s">
        <v>876</v>
      </c>
      <c r="C137" s="62" t="str">
        <f>VLOOKUP([Field],Columns[],2,0)&amp;"("</f>
        <v>foreignNullable(</v>
      </c>
      <c r="D137" s="62" t="str">
        <f>IF(VLOOKUP([Field],Columns[],3,0)&lt;&gt;"","'"&amp;VLOOKUP([Field],Columns[],3,0)&amp;"'","")</f>
        <v>'source_hub'</v>
      </c>
      <c r="E1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$table-&gt;foreignNullable('source_hub', 'hubs');</v>
      </c>
    </row>
    <row r="138" spans="1:11">
      <c r="A138" s="2" t="s">
        <v>774</v>
      </c>
      <c r="B138" s="62" t="s">
        <v>877</v>
      </c>
      <c r="C138" s="62" t="str">
        <f>VLOOKUP([Field],Columns[],2,0)&amp;"("</f>
        <v>foreignNullable(</v>
      </c>
      <c r="D138" s="62" t="str">
        <f>IF(VLOOKUP([Field],Columns[],3,0)&lt;&gt;"","'"&amp;VLOOKUP([Field],Columns[],3,0)&amp;"'","")</f>
        <v>'destination_hub'</v>
      </c>
      <c r="E13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$table-&gt;foreignNullable('destination_hub', 'hubs');</v>
      </c>
    </row>
    <row r="139" spans="1:11">
      <c r="A139" s="2" t="s">
        <v>774</v>
      </c>
      <c r="B139" s="62" t="s">
        <v>802</v>
      </c>
      <c r="C139" s="62" t="str">
        <f>VLOOKUP([Field],Columns[],2,0)&amp;"("</f>
        <v>enum(</v>
      </c>
      <c r="D139" s="62" t="str">
        <f>IF(VLOOKUP([Field],Columns[],3,0)&lt;&gt;"","'"&amp;VLOOKUP([Field],Columns[],3,0)&amp;"'","")</f>
        <v>'status'</v>
      </c>
      <c r="E13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9" s="62" t="str">
        <f>IF(VLOOKUP([Field],Columns[],5,0)=0,"","-&gt;"&amp;VLOOKUP([Field],Columns[],5,0))</f>
        <v>-&gt;nullable()</v>
      </c>
      <c r="G139" s="62" t="str">
        <f>IF(VLOOKUP([Field],Columns[],6,0)=0,"","-&gt;"&amp;VLOOKUP([Field],Columns[],6,0))</f>
        <v>-&gt;default('Active')</v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0" spans="1:11">
      <c r="A140" s="2" t="s">
        <v>774</v>
      </c>
      <c r="B140" s="62" t="s">
        <v>288</v>
      </c>
      <c r="C140" s="62" t="str">
        <f>VLOOKUP([Field],Columns[],2,0)&amp;"("</f>
        <v>audit(</v>
      </c>
      <c r="D140" s="62" t="str">
        <f>IF(VLOOKUP([Field],Columns[],3,0)&lt;&gt;"","'"&amp;VLOOKUP([Field],Columns[],3,0)&amp;"'","")</f>
        <v/>
      </c>
      <c r="E140" s="63" t="str">
        <f>IF(VLOOKUP([Field],Columns[],4,0)&lt;&gt;0,", "&amp;IF(ISERR(SEARCH(",",VLOOKUP([Field],Columns[],4,0))),"'"&amp;VLOOKUP([Field],Columns[],4,0)&amp;"'",VLOOKUP([Field],Columns[],4,0))&amp;")",")")</f>
        <v>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$table-&gt;audit();</v>
      </c>
    </row>
    <row r="141" spans="1:11">
      <c r="A141" s="2" t="s">
        <v>775</v>
      </c>
      <c r="B141" s="62" t="s">
        <v>21</v>
      </c>
      <c r="C141" s="62" t="str">
        <f>VLOOKUP([Field],Columns[],2,0)&amp;"("</f>
        <v>bigIncrements(</v>
      </c>
      <c r="D141" s="62" t="str">
        <f>IF(VLOOKUP([Field],Columns[],3,0)&lt;&gt;"","'"&amp;VLOOKUP([Field],Columns[],3,0)&amp;"'","")</f>
        <v>'id'</v>
      </c>
      <c r="E141" s="63" t="str">
        <f>IF(VLOOKUP([Field],Columns[],4,0)&lt;&gt;0,", "&amp;IF(ISERR(SEARCH(",",VLOOKUP([Field],Columns[],4,0))),"'"&amp;VLOOKUP([Field],Columns[],4,0)&amp;"'",VLOOKUP([Field],Columns[],4,0))&amp;")",")")</f>
        <v>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$table-&gt;bigIncrements('id');</v>
      </c>
    </row>
    <row r="142" spans="1:11">
      <c r="A142" s="2" t="s">
        <v>775</v>
      </c>
      <c r="B142" s="62" t="s">
        <v>881</v>
      </c>
      <c r="C142" s="62" t="str">
        <f>VLOOKUP([Field],Columns[],2,0)&amp;"("</f>
        <v>foreignCascade(</v>
      </c>
      <c r="D142" s="62" t="str">
        <f>IF(VLOOKUP([Field],Columns[],3,0)&lt;&gt;"","'"&amp;VLOOKUP([Field],Columns[],3,0)&amp;"'","")</f>
        <v>'hs'</v>
      </c>
      <c r="E142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$table-&gt;foreignCascade('hs', 'hub_shift');</v>
      </c>
    </row>
    <row r="143" spans="1:11">
      <c r="A143" s="2" t="s">
        <v>775</v>
      </c>
      <c r="B143" s="62" t="s">
        <v>841</v>
      </c>
      <c r="C143" s="62" t="str">
        <f>VLOOKUP([Field],Columns[],2,0)&amp;"("</f>
        <v>foreignCascade(</v>
      </c>
      <c r="D143" s="62" t="str">
        <f>IF(VLOOKUP([Field],Columns[],3,0)&lt;&gt;"","'"&amp;VLOOKUP([Field],Columns[],3,0)&amp;"'","")</f>
        <v>'oi'</v>
      </c>
      <c r="E143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$table-&gt;foreignCascade('oi', 'order_items');</v>
      </c>
    </row>
    <row r="144" spans="1:11">
      <c r="A144" s="2" t="s">
        <v>775</v>
      </c>
      <c r="B144" s="62" t="s">
        <v>802</v>
      </c>
      <c r="C144" s="62" t="str">
        <f>VLOOKUP([Field],Columns[],2,0)&amp;"("</f>
        <v>enum(</v>
      </c>
      <c r="D144" s="62" t="str">
        <f>IF(VLOOKUP([Field],Columns[],3,0)&lt;&gt;"","'"&amp;VLOOKUP([Field],Columns[],3,0)&amp;"'","")</f>
        <v>'status'</v>
      </c>
      <c r="E14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4" s="62" t="str">
        <f>IF(VLOOKUP([Field],Columns[],5,0)=0,"","-&gt;"&amp;VLOOKUP([Field],Columns[],5,0))</f>
        <v>-&gt;nullable()</v>
      </c>
      <c r="G144" s="62" t="str">
        <f>IF(VLOOKUP([Field],Columns[],6,0)=0,"","-&gt;"&amp;VLOOKUP([Field],Columns[],6,0))</f>
        <v>-&gt;default('Active')</v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5" spans="1:11">
      <c r="A145" s="2" t="s">
        <v>775</v>
      </c>
      <c r="B145" s="62" t="s">
        <v>288</v>
      </c>
      <c r="C145" s="62" t="str">
        <f>VLOOKUP([Field],Columns[],2,0)&amp;"("</f>
        <v>audit(</v>
      </c>
      <c r="D145" s="62" t="str">
        <f>IF(VLOOKUP([Field],Columns[],3,0)&lt;&gt;"","'"&amp;VLOOKUP([Field],Columns[],3,0)&amp;"'","")</f>
        <v/>
      </c>
      <c r="E145" s="63" t="str">
        <f>IF(VLOOKUP([Field],Columns[],4,0)&lt;&gt;0,", "&amp;IF(ISERR(SEARCH(",",VLOOKUP([Field],Columns[],4,0))),"'"&amp;VLOOKUP([Field],Columns[],4,0)&amp;"'",VLOOKUP([Field],Columns[],4,0))&amp;")",")")</f>
        <v>)</v>
      </c>
      <c r="F145" s="62" t="str">
        <f>IF(VLOOKUP([Field],Columns[],5,0)=0,"","-&gt;"&amp;VLOOKUP([Field],Columns[],5,0))</f>
        <v/>
      </c>
      <c r="G145" s="62" t="str">
        <f>IF(VLOOKUP([Field],Columns[],6,0)=0,"","-&gt;"&amp;VLOOKUP([Field],Columns[],6,0))</f>
        <v/>
      </c>
      <c r="H145" s="62" t="str">
        <f>IF(VLOOKUP([Field],Columns[],7,0)=0,"","-&gt;"&amp;VLOOKUP([Field],Columns[],7,0))</f>
        <v/>
      </c>
      <c r="I145" s="62" t="str">
        <f>IF(VLOOKUP([Field],Columns[],8,0)=0,"","-&gt;"&amp;VLOOKUP([Field],Columns[],8,0))</f>
        <v/>
      </c>
      <c r="J145" s="62" t="str">
        <f>IF(VLOOKUP([Field],Columns[],9,0)=0,"","-&gt;"&amp;VLOOKUP([Field],Columns[],9,0))</f>
        <v/>
      </c>
      <c r="K145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444" priority="1"/>
  </conditionalFormatting>
  <dataValidations count="2">
    <dataValidation type="list" allowBlank="1" showInputMessage="1" showErrorMessage="1" sqref="B2:B145">
      <formula1>AvailableFields</formula1>
    </dataValidation>
    <dataValidation type="list" allowBlank="1" showInputMessage="1" showErrorMessage="1" sqref="A2:A14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1110</v>
      </c>
      <c r="E3" s="14" t="s">
        <v>1111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1128</v>
      </c>
      <c r="E4" s="14" t="s">
        <v>1120</v>
      </c>
      <c r="F4" s="14" t="s">
        <v>1121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1181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1116</v>
      </c>
      <c r="E6" s="14" t="s">
        <v>1117</v>
      </c>
      <c r="F6" s="14" t="s">
        <v>1118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1112</v>
      </c>
      <c r="E7" s="14" t="s">
        <v>1113</v>
      </c>
      <c r="F7" s="14" t="s">
        <v>1102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1114</v>
      </c>
      <c r="E8" s="14" t="s">
        <v>1115</v>
      </c>
      <c r="F8" s="14" t="s">
        <v>1103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1119</v>
      </c>
      <c r="E10" s="13" t="s">
        <v>1122</v>
      </c>
      <c r="F10" s="13" t="s">
        <v>1123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1342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1112</v>
      </c>
      <c r="E12" s="14" t="s">
        <v>1124</v>
      </c>
      <c r="F12" s="14" t="s">
        <v>1125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1126</v>
      </c>
      <c r="E13" s="14" t="s">
        <v>1127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1132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1133</v>
      </c>
      <c r="E20" s="14" t="s">
        <v>1134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1138</v>
      </c>
      <c r="E21" s="13" t="s">
        <v>1139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1101</v>
      </c>
      <c r="E22" s="13" t="s">
        <v>1135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1136</v>
      </c>
      <c r="E23" s="13" t="s">
        <v>1137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1129</v>
      </c>
      <c r="G30" s="14" t="s">
        <v>1130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1131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1131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1131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1131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1131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1131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1131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1131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1131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1131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1131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1131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1131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1131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1131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1131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1131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1131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1131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1131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1131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1131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1131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1131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1154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96" workbookViewId="0">
      <selection activeCell="B6" sqref="B6:R105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331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\Milestone\Appframe\Model\ResourceActionMethod::query()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ResourceAction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 Method]:[IDN 5]]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type</v>
      </c>
      <c r="F5" s="25" t="str">
        <f t="shared" ca="1" si="1"/>
        <v>idn1</v>
      </c>
      <c r="G5" s="25" t="str">
        <f t="shared" ca="1" si="1"/>
        <v>idn2</v>
      </c>
      <c r="H5" s="25" t="str">
        <f t="shared" ca="1" si="1"/>
        <v>idn3</v>
      </c>
      <c r="I5" s="25" t="str">
        <f t="shared" ca="1" si="1"/>
        <v>idn4</v>
      </c>
      <c r="J5" s="25" t="str">
        <f t="shared" ca="1" si="1"/>
        <v>idn5</v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\Milestone\Appframe\Model\ResourceActionMethod::query()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'2134101',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'2133101', </v>
      </c>
      <c r="E9" s="50" t="str">
        <f t="shared" ca="1" si="2"/>
        <v xml:space="preserve">'type' =&gt; 'Form', </v>
      </c>
      <c r="F9" s="50" t="str">
        <f t="shared" ca="1" si="2"/>
        <v xml:space="preserve">'idn1' =&gt; '2110101',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'2134102', </v>
      </c>
      <c r="D10" s="50" t="str">
        <f t="shared" ca="1" si="2"/>
        <v xml:space="preserve">'resource_action' =&gt; '2133102', </v>
      </c>
      <c r="E10" s="50" t="str">
        <f t="shared" ca="1" si="2"/>
        <v xml:space="preserve">'type' =&gt; 'Form', </v>
      </c>
      <c r="F10" s="50" t="str">
        <f t="shared" ca="1" si="2"/>
        <v xml:space="preserve">'idn1' =&gt; '2110102',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'2134103', </v>
      </c>
      <c r="D11" s="50" t="str">
        <f t="shared" ca="1" si="2"/>
        <v xml:space="preserve">'resource_action' =&gt; '2133103', </v>
      </c>
      <c r="E11" s="50" t="str">
        <f t="shared" ca="1" si="2"/>
        <v xml:space="preserve">'type' =&gt; 'Form', </v>
      </c>
      <c r="F11" s="50" t="str">
        <f t="shared" ca="1" si="2"/>
        <v xml:space="preserve">'idn1' =&gt; '2110103',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'2134104', </v>
      </c>
      <c r="D12" s="50" t="str">
        <f t="shared" ca="1" si="2"/>
        <v xml:space="preserve">'resource_action' =&gt; '2133104', </v>
      </c>
      <c r="E12" s="50" t="str">
        <f t="shared" ca="1" si="2"/>
        <v xml:space="preserve">'type' =&gt; 'Form', </v>
      </c>
      <c r="F12" s="50" t="str">
        <f t="shared" ca="1" si="2"/>
        <v xml:space="preserve">'idn1' =&gt; '2110104',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'2134105', </v>
      </c>
      <c r="D13" s="50" t="str">
        <f t="shared" ca="1" si="2"/>
        <v xml:space="preserve">'resource_action' =&gt; '2133105', </v>
      </c>
      <c r="E13" s="50" t="str">
        <f t="shared" ca="1" si="2"/>
        <v xml:space="preserve">'type' =&gt; 'Form', </v>
      </c>
      <c r="F13" s="50" t="str">
        <f t="shared" ca="1" si="2"/>
        <v xml:space="preserve">'idn1' =&gt; '2110105',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'2134106', </v>
      </c>
      <c r="D14" s="50" t="str">
        <f t="shared" ca="1" si="2"/>
        <v xml:space="preserve">'resource_action' =&gt; '2133106', </v>
      </c>
      <c r="E14" s="50" t="str">
        <f t="shared" ca="1" si="2"/>
        <v xml:space="preserve">'type' =&gt; 'Form', </v>
      </c>
      <c r="F14" s="50" t="str">
        <f t="shared" ca="1" si="2"/>
        <v xml:space="preserve">'idn1' =&gt; '2110106',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'2134107', </v>
      </c>
      <c r="D15" s="50" t="str">
        <f t="shared" ca="1" si="2"/>
        <v xml:space="preserve">'resource_action' =&gt; '2133107', </v>
      </c>
      <c r="E15" s="50" t="str">
        <f t="shared" ca="1" si="2"/>
        <v xml:space="preserve">'type' =&gt; 'Form', </v>
      </c>
      <c r="F15" s="50" t="str">
        <f t="shared" ca="1" si="2"/>
        <v xml:space="preserve">'idn1' =&gt; '2110107',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'2134108', </v>
      </c>
      <c r="D16" s="50" t="str">
        <f t="shared" ca="1" si="2"/>
        <v xml:space="preserve">'resource_action' =&gt; '2133108', </v>
      </c>
      <c r="E16" s="50" t="str">
        <f t="shared" ca="1" si="2"/>
        <v xml:space="preserve">'type' =&gt; 'Form', </v>
      </c>
      <c r="F16" s="50" t="str">
        <f t="shared" ca="1" si="2"/>
        <v xml:space="preserve">'idn1' =&gt; '2110110',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'2134109', </v>
      </c>
      <c r="D17" s="50" t="str">
        <f t="shared" ca="1" si="2"/>
        <v xml:space="preserve">'resource_action' =&gt; '2133109', </v>
      </c>
      <c r="E17" s="50" t="str">
        <f t="shared" ca="1" si="2"/>
        <v xml:space="preserve">'type' =&gt; 'Form', </v>
      </c>
      <c r="F17" s="50" t="str">
        <f t="shared" ca="1" si="2"/>
        <v xml:space="preserve">'idn1' =&gt; '2110111',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'2134110', </v>
      </c>
      <c r="D18" s="50" t="str">
        <f t="shared" ca="1" si="2"/>
        <v xml:space="preserve">'resource_action' =&gt; '2133110', </v>
      </c>
      <c r="E18" s="50" t="str">
        <f t="shared" ca="1" si="2"/>
        <v xml:space="preserve">'type' =&gt; 'Form', </v>
      </c>
      <c r="F18" s="50" t="str">
        <f t="shared" ca="1" si="2"/>
        <v xml:space="preserve">'idn1' =&gt; '2110112',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'2134111', </v>
      </c>
      <c r="D19" s="50" t="str">
        <f t="shared" ca="1" si="2"/>
        <v xml:space="preserve">'resource_action' =&gt; '2133111', </v>
      </c>
      <c r="E19" s="50" t="str">
        <f t="shared" ca="1" si="2"/>
        <v xml:space="preserve">'type' =&gt; 'Form', </v>
      </c>
      <c r="F19" s="50" t="str">
        <f t="shared" ca="1" si="2"/>
        <v xml:space="preserve">'idn1' =&gt; '2110115',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'2134112', </v>
      </c>
      <c r="D20" s="50" t="str">
        <f t="shared" ca="1" si="2"/>
        <v xml:space="preserve">'resource_action' =&gt; '2133112', </v>
      </c>
      <c r="E20" s="50" t="str">
        <f t="shared" ca="1" si="2"/>
        <v xml:space="preserve">'type' =&gt; 'Form', </v>
      </c>
      <c r="F20" s="50" t="str">
        <f t="shared" ca="1" si="2"/>
        <v xml:space="preserve">'idn1' =&gt; '2110116',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'2134113', </v>
      </c>
      <c r="D21" s="50" t="str">
        <f t="shared" ca="1" si="2"/>
        <v xml:space="preserve">'resource_action' =&gt; '2133113', </v>
      </c>
      <c r="E21" s="50" t="str">
        <f t="shared" ca="1" si="2"/>
        <v xml:space="preserve">'type' =&gt; 'Form', </v>
      </c>
      <c r="F21" s="50" t="str">
        <f t="shared" ca="1" si="2"/>
        <v xml:space="preserve">'idn1' =&gt; '2110120',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'2134114', </v>
      </c>
      <c r="D22" s="50" t="str">
        <f t="shared" ca="1" si="2"/>
        <v xml:space="preserve">'resource_action' =&gt; '2133114', </v>
      </c>
      <c r="E22" s="50" t="str">
        <f t="shared" ca="1" si="2"/>
        <v xml:space="preserve">'type' =&gt; 'Form', </v>
      </c>
      <c r="F22" s="50" t="str">
        <f t="shared" ca="1" si="2"/>
        <v xml:space="preserve">'idn1' =&gt; '2110121',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'2134115', </v>
      </c>
      <c r="D23" s="50" t="str">
        <f t="shared" ca="1" si="2"/>
        <v xml:space="preserve">'resource_action' =&gt; '2133115', </v>
      </c>
      <c r="E23" s="50" t="str">
        <f t="shared" ca="1" si="2"/>
        <v xml:space="preserve">'type' =&gt; 'Form', </v>
      </c>
      <c r="F23" s="50" t="str">
        <f t="shared" ca="1" si="2"/>
        <v xml:space="preserve">'idn1' =&gt; '2110123',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'2134116', </v>
      </c>
      <c r="D24" s="50" t="str">
        <f t="shared" ca="1" si="2"/>
        <v xml:space="preserve">'resource_action' =&gt; '2133116', </v>
      </c>
      <c r="E24" s="50" t="str">
        <f t="shared" ca="1" si="2"/>
        <v xml:space="preserve">'type' =&gt; 'List', </v>
      </c>
      <c r="F24" s="50" t="str">
        <f t="shared" ca="1" si="2"/>
        <v xml:space="preserve">'idn1' =&gt; '2123102',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'2134117', </v>
      </c>
      <c r="D25" s="50" t="str">
        <f t="shared" ca="1" si="4"/>
        <v xml:space="preserve">'resource_action' =&gt; '2133117', </v>
      </c>
      <c r="E25" s="50" t="str">
        <f t="shared" ca="1" si="4"/>
        <v xml:space="preserve">'type' =&gt; 'List', </v>
      </c>
      <c r="F25" s="50" t="str">
        <f t="shared" ca="1" si="4"/>
        <v xml:space="preserve">'idn1' =&gt; '2123103',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'2134118', </v>
      </c>
      <c r="D26" s="50" t="str">
        <f t="shared" ca="1" si="4"/>
        <v xml:space="preserve">'resource_action' =&gt; '2133118', </v>
      </c>
      <c r="E26" s="50" t="str">
        <f t="shared" ca="1" si="4"/>
        <v xml:space="preserve">'type' =&gt; 'List', </v>
      </c>
      <c r="F26" s="50" t="str">
        <f t="shared" ca="1" si="4"/>
        <v xml:space="preserve">'idn1' =&gt; '2123104',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'2134119', </v>
      </c>
      <c r="D27" s="50" t="str">
        <f t="shared" ca="1" si="4"/>
        <v xml:space="preserve">'resource_action' =&gt; '2133119', </v>
      </c>
      <c r="E27" s="50" t="str">
        <f t="shared" ca="1" si="4"/>
        <v xml:space="preserve">'type' =&gt; 'List', </v>
      </c>
      <c r="F27" s="50" t="str">
        <f t="shared" ca="1" si="4"/>
        <v xml:space="preserve">'idn1' =&gt; '2123105',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'2134120', </v>
      </c>
      <c r="D28" s="50" t="str">
        <f t="shared" ca="1" si="4"/>
        <v xml:space="preserve">'resource_action' =&gt; '2133120', </v>
      </c>
      <c r="E28" s="50" t="str">
        <f t="shared" ca="1" si="4"/>
        <v xml:space="preserve">'type' =&gt; 'List', </v>
      </c>
      <c r="F28" s="50" t="str">
        <f t="shared" ca="1" si="4"/>
        <v xml:space="preserve">'idn1' =&gt; '2123107',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'2134121', </v>
      </c>
      <c r="D29" s="50" t="str">
        <f t="shared" ca="1" si="4"/>
        <v xml:space="preserve">'resource_action' =&gt; '2133121', </v>
      </c>
      <c r="E29" s="50" t="str">
        <f t="shared" ca="1" si="4"/>
        <v xml:space="preserve">'type' =&gt; 'List', </v>
      </c>
      <c r="F29" s="50" t="str">
        <f t="shared" ca="1" si="4"/>
        <v xml:space="preserve">'idn1' =&gt; '2123108',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'2134122', </v>
      </c>
      <c r="D30" s="50" t="str">
        <f t="shared" ca="1" si="4"/>
        <v xml:space="preserve">'resource_action' =&gt; '2133122', </v>
      </c>
      <c r="E30" s="50" t="str">
        <f t="shared" ca="1" si="4"/>
        <v xml:space="preserve">'type' =&gt; 'List', </v>
      </c>
      <c r="F30" s="50" t="str">
        <f t="shared" ca="1" si="4"/>
        <v xml:space="preserve">'idn1' =&gt; '2123109',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'2134123', </v>
      </c>
      <c r="D31" s="50" t="str">
        <f t="shared" ca="1" si="4"/>
        <v xml:space="preserve">'resource_action' =&gt; '2133123', </v>
      </c>
      <c r="E31" s="50" t="str">
        <f t="shared" ca="1" si="4"/>
        <v xml:space="preserve">'type' =&gt; 'List', </v>
      </c>
      <c r="F31" s="50" t="str">
        <f t="shared" ca="1" si="4"/>
        <v xml:space="preserve">'idn1' =&gt; '2123110',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'2134124', </v>
      </c>
      <c r="D32" s="50" t="str">
        <f t="shared" ca="1" si="4"/>
        <v xml:space="preserve">'resource_action' =&gt; '2133124', </v>
      </c>
      <c r="E32" s="50" t="str">
        <f t="shared" ca="1" si="4"/>
        <v xml:space="preserve">'type' =&gt; 'List', </v>
      </c>
      <c r="F32" s="50" t="str">
        <f t="shared" ca="1" si="4"/>
        <v xml:space="preserve">'idn1' =&gt; '2123111', </v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'2134125', </v>
      </c>
      <c r="D33" s="50" t="str">
        <f t="shared" ca="1" si="4"/>
        <v xml:space="preserve">'resource_action' =&gt; '2133125', </v>
      </c>
      <c r="E33" s="50" t="str">
        <f t="shared" ca="1" si="4"/>
        <v xml:space="preserve">'type' =&gt; 'List', </v>
      </c>
      <c r="F33" s="50" t="str">
        <f t="shared" ca="1" si="4"/>
        <v xml:space="preserve">'idn1' =&gt; '2123112', </v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'2134126', </v>
      </c>
      <c r="D34" s="50" t="str">
        <f t="shared" ca="1" si="4"/>
        <v xml:space="preserve">'resource_action' =&gt; '2133126', </v>
      </c>
      <c r="E34" s="50" t="str">
        <f t="shared" ca="1" si="4"/>
        <v xml:space="preserve">'type' =&gt; 'List', </v>
      </c>
      <c r="F34" s="50" t="str">
        <f t="shared" ca="1" si="4"/>
        <v xml:space="preserve">'idn1' =&gt; '2123113', </v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'2134127', </v>
      </c>
      <c r="D35" s="50" t="str">
        <f t="shared" ca="1" si="4"/>
        <v xml:space="preserve">'resource_action' =&gt; '2133127', </v>
      </c>
      <c r="E35" s="50" t="str">
        <f t="shared" ca="1" si="4"/>
        <v xml:space="preserve">'type' =&gt; 'List', </v>
      </c>
      <c r="F35" s="50" t="str">
        <f t="shared" ca="1" si="4"/>
        <v xml:space="preserve">'idn1' =&gt; '2123114',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'2134128', </v>
      </c>
      <c r="D36" s="50" t="str">
        <f t="shared" ca="1" si="4"/>
        <v xml:space="preserve">'resource_action' =&gt; '2133128', </v>
      </c>
      <c r="E36" s="50" t="str">
        <f t="shared" ca="1" si="4"/>
        <v xml:space="preserve">'type' =&gt; 'List', </v>
      </c>
      <c r="F36" s="50" t="str">
        <f t="shared" ca="1" si="4"/>
        <v xml:space="preserve">'idn1' =&gt; '2123115',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'2134129', </v>
      </c>
      <c r="D37" s="50" t="str">
        <f t="shared" ca="1" si="4"/>
        <v xml:space="preserve">'resource_action' =&gt; '2133129', </v>
      </c>
      <c r="E37" s="50" t="str">
        <f t="shared" ca="1" si="4"/>
        <v xml:space="preserve">'type' =&gt; 'List', </v>
      </c>
      <c r="F37" s="50" t="str">
        <f t="shared" ca="1" si="4"/>
        <v xml:space="preserve">'idn1' =&gt; '2123116',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'2134130', </v>
      </c>
      <c r="D38" s="50" t="str">
        <f t="shared" ca="1" si="4"/>
        <v xml:space="preserve">'resource_action' =&gt; '2133130', </v>
      </c>
      <c r="E38" s="50" t="str">
        <f t="shared" ca="1" si="4"/>
        <v xml:space="preserve">'type' =&gt; 'List', </v>
      </c>
      <c r="F38" s="50" t="str">
        <f t="shared" ca="1" si="4"/>
        <v xml:space="preserve">'idn1' =&gt; '2123117', </v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'2134131', </v>
      </c>
      <c r="D39" s="50" t="str">
        <f t="shared" ca="1" si="4"/>
        <v xml:space="preserve">'resource_action' =&gt; '2133131', </v>
      </c>
      <c r="E39" s="50" t="str">
        <f t="shared" ca="1" si="4"/>
        <v xml:space="preserve">'type' =&gt; 'List', </v>
      </c>
      <c r="F39" s="50" t="str">
        <f t="shared" ca="1" si="4"/>
        <v xml:space="preserve">'idn1' =&gt; '2123118', </v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'2134132', </v>
      </c>
      <c r="D40" s="50" t="str">
        <f t="shared" ca="1" si="4"/>
        <v xml:space="preserve">'resource_action' =&gt; '2133132', </v>
      </c>
      <c r="E40" s="50" t="str">
        <f t="shared" ca="1" si="4"/>
        <v xml:space="preserve">'type' =&gt; 'ManageRelation', </v>
      </c>
      <c r="F40" s="50" t="str">
        <f t="shared" ca="1" si="4"/>
        <v xml:space="preserve">'idn1' =&gt; '2109108', </v>
      </c>
      <c r="G40" s="50" t="str">
        <f t="shared" ca="1" si="4"/>
        <v xml:space="preserve">'idn2' =&gt; '2123103', </v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'2134133', </v>
      </c>
      <c r="D41" s="50" t="str">
        <f t="shared" ca="1" si="6"/>
        <v xml:space="preserve">'resource_action' =&gt; '2133133', </v>
      </c>
      <c r="E41" s="50" t="str">
        <f t="shared" ca="1" si="6"/>
        <v xml:space="preserve">'type' =&gt; 'ManageRelation', </v>
      </c>
      <c r="F41" s="50" t="str">
        <f t="shared" ca="1" si="6"/>
        <v xml:space="preserve">'idn1' =&gt; '2109106', </v>
      </c>
      <c r="G41" s="50" t="str">
        <f t="shared" ca="1" si="6"/>
        <v xml:space="preserve">'idn2' =&gt; '2123108', </v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'2134134', </v>
      </c>
      <c r="D42" s="50" t="str">
        <f t="shared" ca="1" si="6"/>
        <v xml:space="preserve">'resource_action' =&gt; '2133134', </v>
      </c>
      <c r="E42" s="50" t="str">
        <f t="shared" ca="1" si="6"/>
        <v xml:space="preserve">'type' =&gt; 'ManageRelation', </v>
      </c>
      <c r="F42" s="50" t="str">
        <f t="shared" ca="1" si="6"/>
        <v xml:space="preserve">'idn1' =&gt; '2109106', </v>
      </c>
      <c r="G42" s="50" t="str">
        <f t="shared" ca="1" si="6"/>
        <v xml:space="preserve">'idn2' =&gt; '2123108', </v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'2134135', </v>
      </c>
      <c r="D43" s="50" t="str">
        <f t="shared" ca="1" si="6"/>
        <v xml:space="preserve">'resource_action' =&gt; '2133135', </v>
      </c>
      <c r="E43" s="50" t="str">
        <f t="shared" ca="1" si="6"/>
        <v xml:space="preserve">'type' =&gt; 'ManageRelation', </v>
      </c>
      <c r="F43" s="50" t="str">
        <f t="shared" ca="1" si="6"/>
        <v xml:space="preserve">'idn1' =&gt; '2109104', </v>
      </c>
      <c r="G43" s="50" t="str">
        <f t="shared" ca="1" si="6"/>
        <v xml:space="preserve">'idn2' =&gt; '2123109', </v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'2134136', </v>
      </c>
      <c r="D44" s="50" t="str">
        <f t="shared" ca="1" si="6"/>
        <v xml:space="preserve">'resource_action' =&gt; '2133136', </v>
      </c>
      <c r="E44" s="50" t="str">
        <f t="shared" ca="1" si="6"/>
        <v xml:space="preserve">'type' =&gt; 'Data', </v>
      </c>
      <c r="F44" s="50" t="str">
        <f t="shared" ca="1" si="6"/>
        <v xml:space="preserve">'idn1' =&gt; '2128101', </v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'2134137', </v>
      </c>
      <c r="D45" s="50" t="str">
        <f t="shared" ca="1" si="6"/>
        <v xml:space="preserve">'resource_action' =&gt; '2133137', </v>
      </c>
      <c r="E45" s="50" t="str">
        <f t="shared" ca="1" si="6"/>
        <v xml:space="preserve">'type' =&gt; 'ListRelation', </v>
      </c>
      <c r="F45" s="50" t="str">
        <f t="shared" ca="1" si="6"/>
        <v xml:space="preserve">'idn1' =&gt; '2109116', </v>
      </c>
      <c r="G45" s="50" t="str">
        <f t="shared" ca="1" si="6"/>
        <v xml:space="preserve">'idn2' =&gt; '2123103', </v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'2134138', </v>
      </c>
      <c r="D46" s="50" t="str">
        <f t="shared" ca="1" si="6"/>
        <v xml:space="preserve">'resource_action' =&gt; '2133138', </v>
      </c>
      <c r="E46" s="50" t="str">
        <f t="shared" ca="1" si="6"/>
        <v xml:space="preserve">'type' =&gt; 'ListRelation', </v>
      </c>
      <c r="F46" s="50" t="str">
        <f t="shared" ca="1" si="6"/>
        <v xml:space="preserve">'idn1' =&gt; '2109109', </v>
      </c>
      <c r="G46" s="50" t="str">
        <f t="shared" ca="1" si="6"/>
        <v xml:space="preserve">'idn2' =&gt; '2123109', </v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'2134139', </v>
      </c>
      <c r="D47" s="50" t="str">
        <f t="shared" ca="1" si="6"/>
        <v xml:space="preserve">'resource_action' =&gt; '2133139', </v>
      </c>
      <c r="E47" s="50" t="str">
        <f t="shared" ca="1" si="6"/>
        <v xml:space="preserve">'type' =&gt; 'ListRelation', </v>
      </c>
      <c r="F47" s="50" t="str">
        <f t="shared" ca="1" si="6"/>
        <v xml:space="preserve">'idn1' =&gt; '2109117', </v>
      </c>
      <c r="G47" s="50" t="str">
        <f t="shared" ca="1" si="6"/>
        <v xml:space="preserve">'idn2' =&gt; '2123108', </v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'2134140', </v>
      </c>
      <c r="D48" s="50" t="str">
        <f t="shared" ca="1" si="6"/>
        <v xml:space="preserve">'resource_action' =&gt; '2133140', </v>
      </c>
      <c r="E48" s="50" t="str">
        <f t="shared" ca="1" si="6"/>
        <v xml:space="preserve">'type' =&gt; 'FormWithData', </v>
      </c>
      <c r="F48" s="50" t="str">
        <f t="shared" ca="1" si="6"/>
        <v xml:space="preserve">'idn1' =&gt; '2110124', </v>
      </c>
      <c r="G48" s="50" t="str">
        <f t="shared" ca="1" si="6"/>
        <v xml:space="preserve">'idn2' =&gt; '2128101', </v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'2134141', </v>
      </c>
      <c r="D49" s="50" t="str">
        <f t="shared" ca="1" si="6"/>
        <v xml:space="preserve">'resource_action' =&gt; '2133141', </v>
      </c>
      <c r="E49" s="50" t="str">
        <f t="shared" ca="1" si="6"/>
        <v xml:space="preserve">'type' =&gt; 'Data', </v>
      </c>
      <c r="F49" s="50" t="str">
        <f t="shared" ca="1" si="6"/>
        <v xml:space="preserve">'idn1' =&gt; '2128102', </v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'2134142', </v>
      </c>
      <c r="D50" s="50" t="str">
        <f t="shared" ca="1" si="6"/>
        <v xml:space="preserve">'resource_action' =&gt; '2133142', </v>
      </c>
      <c r="E50" s="50" t="str">
        <f t="shared" ca="1" si="6"/>
        <v xml:space="preserve">'type' =&gt; 'FormWithData', </v>
      </c>
      <c r="F50" s="50" t="str">
        <f t="shared" ca="1" si="6"/>
        <v xml:space="preserve">'idn1' =&gt; '2110105', </v>
      </c>
      <c r="G50" s="50" t="str">
        <f t="shared" ca="1" si="6"/>
        <v xml:space="preserve">'idn2' =&gt; '2128102', </v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'2134143', </v>
      </c>
      <c r="D51" s="50" t="str">
        <f t="shared" ca="1" si="6"/>
        <v xml:space="preserve">'resource_action' =&gt; '2133143', </v>
      </c>
      <c r="E51" s="50" t="str">
        <f t="shared" ca="1" si="6"/>
        <v xml:space="preserve">'type' =&gt; 'Data', </v>
      </c>
      <c r="F51" s="50" t="str">
        <f t="shared" ca="1" si="6"/>
        <v xml:space="preserve">'idn1' =&gt; '2128103', </v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'2134144', </v>
      </c>
      <c r="D52" s="50" t="str">
        <f t="shared" ca="1" si="6"/>
        <v xml:space="preserve">'resource_action' =&gt; '2133144', </v>
      </c>
      <c r="E52" s="50" t="str">
        <f t="shared" ca="1" si="6"/>
        <v xml:space="preserve">'type' =&gt; 'FormWithData', </v>
      </c>
      <c r="F52" s="50" t="str">
        <f t="shared" ca="1" si="6"/>
        <v xml:space="preserve">'idn1' =&gt; '2110104', </v>
      </c>
      <c r="G52" s="50" t="str">
        <f t="shared" ca="1" si="6"/>
        <v xml:space="preserve">'idn2' =&gt; '2128103', </v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'2134145', </v>
      </c>
      <c r="D53" s="50" t="str">
        <f t="shared" ca="1" si="6"/>
        <v xml:space="preserve">'resource_action' =&gt; '2133145', </v>
      </c>
      <c r="E53" s="50" t="str">
        <f t="shared" ca="1" si="6"/>
        <v xml:space="preserve">'type' =&gt; 'Data', </v>
      </c>
      <c r="F53" s="50" t="str">
        <f t="shared" ca="1" si="6"/>
        <v xml:space="preserve">'idn1' =&gt; '2128104', </v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'2134146', </v>
      </c>
      <c r="D54" s="50" t="str">
        <f t="shared" ca="1" si="6"/>
        <v xml:space="preserve">'resource_action' =&gt; '2133146', </v>
      </c>
      <c r="E54" s="50" t="str">
        <f t="shared" ca="1" si="6"/>
        <v xml:space="preserve">'type' =&gt; 'FormWithData', </v>
      </c>
      <c r="F54" s="50" t="str">
        <f t="shared" ca="1" si="6"/>
        <v xml:space="preserve">'idn1' =&gt; '2110106', </v>
      </c>
      <c r="G54" s="50" t="str">
        <f t="shared" ca="1" si="6"/>
        <v xml:space="preserve">'idn2' =&gt; '2128104', </v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'2134147', </v>
      </c>
      <c r="D55" s="50" t="str">
        <f t="shared" ca="1" si="6"/>
        <v xml:space="preserve">'resource_action' =&gt; '2133147', </v>
      </c>
      <c r="E55" s="50" t="str">
        <f t="shared" ca="1" si="6"/>
        <v xml:space="preserve">'type' =&gt; 'ListRelation', </v>
      </c>
      <c r="F55" s="50" t="str">
        <f t="shared" ca="1" si="6"/>
        <v xml:space="preserve">'idn1' =&gt; '2109110', </v>
      </c>
      <c r="G55" s="50" t="str">
        <f t="shared" ca="1" si="6"/>
        <v xml:space="preserve">'idn2' =&gt; '2123111', </v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'2134148', </v>
      </c>
      <c r="D56" s="50" t="str">
        <f t="shared" ca="1" si="6"/>
        <v xml:space="preserve">'resource_action' =&gt; '2133148', </v>
      </c>
      <c r="E56" s="50" t="str">
        <f t="shared" ca="1" si="6"/>
        <v xml:space="preserve">'type' =&gt; 'AddRelation', </v>
      </c>
      <c r="F56" s="50" t="str">
        <f t="shared" ca="1" si="6"/>
        <v xml:space="preserve">'idn1' =&gt; '2109110', </v>
      </c>
      <c r="G56" s="50" t="str">
        <f t="shared" ca="1" si="6"/>
        <v xml:space="preserve">'idn2' =&gt; '2110110', </v>
      </c>
      <c r="H56" s="50" t="str">
        <f t="shared" ca="1" si="6"/>
        <v xml:space="preserve">'idn3' =&gt; '2111133', </v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'2134149', </v>
      </c>
      <c r="D57" s="50" t="str">
        <f t="shared" ca="1" si="6"/>
        <v xml:space="preserve">'resource_action' =&gt; '2133149', </v>
      </c>
      <c r="E57" s="50" t="str">
        <f t="shared" ca="1" si="6"/>
        <v xml:space="preserve">'type' =&gt; 'ListRelation', </v>
      </c>
      <c r="F57" s="50" t="str">
        <f t="shared" ca="1" si="6"/>
        <v xml:space="preserve">'idn1' =&gt; '2109142', </v>
      </c>
      <c r="G57" s="50" t="str">
        <f t="shared" ca="1" si="6"/>
        <v xml:space="preserve">'idn2' =&gt; '2123119', </v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'2134150', </v>
      </c>
      <c r="D58" s="50" t="str">
        <f t="shared" ca="1" si="7"/>
        <v xml:space="preserve">'resource_action' =&gt; '2133150', </v>
      </c>
      <c r="E58" s="50" t="str">
        <f t="shared" ca="1" si="7"/>
        <v xml:space="preserve">'type' =&gt; 'AddRelation', </v>
      </c>
      <c r="F58" s="50" t="str">
        <f t="shared" ca="1" si="7"/>
        <v xml:space="preserve">'idn1' =&gt; '2109142', </v>
      </c>
      <c r="G58" s="50" t="str">
        <f t="shared" ca="1" si="7"/>
        <v xml:space="preserve">'idn2' =&gt; '2110113', </v>
      </c>
      <c r="H58" s="50" t="str">
        <f t="shared" ca="1" si="7"/>
        <v xml:space="preserve">'idn3' =&gt; '2111141', </v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'2134151', </v>
      </c>
      <c r="D59" s="50" t="str">
        <f t="shared" ca="1" si="7"/>
        <v xml:space="preserve">'resource_action' =&gt; '2133151', </v>
      </c>
      <c r="E59" s="50" t="str">
        <f t="shared" ca="1" si="7"/>
        <v xml:space="preserve">'type' =&gt; 'ListRelation', </v>
      </c>
      <c r="F59" s="50" t="str">
        <f t="shared" ca="1" si="7"/>
        <v xml:space="preserve">'idn1' =&gt; '2109124', </v>
      </c>
      <c r="G59" s="50" t="str">
        <f t="shared" ca="1" si="7"/>
        <v xml:space="preserve">'idn2' =&gt; '2123120', </v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'2134152', </v>
      </c>
      <c r="D60" s="50" t="str">
        <f t="shared" ca="1" si="7"/>
        <v xml:space="preserve">'resource_action' =&gt; '2133152', </v>
      </c>
      <c r="E60" s="50" t="str">
        <f t="shared" ca="1" si="7"/>
        <v xml:space="preserve">'type' =&gt; 'AddRelation', </v>
      </c>
      <c r="F60" s="50" t="str">
        <f t="shared" ca="1" si="7"/>
        <v xml:space="preserve">'idn1' =&gt; '2109124', </v>
      </c>
      <c r="G60" s="50" t="str">
        <f t="shared" ca="1" si="7"/>
        <v xml:space="preserve">'idn2' =&gt; '2110108', </v>
      </c>
      <c r="H60" s="50" t="str">
        <f t="shared" ca="1" si="7"/>
        <v xml:space="preserve">'idn3' =&gt; '2111127', </v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'2134153', </v>
      </c>
      <c r="D61" s="50" t="str">
        <f t="shared" ca="1" si="7"/>
        <v xml:space="preserve">'resource_action' =&gt; '2133153', </v>
      </c>
      <c r="E61" s="50" t="str">
        <f t="shared" ca="1" si="7"/>
        <v xml:space="preserve">'type' =&gt; 'ListRelation', </v>
      </c>
      <c r="F61" s="50" t="str">
        <f t="shared" ca="1" si="7"/>
        <v xml:space="preserve">'idn1' =&gt; '2109119', </v>
      </c>
      <c r="G61" s="50" t="str">
        <f t="shared" ca="1" si="7"/>
        <v xml:space="preserve">'idn2' =&gt; '2123119', </v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'2134154', </v>
      </c>
      <c r="D62" s="50" t="str">
        <f t="shared" ca="1" si="7"/>
        <v xml:space="preserve">'resource_action' =&gt; '2133154', </v>
      </c>
      <c r="E62" s="50" t="str">
        <f t="shared" ca="1" si="7"/>
        <v xml:space="preserve">'type' =&gt; 'ListRelation', </v>
      </c>
      <c r="F62" s="50" t="str">
        <f t="shared" ca="1" si="7"/>
        <v xml:space="preserve">'idn1' =&gt; '2109146', </v>
      </c>
      <c r="G62" s="50" t="str">
        <f t="shared" ca="1" si="7"/>
        <v xml:space="preserve">'idn2' =&gt; '2123121', </v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'2134155', </v>
      </c>
      <c r="D63" s="50" t="str">
        <f t="shared" ca="1" si="7"/>
        <v xml:space="preserve">'resource_action' =&gt; '2133155', </v>
      </c>
      <c r="E63" s="50" t="str">
        <f t="shared" ca="1" si="7"/>
        <v xml:space="preserve">'type' =&gt; 'ListRelation', </v>
      </c>
      <c r="F63" s="50" t="str">
        <f t="shared" ca="1" si="7"/>
        <v xml:space="preserve">'idn1' =&gt; '2109156', </v>
      </c>
      <c r="G63" s="50" t="str">
        <f t="shared" ca="1" si="7"/>
        <v xml:space="preserve">'idn2' =&gt; '2123122', </v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'2134156', </v>
      </c>
      <c r="D64" s="50" t="str">
        <f t="shared" ca="1" si="7"/>
        <v xml:space="preserve">'resource_action' =&gt; '2133156', </v>
      </c>
      <c r="E64" s="50" t="str">
        <f t="shared" ca="1" si="7"/>
        <v xml:space="preserve">'type' =&gt; 'ListRelation', </v>
      </c>
      <c r="F64" s="50" t="str">
        <f t="shared" ca="1" si="7"/>
        <v xml:space="preserve">'idn1' =&gt; '2109160', </v>
      </c>
      <c r="G64" s="50" t="str">
        <f t="shared" ca="1" si="7"/>
        <v xml:space="preserve">'idn2' =&gt; '2123123', </v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'2134157', </v>
      </c>
      <c r="D65" s="50" t="str">
        <f t="shared" ca="1" si="7"/>
        <v xml:space="preserve">'resource_action' =&gt; '2133157', </v>
      </c>
      <c r="E65" s="50" t="str">
        <f t="shared" ca="1" si="7"/>
        <v xml:space="preserve">'type' =&gt; 'ManageRelation', </v>
      </c>
      <c r="F65" s="50" t="str">
        <f t="shared" ca="1" si="7"/>
        <v xml:space="preserve">'idn1' =&gt; '2109106', </v>
      </c>
      <c r="G65" s="50" t="str">
        <f t="shared" ca="1" si="7"/>
        <v xml:space="preserve">'idn2' =&gt; '2123108', </v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'2134158', </v>
      </c>
      <c r="D66" s="50" t="str">
        <f t="shared" ca="1" si="7"/>
        <v xml:space="preserve">'resource_action' =&gt; '2133158', </v>
      </c>
      <c r="E66" s="50" t="str">
        <f t="shared" ca="1" si="7"/>
        <v xml:space="preserve">'type' =&gt; 'ListRelation', </v>
      </c>
      <c r="F66" s="50" t="str">
        <f t="shared" ca="1" si="7"/>
        <v xml:space="preserve">'idn1' =&gt; '2109112', </v>
      </c>
      <c r="G66" s="50" t="str">
        <f t="shared" ca="1" si="7"/>
        <v xml:space="preserve">'idn2' =&gt; '2123125', </v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'2134159', </v>
      </c>
      <c r="D67" s="50" t="str">
        <f t="shared" ca="1" si="7"/>
        <v xml:space="preserve">'resource_action' =&gt; '2133159', </v>
      </c>
      <c r="E67" s="50" t="str">
        <f t="shared" ca="1" si="7"/>
        <v xml:space="preserve">'type' =&gt; 'Data', </v>
      </c>
      <c r="F67" s="50" t="str">
        <f t="shared" ca="1" si="7"/>
        <v xml:space="preserve">'idn1' =&gt; '2128105', </v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'2134160', </v>
      </c>
      <c r="D68" s="50" t="str">
        <f t="shared" ca="1" si="7"/>
        <v xml:space="preserve">'resource_action' =&gt; '2133160', </v>
      </c>
      <c r="E68" s="50" t="str">
        <f t="shared" ca="1" si="7"/>
        <v xml:space="preserve">'type' =&gt; 'FormWithData', </v>
      </c>
      <c r="F68" s="50" t="str">
        <f t="shared" ca="1" si="7"/>
        <v xml:space="preserve">'idn1' =&gt; '2110110', </v>
      </c>
      <c r="G68" s="50" t="str">
        <f t="shared" ca="1" si="7"/>
        <v xml:space="preserve">'idn2' =&gt; '2128105', </v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'2134161', </v>
      </c>
      <c r="D69" s="50" t="str">
        <f t="shared" ca="1" si="7"/>
        <v xml:space="preserve">'resource_action' =&gt; '2133161', </v>
      </c>
      <c r="E69" s="50" t="str">
        <f t="shared" ca="1" si="7"/>
        <v xml:space="preserve">'type' =&gt; 'ListRelation', </v>
      </c>
      <c r="F69" s="50" t="str">
        <f t="shared" ca="1" si="7"/>
        <v xml:space="preserve">'idn1' =&gt; '2109182', </v>
      </c>
      <c r="G69" s="50" t="str">
        <f t="shared" ca="1" si="7"/>
        <v xml:space="preserve">'idn2' =&gt; '2123114', </v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'2134162', </v>
      </c>
      <c r="D70" s="50" t="str">
        <f t="shared" ca="1" si="7"/>
        <v xml:space="preserve">'resource_action' =&gt; '2133162', </v>
      </c>
      <c r="E70" s="50" t="str">
        <f t="shared" ca="1" si="7"/>
        <v xml:space="preserve">'type' =&gt; 'FormWithData', </v>
      </c>
      <c r="F70" s="50" t="str">
        <f t="shared" ca="1" si="7"/>
        <v xml:space="preserve">'idn1' =&gt; '2110118', </v>
      </c>
      <c r="G70" s="50" t="str">
        <f t="shared" ca="1" si="7"/>
        <v xml:space="preserve">'idn2' =&gt; '2128106', </v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'2134163', </v>
      </c>
      <c r="D71" s="50" t="str">
        <f t="shared" ca="1" si="7"/>
        <v xml:space="preserve">'resource_action' =&gt; '2133163', </v>
      </c>
      <c r="E71" s="50" t="str">
        <f t="shared" ca="1" si="7"/>
        <v xml:space="preserve">'type' =&gt; 'AddRelation', </v>
      </c>
      <c r="F71" s="50" t="str">
        <f t="shared" ca="1" si="7"/>
        <v xml:space="preserve">'idn1' =&gt; '2109182', </v>
      </c>
      <c r="G71" s="50" t="str">
        <f t="shared" ca="1" si="7"/>
        <v xml:space="preserve">'idn2' =&gt; '2110116', </v>
      </c>
      <c r="H71" s="50" t="str">
        <f t="shared" ca="1" si="7"/>
        <v xml:space="preserve">'idn3' =&gt; '2111149', </v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'2134164', </v>
      </c>
      <c r="D72" s="50" t="str">
        <f t="shared" ca="1" si="7"/>
        <v xml:space="preserve">'resource_action' =&gt; '2133164', </v>
      </c>
      <c r="E72" s="50" t="str">
        <f t="shared" ca="1" si="7"/>
        <v xml:space="preserve">'type' =&gt; 'FormWithData', </v>
      </c>
      <c r="F72" s="50" t="str">
        <f t="shared" ca="1" si="7"/>
        <v xml:space="preserve">'idn1' =&gt; '2110109', </v>
      </c>
      <c r="G72" s="50" t="str">
        <f t="shared" ca="1" si="7"/>
        <v xml:space="preserve">'idn2' =&gt; '2128107', </v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'2134165', </v>
      </c>
      <c r="D73" s="50" t="str">
        <f t="shared" ca="1" si="7"/>
        <v xml:space="preserve">'resource_action' =&gt; '2133165', </v>
      </c>
      <c r="E73" s="50" t="str">
        <f t="shared" ca="1" si="7"/>
        <v xml:space="preserve">'type' =&gt; 'FormWithData', </v>
      </c>
      <c r="F73" s="50" t="str">
        <f t="shared" ca="1" si="7"/>
        <v xml:space="preserve">'idn1' =&gt; '2110115', </v>
      </c>
      <c r="G73" s="50" t="str">
        <f t="shared" ca="1" si="7"/>
        <v xml:space="preserve">'idn2' =&gt; '2128108', </v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'2134166', </v>
      </c>
      <c r="D74" s="50" t="str">
        <f t="shared" ca="1" si="7"/>
        <v xml:space="preserve">'resource_action' =&gt; '2133166', </v>
      </c>
      <c r="E74" s="50" t="str">
        <f t="shared" ca="1" si="7"/>
        <v xml:space="preserve">'type' =&gt; 'FormWithData', </v>
      </c>
      <c r="F74" s="50" t="str">
        <f t="shared" ca="1" si="7"/>
        <v xml:space="preserve">'idn1' =&gt; '2110125', </v>
      </c>
      <c r="G74" s="50" t="str">
        <f t="shared" ca="1" si="7"/>
        <v xml:space="preserve">'idn2' =&gt; '2128109', </v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'2134167', </v>
      </c>
      <c r="D75" s="50" t="str">
        <f t="shared" ca="1" si="10"/>
        <v xml:space="preserve">'resource_action' =&gt; '2133167', </v>
      </c>
      <c r="E75" s="50" t="str">
        <f t="shared" ca="1" si="10"/>
        <v xml:space="preserve">'type' =&gt; 'FormWithData', </v>
      </c>
      <c r="F75" s="50" t="str">
        <f t="shared" ca="1" si="10"/>
        <v xml:space="preserve">'idn1' =&gt; '2110126', </v>
      </c>
      <c r="G75" s="50" t="str">
        <f t="shared" ca="1" si="10"/>
        <v xml:space="preserve">'idn2' =&gt; '2128110', </v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'2134168', </v>
      </c>
      <c r="D76" s="50" t="str">
        <f t="shared" ca="1" si="10"/>
        <v xml:space="preserve">'resource_action' =&gt; '2133168', </v>
      </c>
      <c r="E76" s="50" t="str">
        <f t="shared" ca="1" si="10"/>
        <v xml:space="preserve">'type' =&gt; 'FormWithData', </v>
      </c>
      <c r="F76" s="50" t="str">
        <f t="shared" ca="1" si="10"/>
        <v xml:space="preserve">'idn1' =&gt; '2110127', </v>
      </c>
      <c r="G76" s="50" t="str">
        <f t="shared" ca="1" si="10"/>
        <v xml:space="preserve">'idn2' =&gt; '2128111', </v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'2134169', </v>
      </c>
      <c r="D77" s="50" t="str">
        <f t="shared" ca="1" si="10"/>
        <v xml:space="preserve">'resource_action' =&gt; '2133169', </v>
      </c>
      <c r="E77" s="50" t="str">
        <f t="shared" ca="1" si="10"/>
        <v xml:space="preserve">'type' =&gt; 'ListRelation', </v>
      </c>
      <c r="F77" s="50" t="str">
        <f t="shared" ca="1" si="10"/>
        <v xml:space="preserve">'idn1' =&gt; '2109149', </v>
      </c>
      <c r="G77" s="50" t="str">
        <f t="shared" ca="1" si="10"/>
        <v xml:space="preserve">'idn2' =&gt; '2123115', </v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-&gt;create([</v>
      </c>
      <c r="C78" s="50" t="str">
        <f t="shared" ca="1" si="10"/>
        <v xml:space="preserve">'id' =&gt; '2134170', </v>
      </c>
      <c r="D78" s="50" t="str">
        <f t="shared" ca="1" si="10"/>
        <v xml:space="preserve">'resource_action' =&gt; '2133170', </v>
      </c>
      <c r="E78" s="50" t="str">
        <f t="shared" ca="1" si="10"/>
        <v xml:space="preserve">'type' =&gt; 'ListRelation', </v>
      </c>
      <c r="F78" s="50" t="str">
        <f t="shared" ca="1" si="10"/>
        <v xml:space="preserve">'idn1' =&gt; '2109183', </v>
      </c>
      <c r="G78" s="50" t="str">
        <f t="shared" ca="1" si="10"/>
        <v xml:space="preserve">'idn2' =&gt; '2123115', </v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>])</v>
      </c>
    </row>
    <row r="79" spans="1:18">
      <c r="A79" s="21">
        <v>71</v>
      </c>
      <c r="B79" s="22" t="str">
        <f t="shared" ca="1" si="8"/>
        <v>-&gt;create([</v>
      </c>
      <c r="C79" s="50" t="str">
        <f t="shared" ca="1" si="10"/>
        <v xml:space="preserve">'id' =&gt; '2134171', </v>
      </c>
      <c r="D79" s="50" t="str">
        <f t="shared" ca="1" si="10"/>
        <v xml:space="preserve">'resource_action' =&gt; '2133171', </v>
      </c>
      <c r="E79" s="50" t="str">
        <f t="shared" ca="1" si="10"/>
        <v xml:space="preserve">'type' =&gt; 'ListRelation', </v>
      </c>
      <c r="F79" s="50" t="str">
        <f t="shared" ca="1" si="10"/>
        <v xml:space="preserve">'idn1' =&gt; '2109163', </v>
      </c>
      <c r="G79" s="50" t="str">
        <f t="shared" ca="1" si="10"/>
        <v xml:space="preserve">'idn2' =&gt; '2123126', </v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>])</v>
      </c>
    </row>
    <row r="80" spans="1:18">
      <c r="A80" s="21">
        <v>72</v>
      </c>
      <c r="B80" s="22" t="str">
        <f t="shared" ca="1" si="8"/>
        <v>-&gt;create([</v>
      </c>
      <c r="C80" s="50" t="str">
        <f t="shared" ca="1" si="10"/>
        <v xml:space="preserve">'id' =&gt; '2134172', </v>
      </c>
      <c r="D80" s="50" t="str">
        <f t="shared" ca="1" si="10"/>
        <v xml:space="preserve">'resource_action' =&gt; '2133172', </v>
      </c>
      <c r="E80" s="50" t="str">
        <f t="shared" ca="1" si="10"/>
        <v xml:space="preserve">'type' =&gt; 'List', </v>
      </c>
      <c r="F80" s="50" t="str">
        <f t="shared" ca="1" si="10"/>
        <v xml:space="preserve">'idn1' =&gt; '2123127', </v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>])</v>
      </c>
    </row>
    <row r="81" spans="1:18">
      <c r="A81" s="21">
        <v>73</v>
      </c>
      <c r="B81" s="22" t="str">
        <f t="shared" ca="1" si="8"/>
        <v>-&gt;create([</v>
      </c>
      <c r="C81" s="50" t="str">
        <f t="shared" ca="1" si="10"/>
        <v xml:space="preserve">'id' =&gt; '2134173', </v>
      </c>
      <c r="D81" s="50" t="str">
        <f t="shared" ca="1" si="10"/>
        <v xml:space="preserve">'resource_action' =&gt; '2133173', </v>
      </c>
      <c r="E81" s="50" t="str">
        <f t="shared" ca="1" si="10"/>
        <v xml:space="preserve">'type' =&gt; 'ListRelation', </v>
      </c>
      <c r="F81" s="50" t="str">
        <f t="shared" ca="1" si="10"/>
        <v xml:space="preserve">'idn1' =&gt; '2109183', </v>
      </c>
      <c r="G81" s="50" t="str">
        <f t="shared" ca="1" si="10"/>
        <v xml:space="preserve">'idn2' =&gt; '2123127', </v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>])</v>
      </c>
    </row>
    <row r="82" spans="1:18">
      <c r="A82" s="21">
        <v>74</v>
      </c>
      <c r="B82" s="22" t="str">
        <f t="shared" ca="1" si="8"/>
        <v>-&gt;create([</v>
      </c>
      <c r="C82" s="50" t="str">
        <f t="shared" ca="1" si="10"/>
        <v xml:space="preserve">'id' =&gt; '2134174', </v>
      </c>
      <c r="D82" s="50" t="str">
        <f t="shared" ca="1" si="10"/>
        <v xml:space="preserve">'resource_action' =&gt; '2133174', </v>
      </c>
      <c r="E82" s="50" t="str">
        <f t="shared" ca="1" si="10"/>
        <v xml:space="preserve">'type' =&gt; 'AddRelation', </v>
      </c>
      <c r="F82" s="50" t="str">
        <f t="shared" ca="1" si="10"/>
        <v xml:space="preserve">'idn1' =&gt; '2109164', </v>
      </c>
      <c r="G82" s="50" t="str">
        <f t="shared" ca="1" si="10"/>
        <v xml:space="preserve">'idn2' =&gt; '2110120', </v>
      </c>
      <c r="H82" s="50" t="str">
        <f t="shared" ca="1" si="10"/>
        <v xml:space="preserve">'idn3' =&gt; '2111164', </v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>])</v>
      </c>
    </row>
    <row r="83" spans="1:18">
      <c r="A83" s="21">
        <v>75</v>
      </c>
      <c r="B83" s="22" t="str">
        <f t="shared" ca="1" si="8"/>
        <v>-&gt;create([</v>
      </c>
      <c r="C83" s="50" t="str">
        <f t="shared" ca="1" si="10"/>
        <v xml:space="preserve">'id' =&gt; '2134175', </v>
      </c>
      <c r="D83" s="50" t="str">
        <f t="shared" ca="1" si="10"/>
        <v xml:space="preserve">'resource_action' =&gt; '2133175', </v>
      </c>
      <c r="E83" s="50" t="str">
        <f t="shared" ca="1" si="10"/>
        <v xml:space="preserve">'type' =&gt; 'ListRelation', </v>
      </c>
      <c r="F83" s="50" t="str">
        <f t="shared" ca="1" si="10"/>
        <v xml:space="preserve">'idn1' =&gt; '2109164', </v>
      </c>
      <c r="G83" s="50" t="str">
        <f t="shared" ca="1" si="10"/>
        <v xml:space="preserve">'idn2' =&gt; '2123116', </v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>])</v>
      </c>
    </row>
    <row r="84" spans="1:18">
      <c r="A84" s="21">
        <v>76</v>
      </c>
      <c r="B84" s="22" t="str">
        <f t="shared" ca="1" si="8"/>
        <v>-&gt;create([</v>
      </c>
      <c r="C84" s="50" t="str">
        <f t="shared" ca="1" si="10"/>
        <v xml:space="preserve">'id' =&gt; '2134176', </v>
      </c>
      <c r="D84" s="50" t="str">
        <f t="shared" ca="1" si="10"/>
        <v xml:space="preserve">'resource_action' =&gt; '2133176', </v>
      </c>
      <c r="E84" s="50" t="str">
        <f t="shared" ca="1" si="10"/>
        <v xml:space="preserve">'type' =&gt; 'List', </v>
      </c>
      <c r="F84" s="50" t="str">
        <f t="shared" ca="1" si="10"/>
        <v xml:space="preserve">'idn1' =&gt; '2123122', </v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>])</v>
      </c>
    </row>
    <row r="85" spans="1:18">
      <c r="A85" s="21">
        <v>77</v>
      </c>
      <c r="B85" s="22" t="str">
        <f t="shared" ca="1" si="8"/>
        <v>-&gt;create([</v>
      </c>
      <c r="C85" s="50" t="str">
        <f t="shared" ca="1" si="10"/>
        <v xml:space="preserve">'id' =&gt; '2134177', </v>
      </c>
      <c r="D85" s="50" t="str">
        <f t="shared" ca="1" si="10"/>
        <v xml:space="preserve">'resource_action' =&gt; '2133177', </v>
      </c>
      <c r="E85" s="50" t="str">
        <f t="shared" ca="1" si="10"/>
        <v xml:space="preserve">'type' =&gt; 'List', </v>
      </c>
      <c r="F85" s="50" t="str">
        <f t="shared" ca="1" si="10"/>
        <v xml:space="preserve">'idn1' =&gt; '2123128', </v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>])</v>
      </c>
    </row>
    <row r="86" spans="1:18">
      <c r="A86" s="21">
        <v>78</v>
      </c>
      <c r="B86" s="22" t="str">
        <f t="shared" ca="1" si="8"/>
        <v>-&gt;create([</v>
      </c>
      <c r="C86" s="50" t="str">
        <f t="shared" ca="1" si="10"/>
        <v xml:space="preserve">'id' =&gt; '2134178', </v>
      </c>
      <c r="D86" s="50" t="str">
        <f t="shared" ca="1" si="10"/>
        <v xml:space="preserve">'resource_action' =&gt; '2133178', </v>
      </c>
      <c r="E86" s="50" t="str">
        <f t="shared" ca="1" si="10"/>
        <v xml:space="preserve">'type' =&gt; 'AddRelation', </v>
      </c>
      <c r="F86" s="50" t="str">
        <f t="shared" ca="1" si="10"/>
        <v xml:space="preserve">'idn1' =&gt; '2109160', </v>
      </c>
      <c r="G86" s="50" t="str">
        <f t="shared" ca="1" si="10"/>
        <v xml:space="preserve">'idn2' =&gt; '2110119', </v>
      </c>
      <c r="H86" s="50" t="str">
        <f t="shared" ca="1" si="10"/>
        <v xml:space="preserve">'idn3' =&gt; '2111161', </v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>])</v>
      </c>
    </row>
    <row r="87" spans="1:18">
      <c r="A87" s="21">
        <v>79</v>
      </c>
      <c r="B87" s="22" t="str">
        <f t="shared" ca="1" si="8"/>
        <v>-&gt;create([</v>
      </c>
      <c r="C87" s="50" t="str">
        <f t="shared" ca="1" si="10"/>
        <v xml:space="preserve">'id' =&gt; '2134179', </v>
      </c>
      <c r="D87" s="50" t="str">
        <f t="shared" ca="1" si="10"/>
        <v xml:space="preserve">'resource_action' =&gt; '2133179', </v>
      </c>
      <c r="E87" s="50" t="str">
        <f t="shared" ca="1" si="10"/>
        <v xml:space="preserve">'type' =&gt; 'FormWithData', </v>
      </c>
      <c r="F87" s="50" t="str">
        <f t="shared" ca="1" si="10"/>
        <v xml:space="preserve">'idn1' =&gt; '2110123', </v>
      </c>
      <c r="G87" s="50" t="str">
        <f t="shared" ca="1" si="10"/>
        <v xml:space="preserve">'idn2' =&gt; '2128112', </v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>])</v>
      </c>
    </row>
    <row r="88" spans="1:18">
      <c r="A88" s="21">
        <v>80</v>
      </c>
      <c r="B88" s="22" t="str">
        <f t="shared" ca="1" si="8"/>
        <v>-&gt;create([</v>
      </c>
      <c r="C88" s="50" t="str">
        <f t="shared" ca="1" si="10"/>
        <v xml:space="preserve">'id' =&gt; '2134180', </v>
      </c>
      <c r="D88" s="50" t="str">
        <f t="shared" ca="1" si="10"/>
        <v xml:space="preserve">'resource_action' =&gt; '2133180', </v>
      </c>
      <c r="E88" s="50" t="str">
        <f t="shared" ca="1" si="10"/>
        <v xml:space="preserve">'type' =&gt; 'ManageRelation', </v>
      </c>
      <c r="F88" s="50" t="str">
        <f t="shared" ca="1" si="10"/>
        <v xml:space="preserve">'idn1' =&gt; '2109196', </v>
      </c>
      <c r="G88" s="50" t="str">
        <f t="shared" ca="1" si="10"/>
        <v xml:space="preserve">'idn2' =&gt; '2123144', </v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>])</v>
      </c>
    </row>
    <row r="89" spans="1:18">
      <c r="A89" s="21">
        <v>81</v>
      </c>
      <c r="B89" s="22" t="str">
        <f t="shared" ca="1" si="8"/>
        <v>-&gt;create([</v>
      </c>
      <c r="C89" s="50" t="str">
        <f t="shared" ca="1" si="10"/>
        <v xml:space="preserve">'id' =&gt; '2134181', </v>
      </c>
      <c r="D89" s="50" t="str">
        <f t="shared" ca="1" si="10"/>
        <v xml:space="preserve">'resource_action' =&gt; '2133181', </v>
      </c>
      <c r="E89" s="50" t="str">
        <f t="shared" ca="1" si="10"/>
        <v xml:space="preserve">'type' =&gt; 'ManageRelation', </v>
      </c>
      <c r="F89" s="50" t="str">
        <f t="shared" ca="1" si="10"/>
        <v xml:space="preserve">'idn1' =&gt; '2109197', </v>
      </c>
      <c r="G89" s="50" t="str">
        <f t="shared" ca="1" si="10"/>
        <v xml:space="preserve">'idn2' =&gt; '2123142', </v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>])</v>
      </c>
    </row>
    <row r="90" spans="1:18">
      <c r="A90" s="21">
        <v>82</v>
      </c>
      <c r="B90" s="22" t="str">
        <f t="shared" ca="1" si="8"/>
        <v>-&gt;create([</v>
      </c>
      <c r="C90" s="50" t="str">
        <f t="shared" ca="1" si="10"/>
        <v xml:space="preserve">'id' =&gt; '2134182', </v>
      </c>
      <c r="D90" s="50" t="str">
        <f t="shared" ca="1" si="10"/>
        <v xml:space="preserve">'resource_action' =&gt; '2133182', </v>
      </c>
      <c r="E90" s="50" t="str">
        <f t="shared" ca="1" si="10"/>
        <v xml:space="preserve">'type' =&gt; 'ManageRelation', </v>
      </c>
      <c r="F90" s="50" t="str">
        <f t="shared" ca="1" si="10"/>
        <v xml:space="preserve">'idn1' =&gt; '2109189', </v>
      </c>
      <c r="G90" s="50" t="str">
        <f t="shared" ca="1" si="10"/>
        <v xml:space="preserve">'idn2' =&gt; '2123105', </v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>])</v>
      </c>
    </row>
    <row r="91" spans="1:18">
      <c r="A91" s="21">
        <v>83</v>
      </c>
      <c r="B91" s="22" t="str">
        <f t="shared" ca="1" si="8"/>
        <v>-&gt;create([</v>
      </c>
      <c r="C91" s="50" t="str">
        <f t="shared" ca="1" si="10"/>
        <v xml:space="preserve">'id' =&gt; '2134183', </v>
      </c>
      <c r="D91" s="50" t="str">
        <f t="shared" ca="1" si="10"/>
        <v xml:space="preserve">'resource_action' =&gt; '2133183', </v>
      </c>
      <c r="E91" s="50" t="str">
        <f t="shared" ca="1" si="10"/>
        <v xml:space="preserve">'type' =&gt; 'List', </v>
      </c>
      <c r="F91" s="50" t="str">
        <f t="shared" ca="1" si="10"/>
        <v xml:space="preserve">'idn1' =&gt; '2123131', </v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>])</v>
      </c>
    </row>
    <row r="92" spans="1:18">
      <c r="A92" s="21">
        <v>84</v>
      </c>
      <c r="B92" s="22" t="str">
        <f t="shared" ca="1" si="8"/>
        <v>-&gt;create([</v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 xml:space="preserve">'id' =&gt; '2134184', </v>
      </c>
      <c r="D92" s="50" t="str">
        <f t="shared" ca="1" si="11"/>
        <v xml:space="preserve">'resource_action' =&gt; '2133184', </v>
      </c>
      <c r="E92" s="50" t="str">
        <f t="shared" ca="1" si="11"/>
        <v xml:space="preserve">'type' =&gt; 'List', </v>
      </c>
      <c r="F92" s="50" t="str">
        <f t="shared" ca="1" si="11"/>
        <v xml:space="preserve">'idn1' =&gt; '2123132', </v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>])</v>
      </c>
    </row>
    <row r="93" spans="1:18">
      <c r="A93" s="21">
        <v>85</v>
      </c>
      <c r="B93" s="22" t="str">
        <f t="shared" ca="1" si="8"/>
        <v>-&gt;create([</v>
      </c>
      <c r="C93" s="50" t="str">
        <f t="shared" ca="1" si="11"/>
        <v xml:space="preserve">'id' =&gt; '2134185', </v>
      </c>
      <c r="D93" s="50" t="str">
        <f t="shared" ca="1" si="11"/>
        <v xml:space="preserve">'resource_action' =&gt; '2133185', </v>
      </c>
      <c r="E93" s="50" t="str">
        <f t="shared" ca="1" si="11"/>
        <v xml:space="preserve">'type' =&gt; 'List', </v>
      </c>
      <c r="F93" s="50" t="str">
        <f t="shared" ca="1" si="11"/>
        <v xml:space="preserve">'idn1' =&gt; '2123133', </v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>])</v>
      </c>
    </row>
    <row r="94" spans="1:18">
      <c r="A94" s="21">
        <v>86</v>
      </c>
      <c r="B94" s="22" t="str">
        <f t="shared" ca="1" si="8"/>
        <v>-&gt;create([</v>
      </c>
      <c r="C94" s="50" t="str">
        <f t="shared" ca="1" si="11"/>
        <v xml:space="preserve">'id' =&gt; '2134186', </v>
      </c>
      <c r="D94" s="50" t="str">
        <f t="shared" ca="1" si="11"/>
        <v xml:space="preserve">'resource_action' =&gt; '2133186', </v>
      </c>
      <c r="E94" s="50" t="str">
        <f t="shared" ca="1" si="11"/>
        <v xml:space="preserve">'type' =&gt; 'List', </v>
      </c>
      <c r="F94" s="50" t="str">
        <f t="shared" ca="1" si="11"/>
        <v xml:space="preserve">'idn1' =&gt; '2123134', </v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>])</v>
      </c>
    </row>
    <row r="95" spans="1:18">
      <c r="A95" s="21">
        <v>87</v>
      </c>
      <c r="B95" s="22" t="str">
        <f t="shared" ca="1" si="8"/>
        <v>-&gt;create([</v>
      </c>
      <c r="C95" s="50" t="str">
        <f t="shared" ca="1" si="11"/>
        <v xml:space="preserve">'id' =&gt; '2134187', </v>
      </c>
      <c r="D95" s="50" t="str">
        <f t="shared" ca="1" si="11"/>
        <v xml:space="preserve">'resource_action' =&gt; '2133187', </v>
      </c>
      <c r="E95" s="50" t="str">
        <f t="shared" ca="1" si="11"/>
        <v xml:space="preserve">'type' =&gt; 'List', </v>
      </c>
      <c r="F95" s="50" t="str">
        <f t="shared" ca="1" si="11"/>
        <v xml:space="preserve">'idn1' =&gt; '2123135', </v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>])</v>
      </c>
    </row>
    <row r="96" spans="1:18">
      <c r="A96" s="21">
        <v>88</v>
      </c>
      <c r="B96" s="22" t="str">
        <f t="shared" ca="1" si="8"/>
        <v>-&gt;create([</v>
      </c>
      <c r="C96" s="50" t="str">
        <f t="shared" ca="1" si="11"/>
        <v xml:space="preserve">'id' =&gt; '2134188', </v>
      </c>
      <c r="D96" s="50" t="str">
        <f t="shared" ca="1" si="11"/>
        <v xml:space="preserve">'resource_action' =&gt; '2133188', </v>
      </c>
      <c r="E96" s="50" t="str">
        <f t="shared" ca="1" si="11"/>
        <v xml:space="preserve">'type' =&gt; 'List', </v>
      </c>
      <c r="F96" s="50" t="str">
        <f t="shared" ca="1" si="11"/>
        <v xml:space="preserve">'idn1' =&gt; '2123136', </v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>])</v>
      </c>
    </row>
    <row r="97" spans="1:18">
      <c r="A97" s="21">
        <v>89</v>
      </c>
      <c r="B97" s="22" t="str">
        <f t="shared" ca="1" si="8"/>
        <v>-&gt;create([</v>
      </c>
      <c r="C97" s="50" t="str">
        <f t="shared" ca="1" si="11"/>
        <v xml:space="preserve">'id' =&gt; '2134189', </v>
      </c>
      <c r="D97" s="50" t="str">
        <f t="shared" ca="1" si="11"/>
        <v xml:space="preserve">'resource_action' =&gt; '2133189', </v>
      </c>
      <c r="E97" s="50" t="str">
        <f t="shared" ca="1" si="11"/>
        <v xml:space="preserve">'type' =&gt; 'List', </v>
      </c>
      <c r="F97" s="50" t="str">
        <f t="shared" ca="1" si="11"/>
        <v xml:space="preserve">'idn1' =&gt; '2123137', </v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>])</v>
      </c>
    </row>
    <row r="98" spans="1:18">
      <c r="A98" s="21">
        <v>90</v>
      </c>
      <c r="B98" s="22" t="str">
        <f t="shared" ca="1" si="8"/>
        <v>-&gt;create([</v>
      </c>
      <c r="C98" s="50" t="str">
        <f t="shared" ca="1" si="11"/>
        <v xml:space="preserve">'id' =&gt; '2134190', </v>
      </c>
      <c r="D98" s="50" t="str">
        <f t="shared" ca="1" si="11"/>
        <v xml:space="preserve">'resource_action' =&gt; '2133190', </v>
      </c>
      <c r="E98" s="50" t="str">
        <f t="shared" ca="1" si="11"/>
        <v xml:space="preserve">'type' =&gt; 'List', </v>
      </c>
      <c r="F98" s="50" t="str">
        <f t="shared" ca="1" si="11"/>
        <v xml:space="preserve">'idn1' =&gt; '2123138', </v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>])</v>
      </c>
    </row>
    <row r="99" spans="1:18">
      <c r="A99" s="21">
        <v>91</v>
      </c>
      <c r="B99" s="22" t="str">
        <f t="shared" ca="1" si="8"/>
        <v>-&gt;create([</v>
      </c>
      <c r="C99" s="50" t="str">
        <f t="shared" ca="1" si="11"/>
        <v xml:space="preserve">'id' =&gt; '2134191', </v>
      </c>
      <c r="D99" s="50" t="str">
        <f t="shared" ca="1" si="11"/>
        <v xml:space="preserve">'resource_action' =&gt; '2133191', </v>
      </c>
      <c r="E99" s="50" t="str">
        <f t="shared" ca="1" si="11"/>
        <v xml:space="preserve">'type' =&gt; 'List', </v>
      </c>
      <c r="F99" s="50" t="str">
        <f t="shared" ca="1" si="11"/>
        <v xml:space="preserve">'idn1' =&gt; '2123139', </v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>])</v>
      </c>
    </row>
    <row r="100" spans="1:18">
      <c r="A100" s="21">
        <v>92</v>
      </c>
      <c r="B100" s="22" t="str">
        <f t="shared" ca="1" si="8"/>
        <v>-&gt;create([</v>
      </c>
      <c r="C100" s="50" t="str">
        <f t="shared" ca="1" si="11"/>
        <v xml:space="preserve">'id' =&gt; '2134192', </v>
      </c>
      <c r="D100" s="50" t="str">
        <f t="shared" ca="1" si="11"/>
        <v xml:space="preserve">'resource_action' =&gt; '2133192', </v>
      </c>
      <c r="E100" s="50" t="str">
        <f t="shared" ca="1" si="11"/>
        <v xml:space="preserve">'type' =&gt; 'List', </v>
      </c>
      <c r="F100" s="50" t="str">
        <f t="shared" ca="1" si="11"/>
        <v xml:space="preserve">'idn1' =&gt; '2123140', </v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>])</v>
      </c>
    </row>
    <row r="101" spans="1:18">
      <c r="A101" s="21">
        <v>93</v>
      </c>
      <c r="B101" s="22" t="str">
        <f t="shared" ca="1" si="8"/>
        <v>-&gt;create([</v>
      </c>
      <c r="C101" s="50" t="str">
        <f t="shared" ca="1" si="11"/>
        <v xml:space="preserve">'id' =&gt; '2134193', </v>
      </c>
      <c r="D101" s="50" t="str">
        <f t="shared" ca="1" si="11"/>
        <v xml:space="preserve">'resource_action' =&gt; '2133193', </v>
      </c>
      <c r="E101" s="50" t="str">
        <f t="shared" ca="1" si="11"/>
        <v xml:space="preserve">'type' =&gt; 'FormWithData', </v>
      </c>
      <c r="F101" s="50" t="str">
        <f t="shared" ca="1" si="11"/>
        <v xml:space="preserve">'idn1' =&gt; '2110128', </v>
      </c>
      <c r="G101" s="50" t="str">
        <f t="shared" ca="1" si="11"/>
        <v xml:space="preserve">'idn2' =&gt; '2128113', </v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>])</v>
      </c>
    </row>
    <row r="102" spans="1:18">
      <c r="A102" s="21">
        <v>94</v>
      </c>
      <c r="B102" s="22" t="str">
        <f t="shared" ca="1" si="8"/>
        <v>-&gt;create([</v>
      </c>
      <c r="C102" s="50" t="str">
        <f t="shared" ca="1" si="11"/>
        <v xml:space="preserve">'id' =&gt; '2134194', </v>
      </c>
      <c r="D102" s="50" t="str">
        <f t="shared" ca="1" si="11"/>
        <v xml:space="preserve">'resource_action' =&gt; '2133194', </v>
      </c>
      <c r="E102" s="50" t="str">
        <f t="shared" ca="1" si="11"/>
        <v xml:space="preserve">'type' =&gt; 'FormWithData', </v>
      </c>
      <c r="F102" s="50" t="str">
        <f t="shared" ca="1" si="11"/>
        <v xml:space="preserve">'idn1' =&gt; '2110129', </v>
      </c>
      <c r="G102" s="50" t="str">
        <f t="shared" ca="1" si="11"/>
        <v xml:space="preserve">'idn2' =&gt; '2128113', </v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>])</v>
      </c>
    </row>
    <row r="103" spans="1:18">
      <c r="A103" s="21">
        <v>95</v>
      </c>
      <c r="B103" s="22" t="str">
        <f t="shared" ca="1" si="8"/>
        <v>-&gt;create([</v>
      </c>
      <c r="C103" s="50" t="str">
        <f t="shared" ca="1" si="11"/>
        <v xml:space="preserve">'id' =&gt; '2134195', </v>
      </c>
      <c r="D103" s="50" t="str">
        <f t="shared" ca="1" si="11"/>
        <v xml:space="preserve">'resource_action' =&gt; '2133195', </v>
      </c>
      <c r="E103" s="50" t="str">
        <f t="shared" ca="1" si="11"/>
        <v xml:space="preserve">'type' =&gt; 'List', </v>
      </c>
      <c r="F103" s="50" t="str">
        <f t="shared" ca="1" si="11"/>
        <v xml:space="preserve">'idn1' =&gt; '2123143', </v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>])</v>
      </c>
    </row>
    <row r="104" spans="1:18">
      <c r="A104" s="21">
        <v>96</v>
      </c>
      <c r="B104" s="22" t="str">
        <f t="shared" ca="1" si="8"/>
        <v>;</v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>\DB::statement('set foreign_key_checks = ' . $_);</v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0" workbookViewId="0">
      <selection activeCell="E27" sqref="E2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1149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1123</v>
      </c>
      <c r="F5" s="60" t="s">
        <v>1344</v>
      </c>
      <c r="G5" s="60" t="s">
        <v>1121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1343</v>
      </c>
      <c r="F6" s="60" t="s">
        <v>1345</v>
      </c>
      <c r="G6" s="60" t="s">
        <v>1118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1342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1155</v>
      </c>
      <c r="G8" s="60" t="s">
        <v>1156</v>
      </c>
      <c r="H8" s="61" t="str">
        <f t="shared" si="0"/>
        <v>Firumon\LLM\Model</v>
      </c>
      <c r="I8" s="60" t="s">
        <v>1154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 t="s">
        <v>1827</v>
      </c>
      <c r="K20" s="60" t="s">
        <v>1828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1" t="s">
        <v>1973</v>
      </c>
      <c r="H25" s="61" t="str">
        <f t="shared" si="1"/>
        <v>Firumon\LLM\Model</v>
      </c>
      <c r="I25" s="60" t="s">
        <v>772</v>
      </c>
      <c r="J25" s="60" t="s">
        <v>2001</v>
      </c>
      <c r="K25" s="60" t="s">
        <v>1828</v>
      </c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 t="s">
        <v>1829</v>
      </c>
      <c r="K26" s="60" t="s">
        <v>1828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 t="s">
        <v>2009</v>
      </c>
      <c r="K27" s="60" t="s">
        <v>1828</v>
      </c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 t="s">
        <v>1860</v>
      </c>
      <c r="K29" s="60" t="s">
        <v>1828</v>
      </c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1"/>
  <sheetViews>
    <sheetView topLeftCell="I13" workbookViewId="0">
      <selection activeCell="V26" sqref="V26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1150</v>
      </c>
      <c r="J3" s="15" t="s">
        <v>1151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1367</v>
      </c>
      <c r="V3" s="60" t="s">
        <v>1366</v>
      </c>
      <c r="W3" s="60" t="s">
        <v>1365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1152</v>
      </c>
      <c r="J4" s="15" t="s">
        <v>1153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1343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1102</v>
      </c>
      <c r="V4" s="2" t="s">
        <v>1346</v>
      </c>
      <c r="W4" s="2" t="s">
        <v>1112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1123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1383</v>
      </c>
      <c r="J5" s="15" t="s">
        <v>1153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1343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1455</v>
      </c>
      <c r="V5" s="2" t="s">
        <v>1347</v>
      </c>
      <c r="W5" s="2" t="s">
        <v>1348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1343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1373</v>
      </c>
      <c r="J6" s="68" t="s">
        <v>1212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1343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1406</v>
      </c>
      <c r="V6" s="62" t="s">
        <v>1407</v>
      </c>
      <c r="W6" s="62" t="s">
        <v>1408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1343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1371</v>
      </c>
      <c r="J7" s="68" t="s">
        <v>1372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1681</v>
      </c>
      <c r="V7" s="62" t="s">
        <v>1680</v>
      </c>
      <c r="W7" s="62" t="s">
        <v>1679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1343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1405</v>
      </c>
      <c r="J8" s="68" t="s">
        <v>1498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1682</v>
      </c>
      <c r="V8" s="62" t="s">
        <v>1683</v>
      </c>
      <c r="W8" s="62" t="s">
        <v>1684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1499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1697</v>
      </c>
      <c r="V9" s="62" t="s">
        <v>1698</v>
      </c>
      <c r="W9" s="62" t="s">
        <v>1699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1500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1700</v>
      </c>
      <c r="V10" s="62" t="s">
        <v>1702</v>
      </c>
      <c r="W10" s="62" t="s">
        <v>1701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1703</v>
      </c>
      <c r="W11" s="62" t="s">
        <v>1704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1765</v>
      </c>
      <c r="V12" s="62" t="s">
        <v>1766</v>
      </c>
      <c r="W12" s="62" t="s">
        <v>1767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897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1808</v>
      </c>
      <c r="V13" s="62" t="s">
        <v>1838</v>
      </c>
      <c r="W13" s="62" t="s">
        <v>1809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  <c r="P14" s="63" t="str">
        <f>'Table Seed Map'!$A$9&amp;"-"&amp;COUNTA($Q$1:ResourceScopes[[#This Row],[Resource for Scope]])-1</f>
        <v>Resource Scopes-12</v>
      </c>
      <c r="Q14" s="62" t="s">
        <v>897</v>
      </c>
      <c r="R14" s="63" t="str">
        <f>ResourceScopes[[#This Row],[Resource for Scope]]&amp;"/"&amp;ResourceScopes[[#This Row],[Name]]</f>
        <v>Invoice/PaidInvoices</v>
      </c>
      <c r="S14" s="69">
        <f>IF(ResourceScopes[[#This Row],[Resource for Scope]]="","id",-1+COUNTA($Q$1:ResourceScopes[[#This Row],[Resource for Scope]])+VLOOKUP('Table Seed Map'!$A$9,SeedMap[],9,0))</f>
        <v>2108112</v>
      </c>
      <c r="T14" s="69">
        <f>IFERROR(VLOOKUP(ResourceScopes[[#This Row],[Resource for Scope]],CHOOSE({1,2},ResourceTable[Name],ResourceTable[No]),2,0),"resource")</f>
        <v>2106121</v>
      </c>
      <c r="U14" s="62" t="s">
        <v>1837</v>
      </c>
      <c r="V14" s="62" t="s">
        <v>1839</v>
      </c>
      <c r="W14" s="62" t="s">
        <v>1833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  <c r="P15" s="63" t="str">
        <f>'Table Seed Map'!$A$9&amp;"-"&amp;COUNTA($Q$1:ResourceScopes[[#This Row],[Resource for Scope]])-1</f>
        <v>Resource Scopes-13</v>
      </c>
      <c r="Q15" s="62" t="s">
        <v>777</v>
      </c>
      <c r="R15" s="63" t="str">
        <f>ResourceScopes[[#This Row],[Resource for Scope]]&amp;"/"&amp;ResourceScopes[[#This Row],[Name]]</f>
        <v>Hub/OwnHubs</v>
      </c>
      <c r="S15" s="69">
        <f>IF(ResourceScopes[[#This Row],[Resource for Scope]]="","id",-1+COUNTA($Q$1:ResourceScopes[[#This Row],[Resource for Scope]])+VLOOKUP('Table Seed Map'!$A$9,SeedMap[],9,0))</f>
        <v>2108113</v>
      </c>
      <c r="T15" s="69">
        <f>IFERROR(VLOOKUP(ResourceScopes[[#This Row],[Resource for Scope]],CHOOSE({1,2},ResourceTable[Name],ResourceTable[No]),2,0),"resource")</f>
        <v>2106107</v>
      </c>
      <c r="U15" s="62" t="s">
        <v>1861</v>
      </c>
      <c r="V15" s="62" t="s">
        <v>1862</v>
      </c>
      <c r="W15" s="62" t="s">
        <v>1863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  <c r="P16" s="63" t="str">
        <f>'Table Seed Map'!$A$9&amp;"-"&amp;COUNTA($Q$1:ResourceScopes[[#This Row],[Resource for Scope]])-1</f>
        <v>Resource Scopes-14</v>
      </c>
      <c r="Q16" s="62" t="s">
        <v>788</v>
      </c>
      <c r="R16" s="63" t="str">
        <f>ResourceScopes[[#This Row],[Resource for Scope]]&amp;"/"&amp;ResourceScopes[[#This Row],[Name]]</f>
        <v>OrderItem/OwnHubItems</v>
      </c>
      <c r="S16" s="69">
        <f>IF(ResourceScopes[[#This Row],[Resource for Scope]]="","id",-1+COUNTA($Q$1:ResourceScopes[[#This Row],[Resource for Scope]])+VLOOKUP('Table Seed Map'!$A$9,SeedMap[],9,0))</f>
        <v>2108114</v>
      </c>
      <c r="T16" s="69">
        <f>IFERROR(VLOOKUP(ResourceScopes[[#This Row],[Resource for Scope]],CHOOSE({1,2},ResourceTable[Name],ResourceTable[No]),2,0),"resource")</f>
        <v>2106119</v>
      </c>
      <c r="U16" s="62" t="s">
        <v>1871</v>
      </c>
      <c r="V16" s="62" t="s">
        <v>1872</v>
      </c>
      <c r="W16" s="62" t="s">
        <v>1873</v>
      </c>
    </row>
    <row r="17" spans="1:23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  <c r="P17" s="63" t="str">
        <f>'Table Seed Map'!$A$9&amp;"-"&amp;COUNTA($Q$1:ResourceScopes[[#This Row],[Resource for Scope]])-1</f>
        <v>Resource Scopes-15</v>
      </c>
      <c r="Q17" s="62" t="s">
        <v>787</v>
      </c>
      <c r="R17" s="63" t="str">
        <f>ResourceScopes[[#This Row],[Resource for Scope]]&amp;"/"&amp;ResourceScopes[[#This Row],[Name]]</f>
        <v>Order/OwnHubOrders</v>
      </c>
      <c r="S17" s="69">
        <f>IF(ResourceScopes[[#This Row],[Resource for Scope]]="","id",-1+COUNTA($Q$1:ResourceScopes[[#This Row],[Resource for Scope]])+VLOOKUP('Table Seed Map'!$A$9,SeedMap[],9,0))</f>
        <v>2108115</v>
      </c>
      <c r="T17" s="69">
        <f>IFERROR(VLOOKUP(ResourceScopes[[#This Row],[Resource for Scope]],CHOOSE({1,2},ResourceTable[Name],ResourceTable[No]),2,0),"resource")</f>
        <v>2106118</v>
      </c>
      <c r="U17" s="62" t="s">
        <v>1897</v>
      </c>
      <c r="V17" s="62" t="s">
        <v>1899</v>
      </c>
      <c r="W17" s="62" t="s">
        <v>1900</v>
      </c>
    </row>
    <row r="18" spans="1:23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1343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1094</v>
      </c>
      <c r="L18" s="69" t="s">
        <v>981</v>
      </c>
      <c r="M18" s="74">
        <f>VLOOKUP([Relate Resource],CHOOSE({1,2},ResourceTable[Name],ResourceTable[No]),2,0)</f>
        <v>2106104</v>
      </c>
      <c r="N18" s="75">
        <f>[RELID]</f>
        <v>2109116</v>
      </c>
      <c r="P18" s="63" t="str">
        <f>'Table Seed Map'!$A$9&amp;"-"&amp;COUNTA($Q$1:ResourceScopes[[#This Row],[Resource for Scope]])-1</f>
        <v>Resource Scopes-16</v>
      </c>
      <c r="Q18" s="62" t="s">
        <v>789</v>
      </c>
      <c r="R18" s="63" t="str">
        <f>ResourceScopes[[#This Row],[Resource for Scope]]&amp;"/"&amp;ResourceScopes[[#This Row],[Name]]</f>
        <v>OrderItemService/OwnHubOrderItemServices</v>
      </c>
      <c r="S18" s="69">
        <f>IF(ResourceScopes[[#This Row],[Resource for Scope]]="","id",-1+COUNTA($Q$1:ResourceScopes[[#This Row],[Resource for Scope]])+VLOOKUP('Table Seed Map'!$A$9,SeedMap[],9,0))</f>
        <v>2108116</v>
      </c>
      <c r="T18" s="69">
        <f>IFERROR(VLOOKUP(ResourceScopes[[#This Row],[Resource for Scope]],CHOOSE({1,2},ResourceTable[Name],ResourceTable[No]),2,0),"resource")</f>
        <v>2106120</v>
      </c>
      <c r="U18" s="62" t="s">
        <v>1903</v>
      </c>
      <c r="V18" s="62" t="s">
        <v>1904</v>
      </c>
      <c r="W18" s="62" t="s">
        <v>1900</v>
      </c>
    </row>
    <row r="19" spans="1:23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  <c r="P19" s="63" t="str">
        <f>'Table Seed Map'!$A$9&amp;"-"&amp;COUNTA($Q$1:ResourceScopes[[#This Row],[Resource for Scope]])-1</f>
        <v>Resource Scopes-17</v>
      </c>
      <c r="Q19" s="62" t="s">
        <v>790</v>
      </c>
      <c r="R19" s="63" t="str">
        <f>ResourceScopes[[#This Row],[Resource for Scope]]&amp;"/"&amp;ResourceScopes[[#This Row],[Name]]</f>
        <v>OrderItemServiceUser/OwnHubOISUs</v>
      </c>
      <c r="S19" s="69">
        <f>IF(ResourceScopes[[#This Row],[Resource for Scope]]="","id",-1+COUNTA($Q$1:ResourceScopes[[#This Row],[Resource for Scope]])+VLOOKUP('Table Seed Map'!$A$9,SeedMap[],9,0))</f>
        <v>2108117</v>
      </c>
      <c r="T19" s="69">
        <f>IFERROR(VLOOKUP(ResourceScopes[[#This Row],[Resource for Scope]],CHOOSE({1,2},ResourceTable[Name],ResourceTable[No]),2,0),"resource")</f>
        <v>2106123</v>
      </c>
      <c r="U19" s="62" t="s">
        <v>1911</v>
      </c>
      <c r="V19" s="62" t="s">
        <v>1912</v>
      </c>
      <c r="W19" s="62" t="s">
        <v>1900</v>
      </c>
    </row>
    <row r="20" spans="1:23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  <c r="P20" s="63" t="str">
        <f>'Table Seed Map'!$A$9&amp;"-"&amp;COUNTA($Q$1:ResourceScopes[[#This Row],[Resource for Scope]])-1</f>
        <v>Resource Scopes-18</v>
      </c>
      <c r="Q20" s="62" t="s">
        <v>790</v>
      </c>
      <c r="R20" s="63" t="str">
        <f>ResourceScopes[[#This Row],[Resource for Scope]]&amp;"/"&amp;ResourceScopes[[#This Row],[Name]]</f>
        <v>OrderItemServiceUser/OwnJobs</v>
      </c>
      <c r="S20" s="69">
        <f>IF(ResourceScopes[[#This Row],[Resource for Scope]]="","id",-1+COUNTA($Q$1:ResourceScopes[[#This Row],[Resource for Scope]])+VLOOKUP('Table Seed Map'!$A$9,SeedMap[],9,0))</f>
        <v>2108118</v>
      </c>
      <c r="T20" s="69">
        <f>IFERROR(VLOOKUP(ResourceScopes[[#This Row],[Resource for Scope]],CHOOSE({1,2},ResourceTable[Name],ResourceTable[No]),2,0),"resource")</f>
        <v>2106123</v>
      </c>
      <c r="U20" s="62" t="s">
        <v>1913</v>
      </c>
      <c r="V20" s="62" t="s">
        <v>1914</v>
      </c>
      <c r="W20" s="62" t="s">
        <v>1915</v>
      </c>
    </row>
    <row r="21" spans="1:23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  <c r="P21" s="63" t="str">
        <f>'Table Seed Map'!$A$9&amp;"-"&amp;COUNTA($Q$1:ResourceScopes[[#This Row],[Resource for Scope]])-1</f>
        <v>Resource Scopes-19</v>
      </c>
      <c r="Q21" s="62" t="s">
        <v>790</v>
      </c>
      <c r="R21" s="63" t="str">
        <f>ResourceScopes[[#This Row],[Resource for Scope]]&amp;"/"&amp;ResourceScopes[[#This Row],[Name]]</f>
        <v>OrderItemServiceUser/NewJobs</v>
      </c>
      <c r="S21" s="69">
        <f>IF(ResourceScopes[[#This Row],[Resource for Scope]]="","id",-1+COUNTA($Q$1:ResourceScopes[[#This Row],[Resource for Scope]])+VLOOKUP('Table Seed Map'!$A$9,SeedMap[],9,0))</f>
        <v>2108119</v>
      </c>
      <c r="T21" s="69">
        <f>IFERROR(VLOOKUP(ResourceScopes[[#This Row],[Resource for Scope]],CHOOSE({1,2},ResourceTable[Name],ResourceTable[No]),2,0),"resource")</f>
        <v>2106123</v>
      </c>
      <c r="U21" s="62" t="s">
        <v>1934</v>
      </c>
      <c r="V21" s="62" t="s">
        <v>1936</v>
      </c>
      <c r="W21" s="62" t="s">
        <v>1931</v>
      </c>
    </row>
    <row r="22" spans="1:23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  <c r="P22" s="63" t="str">
        <f>'Table Seed Map'!$A$9&amp;"-"&amp;COUNTA($Q$1:ResourceScopes[[#This Row],[Resource for Scope]])-1</f>
        <v>Resource Scopes-20</v>
      </c>
      <c r="Q22" s="62" t="s">
        <v>790</v>
      </c>
      <c r="R22" s="63" t="str">
        <f>ResourceScopes[[#This Row],[Resource for Scope]]&amp;"/"&amp;ResourceScopes[[#This Row],[Name]]</f>
        <v>OrderItemServiceUser/InServiceJobs</v>
      </c>
      <c r="S22" s="69">
        <f>IF(ResourceScopes[[#This Row],[Resource for Scope]]="","id",-1+COUNTA($Q$1:ResourceScopes[[#This Row],[Resource for Scope]])+VLOOKUP('Table Seed Map'!$A$9,SeedMap[],9,0))</f>
        <v>2108120</v>
      </c>
      <c r="T22" s="69">
        <f>IFERROR(VLOOKUP(ResourceScopes[[#This Row],[Resource for Scope]],CHOOSE({1,2},ResourceTable[Name],ResourceTable[No]),2,0),"resource")</f>
        <v>2106123</v>
      </c>
      <c r="U22" s="62" t="s">
        <v>1935</v>
      </c>
      <c r="V22" s="62" t="s">
        <v>1937</v>
      </c>
      <c r="W22" s="62" t="s">
        <v>1932</v>
      </c>
    </row>
    <row r="23" spans="1:23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  <c r="P23" s="63" t="str">
        <f>'Table Seed Map'!$A$9&amp;"-"&amp;COUNTA($Q$1:ResourceScopes[[#This Row],[Resource for Scope]])-1</f>
        <v>Resource Scopes-21</v>
      </c>
      <c r="Q23" s="62" t="s">
        <v>790</v>
      </c>
      <c r="R23" s="63" t="str">
        <f>ResourceScopes[[#This Row],[Resource for Scope]]&amp;"/"&amp;ResourceScopes[[#This Row],[Name]]</f>
        <v>OrderItemServiceUser/CompletedJobs</v>
      </c>
      <c r="S23" s="69">
        <f>IF(ResourceScopes[[#This Row],[Resource for Scope]]="","id",-1+COUNTA($Q$1:ResourceScopes[[#This Row],[Resource for Scope]])+VLOOKUP('Table Seed Map'!$A$9,SeedMap[],9,0))</f>
        <v>2108121</v>
      </c>
      <c r="T23" s="69">
        <f>IFERROR(VLOOKUP(ResourceScopes[[#This Row],[Resource for Scope]],CHOOSE({1,2},ResourceTable[Name],ResourceTable[No]),2,0),"resource")</f>
        <v>2106123</v>
      </c>
      <c r="U23" s="62" t="s">
        <v>1947</v>
      </c>
      <c r="V23" s="62" t="s">
        <v>1938</v>
      </c>
      <c r="W23" s="62" t="s">
        <v>1933</v>
      </c>
    </row>
    <row r="24" spans="1:23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  <c r="P24" s="63" t="str">
        <f>'Table Seed Map'!$A$9&amp;"-"&amp;COUNTA($Q$1:ResourceScopes[[#This Row],[Resource for Scope]])-1</f>
        <v>Resource Scopes-22</v>
      </c>
      <c r="Q24" s="62" t="s">
        <v>787</v>
      </c>
      <c r="R24" s="63" t="str">
        <f>ResourceScopes[[#This Row],[Resource for Scope]]&amp;"/"&amp;ResourceScopes[[#This Row],[Name]]</f>
        <v>Order/DeliverableOrders</v>
      </c>
      <c r="S24" s="69">
        <f>IF(ResourceScopes[[#This Row],[Resource for Scope]]="","id",-1+COUNTA($Q$1:ResourceScopes[[#This Row],[Resource for Scope]])+VLOOKUP('Table Seed Map'!$A$9,SeedMap[],9,0))</f>
        <v>2108122</v>
      </c>
      <c r="T24" s="69">
        <f>IFERROR(VLOOKUP(ResourceScopes[[#This Row],[Resource for Scope]],CHOOSE({1,2},ResourceTable[Name],ResourceTable[No]),2,0),"resource")</f>
        <v>2106118</v>
      </c>
      <c r="U24" s="62" t="s">
        <v>2013</v>
      </c>
      <c r="V24" s="62" t="s">
        <v>2012</v>
      </c>
      <c r="W24" s="62" t="s">
        <v>2011</v>
      </c>
    </row>
    <row r="25" spans="1:23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  <c r="P25" s="63" t="str">
        <f>'Table Seed Map'!$A$9&amp;"-"&amp;COUNTA($Q$1:ResourceScopes[[#This Row],[Resource for Scope]])-1</f>
        <v>Resource Scopes-23</v>
      </c>
      <c r="Q25" s="62" t="s">
        <v>789</v>
      </c>
      <c r="R25" s="63" t="str">
        <f>ResourceScopes[[#This Row],[Resource for Scope]]&amp;"/"&amp;ResourceScopes[[#This Row],[Name]]</f>
        <v>OrderItemService/TaskAssignableServices</v>
      </c>
      <c r="S25" s="69">
        <f>IF(ResourceScopes[[#This Row],[Resource for Scope]]="","id",-1+COUNTA($Q$1:ResourceScopes[[#This Row],[Resource for Scope]])+VLOOKUP('Table Seed Map'!$A$9,SeedMap[],9,0))</f>
        <v>2108123</v>
      </c>
      <c r="T25" s="69">
        <f>IFERROR(VLOOKUP(ResourceScopes[[#This Row],[Resource for Scope]],CHOOSE({1,2},ResourceTable[Name],ResourceTable[No]),2,0),"resource")</f>
        <v>2106120</v>
      </c>
      <c r="U25" s="62" t="s">
        <v>2018</v>
      </c>
      <c r="V25" s="62" t="s">
        <v>2031</v>
      </c>
      <c r="W25" s="62" t="s">
        <v>2019</v>
      </c>
    </row>
    <row r="26" spans="1:23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  <c r="P26" s="63" t="str">
        <f>'Table Seed Map'!$A$9&amp;"-"&amp;COUNTA($Q$1:ResourceScopes[[#This Row],[Resource for Scope]])-1</f>
        <v>Resource Scopes-24</v>
      </c>
      <c r="Q26" s="62" t="s">
        <v>788</v>
      </c>
      <c r="R26" s="63" t="str">
        <f>ResourceScopes[[#This Row],[Resource for Scope]]&amp;"/"&amp;ResourceScopes[[#This Row],[Name]]</f>
        <v>OrderItem/UndeliveredOrderItems</v>
      </c>
      <c r="S26" s="69">
        <f>IF(ResourceScopes[[#This Row],[Resource for Scope]]="","id",-1+COUNTA($Q$1:ResourceScopes[[#This Row],[Resource for Scope]])+VLOOKUP('Table Seed Map'!$A$9,SeedMap[],9,0))</f>
        <v>2108124</v>
      </c>
      <c r="T26" s="69">
        <f>IFERROR(VLOOKUP(ResourceScopes[[#This Row],[Resource for Scope]],CHOOSE({1,2},ResourceTable[Name],ResourceTable[No]),2,0),"resource")</f>
        <v>2106119</v>
      </c>
      <c r="U26" s="62" t="s">
        <v>2030</v>
      </c>
      <c r="V26" s="62" t="s">
        <v>2032</v>
      </c>
      <c r="W26" s="62" t="s">
        <v>1701</v>
      </c>
    </row>
    <row r="27" spans="1:23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23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23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23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23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23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1343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2106104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1095</v>
      </c>
      <c r="J53" s="16" t="s">
        <v>1096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1644</v>
      </c>
      <c r="J58" s="69" t="s">
        <v>1065</v>
      </c>
      <c r="K58" s="69" t="s">
        <v>1643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1652</v>
      </c>
      <c r="J62" s="69" t="s">
        <v>1653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785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2106105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1643</v>
      </c>
      <c r="J70" s="69" t="s">
        <v>1079</v>
      </c>
      <c r="K70" s="69" t="s">
        <v>1643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1343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2106104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1082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1083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1097</v>
      </c>
      <c r="J76" s="16" t="s">
        <v>1098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1099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1100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1084</v>
      </c>
      <c r="J79" s="69" t="s">
        <v>1089</v>
      </c>
      <c r="K79" s="69" t="s">
        <v>1086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1085</v>
      </c>
      <c r="J80" s="69" t="s">
        <v>1088</v>
      </c>
      <c r="K80" s="69" t="s">
        <v>1087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1090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1091</v>
      </c>
      <c r="K82" s="69" t="s">
        <v>1092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1093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1104</v>
      </c>
      <c r="J84" s="16" t="s">
        <v>1107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1105</v>
      </c>
      <c r="J85" s="16" t="s">
        <v>1108</v>
      </c>
      <c r="K85" s="16" t="s">
        <v>912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1106</v>
      </c>
      <c r="J86" s="16" t="s">
        <v>1109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1157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1182</v>
      </c>
      <c r="J88" s="69" t="s">
        <v>1183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1343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1501</v>
      </c>
      <c r="J89" s="69" t="s">
        <v>1502</v>
      </c>
      <c r="K89" s="69" t="s">
        <v>1503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1343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1654</v>
      </c>
      <c r="K91" s="69" t="s">
        <v>78</v>
      </c>
      <c r="L91" s="69" t="s">
        <v>981</v>
      </c>
      <c r="M91" s="74">
        <f>VLOOKUP([Relate Resource],CHOOSE({1,2},ResourceTable[Name],ResourceTable[No]),2,0)</f>
        <v>2106104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1669</v>
      </c>
      <c r="J92" s="69" t="s">
        <v>1670</v>
      </c>
      <c r="K92" s="69" t="s">
        <v>1669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1690</v>
      </c>
      <c r="J93" s="69" t="s">
        <v>1691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1777</v>
      </c>
      <c r="J94" s="69" t="s">
        <v>1778</v>
      </c>
      <c r="K94" s="69" t="s">
        <v>777</v>
      </c>
      <c r="L94" s="69" t="s">
        <v>997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1790</v>
      </c>
      <c r="J95" s="69" t="s">
        <v>1791</v>
      </c>
      <c r="K95" s="69" t="s">
        <v>783</v>
      </c>
      <c r="L95" s="69" t="s">
        <v>997</v>
      </c>
      <c r="M95" s="74">
        <f>VLOOKUP([Relate Resource],CHOOSE({1,2},ResourceTable[Name],ResourceTable[No]),2,0)</f>
        <v>2106115</v>
      </c>
      <c r="N95" s="75">
        <f>[RELID]</f>
        <v>2109193</v>
      </c>
    </row>
    <row r="96" spans="1:14">
      <c r="A96" s="73" t="str">
        <f>Page&amp;"-"&amp;(COUNTA($E$1:RelationTable[[#This Row],[Resource]])-1)</f>
        <v>Resource Relations-94</v>
      </c>
      <c r="B96" s="67">
        <f>IF(RelationTable[[#This Row],[Resource]]="","id",COUNTA($E$2:RelationTable[[#This Row],[Resource]])+IF(ISNUMBER(VLOOKUP('Table Seed Map'!$A$10,SeedMap[],9,0)),VLOOKUP('Table Seed Map'!$A$10,SeedMap[],9,0),0))</f>
        <v>2109194</v>
      </c>
      <c r="C96" s="69" t="str">
        <f>RelationTable[[#This Row],[Resource]]&amp;"/"&amp;RelationTable[[#This Row],[Method]]</f>
        <v>OrderItem/Hub</v>
      </c>
      <c r="D96" s="69">
        <f>RelationTable[[#This Row],[No]]</f>
        <v>2109194</v>
      </c>
      <c r="E96" s="63" t="s">
        <v>788</v>
      </c>
      <c r="F96" s="63" t="s">
        <v>777</v>
      </c>
      <c r="G96" s="69">
        <f>RelationTable[[#This Row],[No]]</f>
        <v>2109194</v>
      </c>
      <c r="H96" s="69">
        <f>IF(RelationTable[[#This Row],[No]]="id","resource",VLOOKUP([Resource],CHOOSE({1,2},ResourceTable[Name],ResourceTable[No]),2,0))</f>
        <v>2106119</v>
      </c>
      <c r="I96" s="69" t="s">
        <v>1850</v>
      </c>
      <c r="J96" s="69" t="s">
        <v>1851</v>
      </c>
      <c r="K96" s="69" t="s">
        <v>777</v>
      </c>
      <c r="L96" s="69" t="s">
        <v>997</v>
      </c>
      <c r="M96" s="74">
        <f>VLOOKUP([Relate Resource],CHOOSE({1,2},ResourceTable[Name],ResourceTable[No]),2,0)</f>
        <v>2106107</v>
      </c>
      <c r="N96" s="75">
        <f>[RELID]</f>
        <v>2109194</v>
      </c>
    </row>
    <row r="97" spans="1:14">
      <c r="A97" s="73" t="str">
        <f>Page&amp;"-"&amp;(COUNTA($E$1:RelationTable[[#This Row],[Resource]])-1)</f>
        <v>Resource Relations-95</v>
      </c>
      <c r="B97" s="67">
        <f>IF(RelationTable[[#This Row],[Resource]]="","id",COUNTA($E$2:RelationTable[[#This Row],[Resource]])+IF(ISNUMBER(VLOOKUP('Table Seed Map'!$A$10,SeedMap[],9,0)),VLOOKUP('Table Seed Map'!$A$10,SeedMap[],9,0),0))</f>
        <v>2109195</v>
      </c>
      <c r="C97" s="69" t="str">
        <f>RelationTable[[#This Row],[Resource]]&amp;"/"&amp;RelationTable[[#This Row],[Method]]</f>
        <v>Hub/OrderItems</v>
      </c>
      <c r="D97" s="69">
        <f>RelationTable[[#This Row],[No]]</f>
        <v>2109195</v>
      </c>
      <c r="E97" s="63" t="s">
        <v>777</v>
      </c>
      <c r="F97" s="63" t="s">
        <v>788</v>
      </c>
      <c r="G97" s="69">
        <f>RelationTable[[#This Row],[No]]</f>
        <v>2109195</v>
      </c>
      <c r="H97" s="69">
        <f>IF(RelationTable[[#This Row],[No]]="id","resource",VLOOKUP([Resource],CHOOSE({1,2},ResourceTable[Name],ResourceTable[No]),2,0))</f>
        <v>2106107</v>
      </c>
      <c r="I97" s="69" t="s">
        <v>1852</v>
      </c>
      <c r="J97" s="69" t="s">
        <v>1853</v>
      </c>
      <c r="K97" s="69" t="s">
        <v>1000</v>
      </c>
      <c r="L97" s="69" t="s">
        <v>945</v>
      </c>
      <c r="M97" s="74">
        <f>VLOOKUP([Relate Resource],CHOOSE({1,2},ResourceTable[Name],ResourceTable[No]),2,0)</f>
        <v>2106119</v>
      </c>
      <c r="N97" s="75">
        <f>[RELID]</f>
        <v>2109195</v>
      </c>
    </row>
    <row r="98" spans="1:14">
      <c r="A98" s="73" t="str">
        <f>Page&amp;"-"&amp;(COUNTA($E$1:RelationTable[[#This Row],[Resource]])-1)</f>
        <v>Resource Relations-96</v>
      </c>
      <c r="B98" s="67">
        <f>IF(RelationTable[[#This Row],[Resource]]="","id",COUNTA($E$2:RelationTable[[#This Row],[Resource]])+IF(ISNUMBER(VLOOKUP('Table Seed Map'!$A$10,SeedMap[],9,0)),VLOOKUP('Table Seed Map'!$A$10,SeedMap[],9,0),0))</f>
        <v>2109196</v>
      </c>
      <c r="C98" s="69" t="str">
        <f>RelationTable[[#This Row],[Resource]]&amp;"/"&amp;RelationTable[[#This Row],[Method]]</f>
        <v>HubShift/ManageItems</v>
      </c>
      <c r="D98" s="69">
        <f>RelationTable[[#This Row],[No]]</f>
        <v>2109196</v>
      </c>
      <c r="E98" s="63" t="s">
        <v>792</v>
      </c>
      <c r="F98" s="63" t="s">
        <v>788</v>
      </c>
      <c r="G98" s="69">
        <f>RelationTable[[#This Row],[No]]</f>
        <v>2109196</v>
      </c>
      <c r="H98" s="69">
        <f>IF(RelationTable[[#This Row],[No]]="id","resource",VLOOKUP([Resource],CHOOSE({1,2},ResourceTable[Name],ResourceTable[No]),2,0))</f>
        <v>2106127</v>
      </c>
      <c r="I98" s="69" t="s">
        <v>1880</v>
      </c>
      <c r="J98" s="69" t="s">
        <v>1882</v>
      </c>
      <c r="K98" s="69" t="s">
        <v>1881</v>
      </c>
      <c r="L98" s="69" t="s">
        <v>981</v>
      </c>
      <c r="M98" s="74">
        <f>VLOOKUP([Relate Resource],CHOOSE({1,2},ResourceTable[Name],ResourceTable[No]),2,0)</f>
        <v>2106119</v>
      </c>
      <c r="N98" s="75">
        <f>[RELID]</f>
        <v>2109196</v>
      </c>
    </row>
    <row r="99" spans="1:14">
      <c r="A99" s="73" t="str">
        <f>Page&amp;"-"&amp;(COUNTA($E$1:RelationTable[[#This Row],[Resource]])-1)</f>
        <v>Resource Relations-97</v>
      </c>
      <c r="B99" s="67">
        <f>IF(RelationTable[[#This Row],[Resource]]="","id",COUNTA($E$2:RelationTable[[#This Row],[Resource]])+IF(ISNUMBER(VLOOKUP('Table Seed Map'!$A$10,SeedMap[],9,0)),VLOOKUP('Table Seed Map'!$A$10,SeedMap[],9,0),0))</f>
        <v>2109197</v>
      </c>
      <c r="C99" s="69" t="str">
        <f>RelationTable[[#This Row],[Resource]]&amp;"/"&amp;RelationTable[[#This Row],[Method]]</f>
        <v>Employee/Tasks</v>
      </c>
      <c r="D99" s="69">
        <f>RelationTable[[#This Row],[No]]</f>
        <v>2109197</v>
      </c>
      <c r="E99" s="63" t="s">
        <v>1343</v>
      </c>
      <c r="F99" s="63" t="s">
        <v>789</v>
      </c>
      <c r="G99" s="69">
        <f>RelationTable[[#This Row],[No]]</f>
        <v>2109197</v>
      </c>
      <c r="H99" s="69">
        <f>IF(RelationTable[[#This Row],[No]]="id","resource",VLOOKUP([Resource],CHOOSE({1,2},ResourceTable[Name],ResourceTable[No]),2,0))</f>
        <v>2106104</v>
      </c>
      <c r="I99" s="69" t="s">
        <v>1884</v>
      </c>
      <c r="J99" s="69" t="s">
        <v>1886</v>
      </c>
      <c r="K99" s="69" t="s">
        <v>1885</v>
      </c>
      <c r="L99" s="69" t="s">
        <v>981</v>
      </c>
      <c r="M99" s="74">
        <f>VLOOKUP([Relate Resource],CHOOSE({1,2},ResourceTable[Name],ResourceTable[No]),2,0)</f>
        <v>2106120</v>
      </c>
      <c r="N99" s="75">
        <f>[RELID]</f>
        <v>2109197</v>
      </c>
    </row>
    <row r="100" spans="1:14">
      <c r="A100" s="73" t="str">
        <f>Page&amp;"-"&amp;(COUNTA($E$1:RelationTable[[#This Row],[Resource]])-1)</f>
        <v>Resource Relations-98</v>
      </c>
      <c r="B100" s="67">
        <f>IF(RelationTable[[#This Row],[Resource]]="","id",COUNTA($E$2:RelationTable[[#This Row],[Resource]])+IF(ISNUMBER(VLOOKUP('Table Seed Map'!$A$10,SeedMap[],9,0)),VLOOKUP('Table Seed Map'!$A$10,SeedMap[],9,0),0))</f>
        <v>2109198</v>
      </c>
      <c r="C100" s="69" t="str">
        <f>RelationTable[[#This Row],[Resource]]&amp;"/"&amp;RelationTable[[#This Row],[Method]]</f>
        <v>Employee/TaskList</v>
      </c>
      <c r="D100" s="69">
        <f>RelationTable[[#This Row],[No]]</f>
        <v>2109198</v>
      </c>
      <c r="E100" s="63" t="s">
        <v>1343</v>
      </c>
      <c r="F100" s="63" t="s">
        <v>790</v>
      </c>
      <c r="G100" s="69">
        <f>RelationTable[[#This Row],[No]]</f>
        <v>2109198</v>
      </c>
      <c r="H100" s="69">
        <f>IF(RelationTable[[#This Row],[No]]="id","resource",VLOOKUP([Resource],CHOOSE({1,2},ResourceTable[Name],ResourceTable[No]),2,0))</f>
        <v>2106104</v>
      </c>
      <c r="I100" s="69" t="s">
        <v>1895</v>
      </c>
      <c r="J100" s="69" t="s">
        <v>1896</v>
      </c>
      <c r="K100" s="69" t="s">
        <v>1895</v>
      </c>
      <c r="L100" s="69" t="s">
        <v>945</v>
      </c>
      <c r="M100" s="74">
        <f>VLOOKUP([Relate Resource],CHOOSE({1,2},ResourceTable[Name],ResourceTable[No]),2,0)</f>
        <v>2106123</v>
      </c>
      <c r="N100" s="75">
        <f>[RELID]</f>
        <v>2109198</v>
      </c>
    </row>
    <row r="101" spans="1:14">
      <c r="A101" s="73" t="str">
        <f>Page&amp;"-"&amp;(COUNTA($E$1:RelationTable[[#This Row],[Resource]])-1)</f>
        <v>Resource Relations-99</v>
      </c>
      <c r="B101" s="67">
        <f>IF(RelationTable[[#This Row],[Resource]]="","id",COUNTA($E$2:RelationTable[[#This Row],[Resource]])+IF(ISNUMBER(VLOOKUP('Table Seed Map'!$A$10,SeedMap[],9,0)),VLOOKUP('Table Seed Map'!$A$10,SeedMap[],9,0),0))</f>
        <v>2109199</v>
      </c>
      <c r="C101" s="69" t="str">
        <f>RelationTable[[#This Row],[Resource]]&amp;"/"&amp;RelationTable[[#This Row],[Method]]</f>
        <v>OrderItem/Delivery</v>
      </c>
      <c r="D101" s="69">
        <f>RelationTable[[#This Row],[No]]</f>
        <v>2109199</v>
      </c>
      <c r="E101" s="63" t="s">
        <v>788</v>
      </c>
      <c r="F101" s="63" t="s">
        <v>1007</v>
      </c>
      <c r="G101" s="69">
        <f>RelationTable[[#This Row],[No]]</f>
        <v>2109199</v>
      </c>
      <c r="H101" s="69">
        <f>IF(RelationTable[[#This Row],[No]]="id","resource",VLOOKUP([Resource],CHOOSE({1,2},ResourceTable[Name],ResourceTable[No]),2,0))</f>
        <v>2106119</v>
      </c>
      <c r="I101" s="69" t="s">
        <v>2007</v>
      </c>
      <c r="J101" s="69" t="s">
        <v>2008</v>
      </c>
      <c r="K101" s="69" t="s">
        <v>916</v>
      </c>
      <c r="L101" s="69" t="s">
        <v>946</v>
      </c>
      <c r="M101" s="74">
        <f>VLOOKUP([Relate Resource],CHOOSE({1,2},ResourceTable[Name],ResourceTable[No]),2,0)</f>
        <v>2106126</v>
      </c>
      <c r="N101" s="75">
        <f>[RELID]</f>
        <v>2109199</v>
      </c>
    </row>
  </sheetData>
  <dataValidations count="1">
    <dataValidation type="list" allowBlank="1" showInputMessage="1" showErrorMessage="1" sqref="Q2:Q26 E2:F10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97"/>
  <sheetViews>
    <sheetView topLeftCell="G77" workbookViewId="0">
      <selection activeCell="U82" sqref="U82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1123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1147</v>
      </c>
      <c r="G3" s="38"/>
      <c r="H3" s="38" t="s">
        <v>1148</v>
      </c>
      <c r="I3" s="38"/>
      <c r="J3" s="38" t="s">
        <v>1148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1363</v>
      </c>
      <c r="U3" s="93"/>
      <c r="V3" s="93"/>
      <c r="W3" s="93"/>
      <c r="X3" s="93"/>
      <c r="Y3" s="55">
        <f>[No]</f>
        <v>2133101</v>
      </c>
      <c r="Z3"/>
      <c r="AA3" s="62" t="s">
        <v>1497</v>
      </c>
      <c r="AB3" s="69">
        <f>VLOOKUP(ActionListNData[[#This Row],[Action Name]],ResourceAction[[Display]:[No]],3,0)</f>
        <v>2133132</v>
      </c>
      <c r="AC3" s="15" t="s">
        <v>1463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1343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1361</v>
      </c>
      <c r="G4" s="96"/>
      <c r="H4" s="96" t="s">
        <v>1362</v>
      </c>
      <c r="I4" s="96"/>
      <c r="J4" s="96" t="s">
        <v>1362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1364</v>
      </c>
      <c r="U4" s="110"/>
      <c r="V4" s="110"/>
      <c r="W4" s="110"/>
      <c r="X4" s="110"/>
      <c r="Y4" s="103">
        <f>[No]</f>
        <v>2133102</v>
      </c>
      <c r="Z4"/>
      <c r="AA4" s="62" t="s">
        <v>1508</v>
      </c>
      <c r="AB4" s="69">
        <f>VLOOKUP(ActionListNData[[#This Row],[Action Name]],ResourceAction[[Display]:[No]],3,0)</f>
        <v>2133133</v>
      </c>
      <c r="AC4" s="15" t="s">
        <v>1401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1343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1391</v>
      </c>
      <c r="G5" s="96"/>
      <c r="H5" s="96" t="s">
        <v>1392</v>
      </c>
      <c r="I5" s="96"/>
      <c r="J5" s="96" t="s">
        <v>1392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1393</v>
      </c>
      <c r="U5" s="110"/>
      <c r="V5" s="110"/>
      <c r="W5" s="110"/>
      <c r="X5" s="110"/>
      <c r="Y5" s="103">
        <f>[No]</f>
        <v>2133103</v>
      </c>
      <c r="Z5"/>
      <c r="AA5" s="62" t="s">
        <v>1510</v>
      </c>
      <c r="AB5" s="69">
        <f>VLOOKUP(ActionListNData[[#This Row],[Action Name]],ResourceAction[[Display]:[No]],3,0)</f>
        <v>2133134</v>
      </c>
      <c r="AC5" s="15" t="s">
        <v>1454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1165</v>
      </c>
      <c r="G6" s="96"/>
      <c r="H6" s="96" t="s">
        <v>1164</v>
      </c>
      <c r="I6" s="96"/>
      <c r="J6" s="96" t="s">
        <v>1164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1163</v>
      </c>
      <c r="U6" s="110"/>
      <c r="V6" s="110"/>
      <c r="W6" s="110"/>
      <c r="X6" s="110"/>
      <c r="Y6" s="103">
        <f>[No]</f>
        <v>2133104</v>
      </c>
      <c r="Z6"/>
      <c r="AA6" s="62" t="s">
        <v>1514</v>
      </c>
      <c r="AB6" s="69">
        <f>VLOOKUP(ActionListNData[[#This Row],[Action Name]],ResourceAction[[Display]:[No]],3,0)</f>
        <v>2133135</v>
      </c>
      <c r="AC6" s="15" t="s">
        <v>1454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1313</v>
      </c>
      <c r="G7" s="96"/>
      <c r="H7" s="96" t="s">
        <v>1324</v>
      </c>
      <c r="I7" s="96"/>
      <c r="J7" s="96" t="s">
        <v>1324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1302</v>
      </c>
      <c r="U7" s="110"/>
      <c r="V7" s="110"/>
      <c r="W7" s="110"/>
      <c r="X7" s="110"/>
      <c r="Y7" s="103">
        <f>[No]</f>
        <v>2133105</v>
      </c>
      <c r="Z7"/>
      <c r="AA7" s="62" t="s">
        <v>1576</v>
      </c>
      <c r="AB7" s="69">
        <f>VLOOKUP(ActionListNData[[#This Row],[Action Name]],ResourceAction[[Display]:[No]],3,0)</f>
        <v>2133136</v>
      </c>
      <c r="AC7" s="15" t="s">
        <v>1458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1314</v>
      </c>
      <c r="G8" s="96"/>
      <c r="H8" s="96" t="s">
        <v>1325</v>
      </c>
      <c r="I8" s="96"/>
      <c r="J8" s="96" t="s">
        <v>1325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1303</v>
      </c>
      <c r="U8" s="110"/>
      <c r="V8" s="110"/>
      <c r="W8" s="110"/>
      <c r="X8" s="110"/>
      <c r="Y8" s="103">
        <f>[No]</f>
        <v>2133106</v>
      </c>
      <c r="Z8"/>
      <c r="AA8" s="62" t="s">
        <v>1529</v>
      </c>
      <c r="AB8" s="69">
        <f>VLOOKUP(ActionListNData[[#This Row],[Action Name]],ResourceAction[[Display]:[No]],3,0)</f>
        <v>2133137</v>
      </c>
      <c r="AC8" s="15" t="s">
        <v>1464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1315</v>
      </c>
      <c r="G9" s="96"/>
      <c r="H9" s="96" t="s">
        <v>1326</v>
      </c>
      <c r="I9" s="96"/>
      <c r="J9" s="96" t="s">
        <v>1326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1304</v>
      </c>
      <c r="U9" s="110"/>
      <c r="V9" s="110"/>
      <c r="W9" s="110"/>
      <c r="X9" s="110"/>
      <c r="Y9" s="103">
        <f>[No]</f>
        <v>2133107</v>
      </c>
      <c r="Z9"/>
      <c r="AA9" s="62" t="s">
        <v>1532</v>
      </c>
      <c r="AB9" s="69">
        <f>VLOOKUP(ActionListNData[[#This Row],[Action Name]],ResourceAction[[Display]:[No]],3,0)</f>
        <v>2133138</v>
      </c>
      <c r="AC9" s="15" t="s">
        <v>1463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1316</v>
      </c>
      <c r="G10" s="96"/>
      <c r="H10" s="96" t="s">
        <v>1327</v>
      </c>
      <c r="I10" s="96"/>
      <c r="J10" s="96" t="s">
        <v>1327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1305</v>
      </c>
      <c r="U10" s="110"/>
      <c r="V10" s="110"/>
      <c r="W10" s="110"/>
      <c r="X10" s="110"/>
      <c r="Y10" s="103">
        <f>[No]</f>
        <v>2133108</v>
      </c>
      <c r="Z10"/>
      <c r="AA10" s="62" t="s">
        <v>1536</v>
      </c>
      <c r="AB10" s="69">
        <f>VLOOKUP(ActionListNData[[#This Row],[Action Name]],ResourceAction[[Display]:[No]],3,0)</f>
        <v>2133139</v>
      </c>
      <c r="AC10" s="15" t="s">
        <v>1464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1317</v>
      </c>
      <c r="G11" s="96"/>
      <c r="H11" s="96" t="s">
        <v>1328</v>
      </c>
      <c r="I11" s="96"/>
      <c r="J11" s="96" t="s">
        <v>1328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1306</v>
      </c>
      <c r="U11" s="110"/>
      <c r="V11" s="110"/>
      <c r="W11" s="110"/>
      <c r="X11" s="110"/>
      <c r="Y11" s="103">
        <f>[No]</f>
        <v>2133109</v>
      </c>
      <c r="Z11"/>
      <c r="AA11" s="62" t="s">
        <v>1539</v>
      </c>
      <c r="AB11" s="69">
        <f>VLOOKUP(ActionListNData[[#This Row],[Action Name]],ResourceAction[[Display]:[No]],3,0)</f>
        <v>2133140</v>
      </c>
      <c r="AC11" s="15" t="s">
        <v>1458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1318</v>
      </c>
      <c r="G12" s="96"/>
      <c r="H12" s="96" t="s">
        <v>1329</v>
      </c>
      <c r="I12" s="96"/>
      <c r="J12" s="96" t="s">
        <v>1329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1307</v>
      </c>
      <c r="U12" s="110"/>
      <c r="V12" s="110"/>
      <c r="W12" s="110"/>
      <c r="X12" s="110"/>
      <c r="Y12" s="103">
        <f>[No]</f>
        <v>2133110</v>
      </c>
      <c r="Z12"/>
      <c r="AA12" s="62" t="s">
        <v>1577</v>
      </c>
      <c r="AB12" s="69">
        <f>VLOOKUP(ActionListNData[[#This Row],[Action Name]],ResourceAction[[Display]:[No]],3,0)</f>
        <v>2133141</v>
      </c>
      <c r="AC12" s="15" t="s">
        <v>1463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1319</v>
      </c>
      <c r="G13" s="96"/>
      <c r="H13" s="96" t="s">
        <v>1330</v>
      </c>
      <c r="I13" s="96"/>
      <c r="J13" s="96" t="s">
        <v>1330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1308</v>
      </c>
      <c r="U13" s="110"/>
      <c r="V13" s="110"/>
      <c r="W13" s="110"/>
      <c r="X13" s="110"/>
      <c r="Y13" s="103">
        <f>[No]</f>
        <v>2133111</v>
      </c>
      <c r="AA13" s="62" t="s">
        <v>1548</v>
      </c>
      <c r="AB13" s="69">
        <f>VLOOKUP(ActionListNData[[#This Row],[Action Name]],ResourceAction[[Display]:[No]],3,0)</f>
        <v>2133142</v>
      </c>
      <c r="AC13" s="15" t="s">
        <v>1463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1320</v>
      </c>
      <c r="G14" s="96"/>
      <c r="H14" s="96" t="s">
        <v>1331</v>
      </c>
      <c r="I14" s="96"/>
      <c r="J14" s="96" t="s">
        <v>1331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1309</v>
      </c>
      <c r="U14" s="110"/>
      <c r="V14" s="110"/>
      <c r="W14" s="110"/>
      <c r="X14" s="110"/>
      <c r="Y14" s="103">
        <f>[No]</f>
        <v>2133112</v>
      </c>
      <c r="AA14" s="62" t="s">
        <v>1574</v>
      </c>
      <c r="AB14" s="69">
        <f>VLOOKUP(ActionListNData[[#This Row],[Action Name]],ResourceAction[[Display]:[No]],3,0)</f>
        <v>2133143</v>
      </c>
      <c r="AC14" s="69" t="s">
        <v>1461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1321</v>
      </c>
      <c r="G15" s="96"/>
      <c r="H15" s="96" t="s">
        <v>1332</v>
      </c>
      <c r="I15" s="96"/>
      <c r="J15" s="96" t="s">
        <v>1332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1310</v>
      </c>
      <c r="U15" s="110"/>
      <c r="V15" s="110"/>
      <c r="W15" s="110"/>
      <c r="X15" s="110"/>
      <c r="Y15" s="103">
        <f>[No]</f>
        <v>2133113</v>
      </c>
      <c r="AA15" s="62" t="s">
        <v>1575</v>
      </c>
      <c r="AB15" s="69">
        <f>VLOOKUP(ActionListNData[[#This Row],[Action Name]],ResourceAction[[Display]:[No]],3,0)</f>
        <v>2133144</v>
      </c>
      <c r="AC15" s="69" t="s">
        <v>1461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1322</v>
      </c>
      <c r="G16" s="96"/>
      <c r="H16" s="96" t="s">
        <v>1333</v>
      </c>
      <c r="I16" s="96"/>
      <c r="J16" s="96" t="s">
        <v>1333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1311</v>
      </c>
      <c r="U16" s="110"/>
      <c r="V16" s="110"/>
      <c r="W16" s="110"/>
      <c r="X16" s="110"/>
      <c r="Y16" s="103">
        <f>[No]</f>
        <v>2133114</v>
      </c>
      <c r="AA16" s="62" t="s">
        <v>1582</v>
      </c>
      <c r="AB16" s="69">
        <f>VLOOKUP(ActionListNData[[#This Row],[Action Name]],ResourceAction[[Display]:[No]],3,0)</f>
        <v>2133145</v>
      </c>
      <c r="AC16" s="69" t="s">
        <v>1464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1323</v>
      </c>
      <c r="G17" s="96"/>
      <c r="H17" s="96" t="s">
        <v>1334</v>
      </c>
      <c r="I17" s="96"/>
      <c r="J17" s="96" t="s">
        <v>1334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1312</v>
      </c>
      <c r="U17" s="110"/>
      <c r="V17" s="110"/>
      <c r="W17" s="110"/>
      <c r="X17" s="110"/>
      <c r="Y17" s="103">
        <f>[No]</f>
        <v>2133115</v>
      </c>
      <c r="AA17" s="62" t="s">
        <v>1594</v>
      </c>
      <c r="AB17" s="69">
        <f>VLOOKUP(ActionListNData[[#This Row],[Action Name]],ResourceAction[[Display]:[No]],3,0)</f>
        <v>2133146</v>
      </c>
      <c r="AC17" s="69" t="s">
        <v>1464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1123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1438</v>
      </c>
      <c r="G18" s="96"/>
      <c r="H18" s="96" t="s">
        <v>1121</v>
      </c>
      <c r="I18" s="96"/>
      <c r="J18" s="96" t="s">
        <v>1121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1422</v>
      </c>
      <c r="U18" s="110"/>
      <c r="V18" s="110"/>
      <c r="W18" s="110"/>
      <c r="X18" s="110"/>
      <c r="Y18" s="103">
        <f>[No]</f>
        <v>2133116</v>
      </c>
      <c r="AA18" s="62" t="s">
        <v>1599</v>
      </c>
      <c r="AB18" s="69">
        <f>VLOOKUP(ActionListNData[[#This Row],[Action Name]],ResourceAction[[Display]:[No]],3,0)</f>
        <v>2133147</v>
      </c>
      <c r="AC18" s="69" t="s">
        <v>1463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1343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1439</v>
      </c>
      <c r="G19" s="96"/>
      <c r="H19" s="96" t="s">
        <v>1118</v>
      </c>
      <c r="I19" s="96"/>
      <c r="J19" s="96" t="s">
        <v>1118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1423</v>
      </c>
      <c r="U19" s="110"/>
      <c r="V19" s="110"/>
      <c r="W19" s="110"/>
      <c r="X19" s="110"/>
      <c r="Y19" s="103">
        <f>[No]</f>
        <v>2133117</v>
      </c>
      <c r="AA19" s="62" t="s">
        <v>1611</v>
      </c>
      <c r="AB19" s="69">
        <f>VLOOKUP(ActionListNData[[#This Row],[Action Name]],ResourceAction[[Display]:[No]],3,0)</f>
        <v>2133149</v>
      </c>
      <c r="AC19" s="69" t="s">
        <v>1471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1343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1440</v>
      </c>
      <c r="G20" s="96"/>
      <c r="H20" s="96" t="s">
        <v>1102</v>
      </c>
      <c r="I20" s="96"/>
      <c r="J20" s="96" t="s">
        <v>1102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1424</v>
      </c>
      <c r="U20" s="110"/>
      <c r="V20" s="110"/>
      <c r="W20" s="110"/>
      <c r="X20" s="110"/>
      <c r="Y20" s="103">
        <f>[No]</f>
        <v>2133118</v>
      </c>
      <c r="AA20" s="62" t="s">
        <v>1624</v>
      </c>
      <c r="AB20" s="69">
        <f>VLOOKUP(ActionListNData[[#This Row],[Action Name]],ResourceAction[[Display]:[No]],3,0)</f>
        <v>2133151</v>
      </c>
      <c r="AC20" s="69" t="s">
        <v>1467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1343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1441</v>
      </c>
      <c r="G21" s="96"/>
      <c r="H21" s="96" t="s">
        <v>1103</v>
      </c>
      <c r="I21" s="96"/>
      <c r="J21" s="96" t="s">
        <v>1103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1425</v>
      </c>
      <c r="U21" s="110"/>
      <c r="V21" s="110"/>
      <c r="W21" s="110"/>
      <c r="X21" s="110"/>
      <c r="Y21" s="103">
        <f>[No]</f>
        <v>2133119</v>
      </c>
      <c r="AA21" s="62" t="s">
        <v>1631</v>
      </c>
      <c r="AB21" s="69">
        <f>VLOOKUP(ActionListNData[[#This Row],[Action Name]],ResourceAction[[Display]:[No]],3,0)</f>
        <v>2133153</v>
      </c>
      <c r="AC21" s="69" t="s">
        <v>1464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1442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1426</v>
      </c>
      <c r="U22" s="110"/>
      <c r="V22" s="110"/>
      <c r="W22" s="110"/>
      <c r="X22" s="110"/>
      <c r="Y22" s="103">
        <f>[No]</f>
        <v>2133120</v>
      </c>
      <c r="AA22" s="62" t="s">
        <v>1641</v>
      </c>
      <c r="AB22" s="69">
        <f>VLOOKUP(ActionListNData[[#This Row],[Action Name]],ResourceAction[[Display]:[No]],3,0)</f>
        <v>2133154</v>
      </c>
      <c r="AC22" s="69" t="s">
        <v>1476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1443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1427</v>
      </c>
      <c r="U23" s="110"/>
      <c r="V23" s="110"/>
      <c r="W23" s="110"/>
      <c r="X23" s="110"/>
      <c r="Y23" s="103">
        <f>[No]</f>
        <v>2133121</v>
      </c>
      <c r="AA23" s="62" t="s">
        <v>1659</v>
      </c>
      <c r="AB23" s="69">
        <f>VLOOKUP(ActionListNData[[#This Row],[Action Name]],ResourceAction[[Display]:[No]],3,0)</f>
        <v>2133155</v>
      </c>
      <c r="AC23" s="69" t="s">
        <v>1633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1444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1428</v>
      </c>
      <c r="U24" s="110"/>
      <c r="V24" s="110"/>
      <c r="W24" s="110"/>
      <c r="X24" s="110"/>
      <c r="Y24" s="103">
        <f>[No]</f>
        <v>2133122</v>
      </c>
      <c r="AA24" s="62" t="s">
        <v>1677</v>
      </c>
      <c r="AB24" s="69">
        <f>VLOOKUP(ActionListNData[[#This Row],[Action Name]],ResourceAction[[Display]:[No]],3,0)</f>
        <v>2133156</v>
      </c>
      <c r="AC24" s="69" t="s">
        <v>1647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1445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1429</v>
      </c>
      <c r="U25" s="110"/>
      <c r="V25" s="110"/>
      <c r="W25" s="110"/>
      <c r="X25" s="110"/>
      <c r="Y25" s="103">
        <f>[No]</f>
        <v>2133123</v>
      </c>
      <c r="AA25" s="62" t="s">
        <v>1694</v>
      </c>
      <c r="AB25" s="69">
        <f>VLOOKUP(ActionListNData[[#This Row],[Action Name]],ResourceAction[[Display]:[No]],3,0)</f>
        <v>2133157</v>
      </c>
      <c r="AC25" s="69" t="s">
        <v>1458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1446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1430</v>
      </c>
      <c r="U26" s="110"/>
      <c r="V26" s="110"/>
      <c r="W26" s="110"/>
      <c r="X26" s="110"/>
      <c r="Y26" s="103">
        <f>[No]</f>
        <v>2133124</v>
      </c>
      <c r="AA26" s="62" t="s">
        <v>1711</v>
      </c>
      <c r="AB26" s="69">
        <f>VLOOKUP(ActionListNData[[#This Row],[Action Name]],ResourceAction[[Display]:[No]],3,0)</f>
        <v>2133158</v>
      </c>
      <c r="AC26" s="69" t="s">
        <v>1463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1447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1431</v>
      </c>
      <c r="U27" s="110"/>
      <c r="V27" s="110"/>
      <c r="W27" s="110"/>
      <c r="X27" s="110"/>
      <c r="Y27" s="103">
        <f>[No]</f>
        <v>2133125</v>
      </c>
      <c r="AA27" s="62" t="s">
        <v>1719</v>
      </c>
      <c r="AB27" s="69">
        <f>VLOOKUP(ActionListNData[[#This Row],[Action Name]],ResourceAction[[Display]:[No]],3,0)</f>
        <v>2133159</v>
      </c>
      <c r="AC27" s="69" t="s">
        <v>1469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1448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1432</v>
      </c>
      <c r="U28" s="110"/>
      <c r="V28" s="110"/>
      <c r="W28" s="110"/>
      <c r="X28" s="110"/>
      <c r="Y28" s="103">
        <f>[No]</f>
        <v>2133126</v>
      </c>
      <c r="AA28" s="62" t="s">
        <v>1722</v>
      </c>
      <c r="AB28" s="69">
        <f>VLOOKUP(ActionListNData[[#This Row],[Action Name]],ResourceAction[[Display]:[No]],3,0)</f>
        <v>2133160</v>
      </c>
      <c r="AC28" s="69" t="s">
        <v>1469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1449</v>
      </c>
      <c r="G29" s="96"/>
      <c r="H29" s="96" t="s">
        <v>909</v>
      </c>
      <c r="I29" s="96"/>
      <c r="J29" s="96" t="s">
        <v>2028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1433</v>
      </c>
      <c r="U29" s="110"/>
      <c r="V29" s="110"/>
      <c r="W29" s="110"/>
      <c r="X29" s="110"/>
      <c r="Y29" s="103">
        <f>[No]</f>
        <v>2133127</v>
      </c>
      <c r="AA29" s="62" t="s">
        <v>1726</v>
      </c>
      <c r="AB29" s="69">
        <f>VLOOKUP(ActionListNData[[#This Row],[Action Name]],ResourceAction[[Display]:[No]],3,0)</f>
        <v>2133161</v>
      </c>
      <c r="AC29" s="69" t="s">
        <v>1461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1450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1434</v>
      </c>
      <c r="U30" s="110"/>
      <c r="V30" s="110"/>
      <c r="W30" s="110"/>
      <c r="X30" s="110"/>
      <c r="Y30" s="103">
        <f>[No]</f>
        <v>2133128</v>
      </c>
      <c r="AA30" s="62" t="s">
        <v>1641</v>
      </c>
      <c r="AB30" s="69">
        <f>VLOOKUP(ActionListNData[[#This Row],[Action Name]],ResourceAction[[Display]:[No]],3,0)</f>
        <v>2133154</v>
      </c>
      <c r="AC30" s="69" t="s">
        <v>1706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1451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1435</v>
      </c>
      <c r="U31" s="110"/>
      <c r="V31" s="110"/>
      <c r="W31" s="110"/>
      <c r="X31" s="110"/>
      <c r="Y31" s="103">
        <f>[No]</f>
        <v>2133129</v>
      </c>
      <c r="AA31" s="62" t="s">
        <v>1740</v>
      </c>
      <c r="AB31" s="69">
        <f>VLOOKUP(ActionListNData[[#This Row],[Action Name]],ResourceAction[[Display]:[No]],3,0)</f>
        <v>2133162</v>
      </c>
      <c r="AC31" s="69" t="s">
        <v>1633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1452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1436</v>
      </c>
      <c r="U32" s="110"/>
      <c r="V32" s="110"/>
      <c r="W32" s="110"/>
      <c r="X32" s="110"/>
      <c r="Y32" s="103">
        <f>[No]</f>
        <v>2133130</v>
      </c>
      <c r="AA32" s="62" t="s">
        <v>1747</v>
      </c>
      <c r="AB32" s="16">
        <f>VLOOKUP(ActionListNData[[#This Row],[Action Name]],ResourceAction[[Display]:[No]],3,0)</f>
        <v>2133164</v>
      </c>
      <c r="AC32" s="69" t="s">
        <v>1619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1453</v>
      </c>
      <c r="G33" s="96"/>
      <c r="H33" s="96" t="s">
        <v>1421</v>
      </c>
      <c r="I33" s="96"/>
      <c r="J33" s="96" t="s">
        <v>1421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1437</v>
      </c>
      <c r="U33" s="110"/>
      <c r="V33" s="110"/>
      <c r="W33" s="110"/>
      <c r="X33" s="110"/>
      <c r="Y33" s="103">
        <f>[No]</f>
        <v>2133131</v>
      </c>
      <c r="AA33" s="62" t="s">
        <v>1754</v>
      </c>
      <c r="AB33" s="16">
        <f>VLOOKUP(ActionListNData[[#This Row],[Action Name]],ResourceAction[[Display]:[No]],3,0)</f>
        <v>2133165</v>
      </c>
      <c r="AC33" s="69" t="s">
        <v>1472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1494</v>
      </c>
      <c r="G34" s="96"/>
      <c r="H34" s="96" t="s">
        <v>1495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1496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1493</v>
      </c>
      <c r="U34" s="110" t="s">
        <v>1423</v>
      </c>
      <c r="V34" s="110"/>
      <c r="W34" s="110"/>
      <c r="X34" s="110"/>
      <c r="Y34" s="103">
        <f>[No]</f>
        <v>2133132</v>
      </c>
      <c r="AA34" s="62" t="s">
        <v>1764</v>
      </c>
      <c r="AB34" s="69">
        <f>VLOOKUP(ActionListNData[[#This Row],[Action Name]],ResourceAction[[Display]:[No]],3,0)</f>
        <v>2133166</v>
      </c>
      <c r="AC34" s="69" t="s">
        <v>1471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1343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1505</v>
      </c>
      <c r="G35" s="96"/>
      <c r="H35" s="96" t="s">
        <v>1506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1496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1507</v>
      </c>
      <c r="U35" s="110" t="s">
        <v>1427</v>
      </c>
      <c r="V35" s="110"/>
      <c r="W35" s="110"/>
      <c r="X35" s="110"/>
      <c r="Y35" s="103">
        <f>[No]</f>
        <v>2133133</v>
      </c>
      <c r="AA35" s="62" t="s">
        <v>1776</v>
      </c>
      <c r="AB35" s="69">
        <f>VLOOKUP(ActionListNData[[#This Row],[Action Name]],ResourceAction[[Display]:[No]],3,0)</f>
        <v>2133167</v>
      </c>
      <c r="AC35" s="69" t="s">
        <v>1467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1343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1509</v>
      </c>
      <c r="G36" s="96"/>
      <c r="H36" s="96" t="s">
        <v>1506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1496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1507</v>
      </c>
      <c r="U36" s="110" t="s">
        <v>1427</v>
      </c>
      <c r="V36" s="110"/>
      <c r="W36" s="110"/>
      <c r="X36" s="110"/>
      <c r="Y36" s="103">
        <f>[No]</f>
        <v>2133134</v>
      </c>
      <c r="AA36" s="62" t="s">
        <v>1788</v>
      </c>
      <c r="AB36" s="69">
        <f>VLOOKUP(ActionListNData[[#This Row],[Action Name]],ResourceAction[[Display]:[No]],3,0)</f>
        <v>2133168</v>
      </c>
      <c r="AC36" s="69" t="s">
        <v>1476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1343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1511</v>
      </c>
      <c r="G37" s="96"/>
      <c r="H37" s="96" t="s">
        <v>1512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1496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1513</v>
      </c>
      <c r="U37" s="110" t="s">
        <v>1428</v>
      </c>
      <c r="V37" s="110"/>
      <c r="W37" s="110"/>
      <c r="X37" s="110"/>
      <c r="Y37" s="103">
        <f>[No]</f>
        <v>2133135</v>
      </c>
      <c r="AA37" s="62" t="s">
        <v>1796</v>
      </c>
      <c r="AB37" s="69">
        <f>VLOOKUP(ActionListNData[[#This Row],[Action Name]],ResourceAction[[Display]:[No]],3,0)</f>
        <v>2133169</v>
      </c>
      <c r="AC37" s="69" t="s">
        <v>1476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1343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1568</v>
      </c>
      <c r="G38" s="96"/>
      <c r="H38" s="96" t="s">
        <v>1524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1558</v>
      </c>
      <c r="U38" s="110"/>
      <c r="V38" s="110"/>
      <c r="W38" s="110"/>
      <c r="X38" s="110"/>
      <c r="Y38" s="103">
        <f>[No]</f>
        <v>2133136</v>
      </c>
      <c r="AA38" s="62" t="s">
        <v>1796</v>
      </c>
      <c r="AB38" s="69">
        <f>VLOOKUP(ActionListNData[[#This Row],[Action Name]],ResourceAction[[Display]:[No]],3,0)</f>
        <v>2133169</v>
      </c>
      <c r="AC38" s="69" t="s">
        <v>1706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1525</v>
      </c>
      <c r="G39" s="96"/>
      <c r="H39" s="96" t="s">
        <v>1549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1527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1528</v>
      </c>
      <c r="U39" s="110" t="s">
        <v>1423</v>
      </c>
      <c r="V39" s="110"/>
      <c r="W39" s="110"/>
      <c r="X39" s="110"/>
      <c r="Y39" s="103">
        <f>[No]</f>
        <v>2133137</v>
      </c>
      <c r="AA39" s="62" t="s">
        <v>1794</v>
      </c>
      <c r="AB39" s="69">
        <f>VLOOKUP(ActionListNData[[#This Row],[Action Name]],ResourceAction[[Display]:[No]],3,0)</f>
        <v>2133170</v>
      </c>
      <c r="AC39" s="69" t="s">
        <v>1461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1530</v>
      </c>
      <c r="G40" s="96"/>
      <c r="H40" s="96" t="s">
        <v>1526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1527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1531</v>
      </c>
      <c r="U40" s="110" t="s">
        <v>1428</v>
      </c>
      <c r="V40" s="110"/>
      <c r="W40" s="110"/>
      <c r="X40" s="110"/>
      <c r="Y40" s="103">
        <f>[No]</f>
        <v>2133138</v>
      </c>
      <c r="AA40" s="62" t="s">
        <v>1804</v>
      </c>
      <c r="AB40" s="69">
        <f>VLOOKUP(ActionListNData[[#This Row],[Action Name]],ResourceAction[[Display]:[No]],3,0)</f>
        <v>2133171</v>
      </c>
      <c r="AC40" s="69" t="s">
        <v>1479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1533</v>
      </c>
      <c r="G41" s="96"/>
      <c r="H41" s="96" t="s">
        <v>1534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1527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1535</v>
      </c>
      <c r="U41" s="110" t="s">
        <v>1427</v>
      </c>
      <c r="V41" s="110"/>
      <c r="W41" s="110"/>
      <c r="X41" s="110"/>
      <c r="Y41" s="103">
        <f>[No]</f>
        <v>2133139</v>
      </c>
      <c r="AA41" s="62" t="s">
        <v>1818</v>
      </c>
      <c r="AB41" s="69">
        <f>VLOOKUP(ActionListNData[[#This Row],[Action Name]],ResourceAction[[Display]:[No]],3,0)</f>
        <v>2133173</v>
      </c>
      <c r="AC41" s="69" t="s">
        <v>1461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1343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1537</v>
      </c>
      <c r="G42" s="96"/>
      <c r="H42" s="96" t="s">
        <v>1573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1538</v>
      </c>
      <c r="U42" s="110" t="s">
        <v>1558</v>
      </c>
      <c r="V42" s="110"/>
      <c r="W42" s="110"/>
      <c r="X42" s="110"/>
      <c r="Y42" s="103">
        <f>[No]</f>
        <v>2133140</v>
      </c>
      <c r="AA42" s="62" t="s">
        <v>1804</v>
      </c>
      <c r="AB42" s="69">
        <f>VLOOKUP(ActionListNData[[#This Row],[Action Name]],ResourceAction[[Display]:[No]],3,0)</f>
        <v>2133171</v>
      </c>
      <c r="AC42" s="69" t="s">
        <v>1811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1567</v>
      </c>
      <c r="G43" s="96"/>
      <c r="H43" s="96" t="s">
        <v>1524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1559</v>
      </c>
      <c r="U43" s="110"/>
      <c r="V43" s="110"/>
      <c r="W43" s="110"/>
      <c r="X43" s="110"/>
      <c r="Y43" s="103">
        <f>[No]</f>
        <v>2133141</v>
      </c>
      <c r="AA43" s="62" t="s">
        <v>1823</v>
      </c>
      <c r="AB43" s="69">
        <f>VLOOKUP(ActionListNData[[#This Row],[Action Name]],ResourceAction[[Display]:[No]],3,0)</f>
        <v>2133174</v>
      </c>
      <c r="AC43" s="69" t="s">
        <v>1811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1547</v>
      </c>
      <c r="G44" s="96"/>
      <c r="H44" s="96" t="s">
        <v>1572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1302</v>
      </c>
      <c r="U44" s="110" t="s">
        <v>1559</v>
      </c>
      <c r="V44" s="110"/>
      <c r="W44" s="110"/>
      <c r="X44" s="110"/>
      <c r="Y44" s="103">
        <f>[No]</f>
        <v>2133142</v>
      </c>
      <c r="AA44" s="62" t="s">
        <v>1826</v>
      </c>
      <c r="AB44" s="69">
        <f>VLOOKUP(ActionListNData[[#This Row],[Action Name]],ResourceAction[[Display]:[No]],3,0)</f>
        <v>2133175</v>
      </c>
      <c r="AC44" s="69" t="s">
        <v>1811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1566</v>
      </c>
      <c r="G45" s="96"/>
      <c r="H45" s="96" t="s">
        <v>1524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1569</v>
      </c>
      <c r="U45" s="110"/>
      <c r="V45" s="110"/>
      <c r="W45" s="110"/>
      <c r="X45" s="110"/>
      <c r="Y45" s="103">
        <f>[No]</f>
        <v>2133143</v>
      </c>
      <c r="AA45" s="62" t="s">
        <v>1826</v>
      </c>
      <c r="AB45" s="69">
        <f>VLOOKUP(ActionListNData[[#This Row],[Action Name]],ResourceAction[[Display]:[No]],3,0)</f>
        <v>2133175</v>
      </c>
      <c r="AC45" s="69" t="s">
        <v>1479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1570</v>
      </c>
      <c r="G46" s="96"/>
      <c r="H46" s="96" t="s">
        <v>1571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1163</v>
      </c>
      <c r="U46" s="110" t="s">
        <v>1569</v>
      </c>
      <c r="V46" s="110"/>
      <c r="W46" s="110"/>
      <c r="X46" s="110"/>
      <c r="Y46" s="103">
        <f>[No]</f>
        <v>2133144</v>
      </c>
      <c r="AA46" s="62" t="s">
        <v>1846</v>
      </c>
      <c r="AB46" s="69">
        <f>VLOOKUP(ActionListNData[[#This Row],[Action Name]],ResourceAction[[Display]:[No]],3,0)</f>
        <v>2133178</v>
      </c>
      <c r="AC46" s="69" t="s">
        <v>1647</v>
      </c>
      <c r="AD46" s="69"/>
      <c r="AE46" s="69" t="str">
        <f>'Table Seed Map'!$A$37&amp;"-"&amp;-1+COUNTA($AC$1:ActionListNData[[#This Row],[Resource List]])</f>
        <v>Action List-44</v>
      </c>
      <c r="AF46" s="69">
        <f>IF(ActionListNData[[#This Row],[Action Name]]="","id",-1+COUNTA($AC$1:ActionListNData[[#This Row],[Resource List]])+IF(ISNUMBER(VLOOKUP('Table Seed Map'!$A$37,SeedMap[],9,0)),VLOOKUP('Table Seed Map'!$A$37,SeedMap[],9,0),0))</f>
        <v>2136144</v>
      </c>
      <c r="AG46" s="69">
        <f>ActionListNData[[#This Row],[Action]]</f>
        <v>2133178</v>
      </c>
      <c r="AH46" s="69">
        <f>IF(ActionListNData[[#This Row],[Action Name]]="","resource_list",IFERROR(VLOOKUP(ActionListNData[[#This Row],[Resource List]],ResourceList[[ListDisplayName]:[No]],2,0),""))</f>
        <v>2123122</v>
      </c>
      <c r="AI46" s="69" t="str">
        <f>'Table Seed Map'!$A$38&amp;"-"&amp;-1+COUNTA($AD$1:ActionListNData[[#This Row],[Resource Data]])</f>
        <v>Action Data-0</v>
      </c>
      <c r="AJ4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6" s="69">
        <f>ActionListNData[[#This Row],[Action]]</f>
        <v>2133178</v>
      </c>
      <c r="AL46" s="69" t="str">
        <f>IF(ActionListNData[[#This Row],[Action Name]]="","resource_data",IFERROR(VLOOKUP(ActionListNData[[#This Row],[Resource Data]],ResourceData[[DataDisplayName]:[No]],2,0),""))</f>
        <v/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1580</v>
      </c>
      <c r="G47" s="96"/>
      <c r="H47" s="96" t="s">
        <v>1524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1581</v>
      </c>
      <c r="U47" s="110"/>
      <c r="V47" s="110"/>
      <c r="W47" s="110"/>
      <c r="X47" s="110"/>
      <c r="Y47" s="103">
        <f>[No]</f>
        <v>2133145</v>
      </c>
      <c r="AA47" s="62" t="s">
        <v>1870</v>
      </c>
      <c r="AB47" s="69">
        <f>VLOOKUP(ActionListNData[[#This Row],[Action Name]],ResourceAction[[Display]:[No]],3,0)</f>
        <v>2133179</v>
      </c>
      <c r="AC47" s="69" t="s">
        <v>1487</v>
      </c>
      <c r="AD47" s="69"/>
      <c r="AE47" s="69" t="str">
        <f>'Table Seed Map'!$A$37&amp;"-"&amp;-1+COUNTA($AC$1:ActionListNData[[#This Row],[Resource List]])</f>
        <v>Action List-45</v>
      </c>
      <c r="AF47" s="69">
        <f>IF(ActionListNData[[#This Row],[Action Name]]="","id",-1+COUNTA($AC$1:ActionListNData[[#This Row],[Resource List]])+IF(ISNUMBER(VLOOKUP('Table Seed Map'!$A$37,SeedMap[],9,0)),VLOOKUP('Table Seed Map'!$A$37,SeedMap[],9,0),0))</f>
        <v>2136145</v>
      </c>
      <c r="AG47" s="69">
        <f>ActionListNData[[#This Row],[Action]]</f>
        <v>2133179</v>
      </c>
      <c r="AH47" s="69">
        <f>IF(ActionListNData[[#This Row],[Action Name]]="","resource_list",IFERROR(VLOOKUP(ActionListNData[[#This Row],[Resource List]],ResourceList[[ListDisplayName]:[No]],2,0),""))</f>
        <v>2123118</v>
      </c>
      <c r="AI47" s="69" t="str">
        <f>'Table Seed Map'!$A$38&amp;"-"&amp;-1+COUNTA($AD$1:ActionListNData[[#This Row],[Resource Data]])</f>
        <v>Action Data-0</v>
      </c>
      <c r="AJ4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7" s="69">
        <f>ActionListNData[[#This Row],[Action]]</f>
        <v>2133179</v>
      </c>
      <c r="AL47" s="69" t="str">
        <f>IF(ActionListNData[[#This Row],[Action Name]]="","resource_data",IFERROR(VLOOKUP(ActionListNData[[#This Row],[Resource Data]],ResourceData[[DataDisplayName]:[No]],2,0),""))</f>
        <v/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1592</v>
      </c>
      <c r="G48" s="96"/>
      <c r="H48" s="96" t="s">
        <v>1593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1303</v>
      </c>
      <c r="U48" s="110" t="s">
        <v>1581</v>
      </c>
      <c r="V48" s="110"/>
      <c r="W48" s="110"/>
      <c r="X48" s="110"/>
      <c r="Y48" s="103">
        <f>[No]</f>
        <v>2133146</v>
      </c>
      <c r="AA48" s="62" t="s">
        <v>1879</v>
      </c>
      <c r="AB48" s="69">
        <f>VLOOKUP(ActionListNData[[#This Row],[Action Name]],ResourceAction[[Display]:[No]],3,0)</f>
        <v>2133180</v>
      </c>
      <c r="AC48" s="69" t="s">
        <v>1487</v>
      </c>
      <c r="AD48" s="69"/>
      <c r="AE48" s="69" t="str">
        <f>'Table Seed Map'!$A$37&amp;"-"&amp;-1+COUNTA($AC$1:ActionListNData[[#This Row],[Resource List]])</f>
        <v>Action List-46</v>
      </c>
      <c r="AF48" s="69">
        <f>IF(ActionListNData[[#This Row],[Action Name]]="","id",-1+COUNTA($AC$1:ActionListNData[[#This Row],[Resource List]])+IF(ISNUMBER(VLOOKUP('Table Seed Map'!$A$37,SeedMap[],9,0)),VLOOKUP('Table Seed Map'!$A$37,SeedMap[],9,0),0))</f>
        <v>2136146</v>
      </c>
      <c r="AG48" s="69">
        <f>ActionListNData[[#This Row],[Action]]</f>
        <v>2133180</v>
      </c>
      <c r="AH48" s="69">
        <f>IF(ActionListNData[[#This Row],[Action Name]]="","resource_list",IFERROR(VLOOKUP(ActionListNData[[#This Row],[Resource List]],ResourceList[[ListDisplayName]:[No]],2,0),""))</f>
        <v>2123118</v>
      </c>
      <c r="AI48" s="69" t="str">
        <f>'Table Seed Map'!$A$38&amp;"-"&amp;-1+COUNTA($AD$1:ActionListNData[[#This Row],[Resource Data]])</f>
        <v>Action Data-0</v>
      </c>
      <c r="AJ4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8" s="69">
        <f>ActionListNData[[#This Row],[Action]]</f>
        <v>2133180</v>
      </c>
      <c r="AL48" s="69" t="str">
        <f>IF(ActionListNData[[#This Row],[Action Name]]="","resource_data",IFERROR(VLOOKUP(ActionListNData[[#This Row],[Resource Data]],ResourceData[[DataDisplayName]:[No]],2,0),""))</f>
        <v/>
      </c>
    </row>
    <row r="49" spans="1:38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1596</v>
      </c>
      <c r="G49" s="96"/>
      <c r="H49" s="96" t="s">
        <v>1597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1527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1598</v>
      </c>
      <c r="U49" s="110" t="s">
        <v>1430</v>
      </c>
      <c r="V49" s="110"/>
      <c r="W49" s="110"/>
      <c r="X49" s="110"/>
      <c r="Y49" s="103">
        <f>[No]</f>
        <v>2133147</v>
      </c>
      <c r="AA49" s="62" t="s">
        <v>1890</v>
      </c>
      <c r="AB49" s="69">
        <f>VLOOKUP(ActionListNData[[#This Row],[Action Name]],ResourceAction[[Display]:[No]],3,0)</f>
        <v>2133181</v>
      </c>
      <c r="AC49" s="69" t="s">
        <v>1454</v>
      </c>
      <c r="AD49" s="69"/>
      <c r="AE49" s="69" t="str">
        <f>'Table Seed Map'!$A$37&amp;"-"&amp;-1+COUNTA($AC$1:ActionListNData[[#This Row],[Resource List]])</f>
        <v>Action List-47</v>
      </c>
      <c r="AF49" s="69">
        <f>IF(ActionListNData[[#This Row],[Action Name]]="","id",-1+COUNTA($AC$1:ActionListNData[[#This Row],[Resource List]])+IF(ISNUMBER(VLOOKUP('Table Seed Map'!$A$37,SeedMap[],9,0)),VLOOKUP('Table Seed Map'!$A$37,SeedMap[],9,0),0))</f>
        <v>2136147</v>
      </c>
      <c r="AG49" s="69">
        <f>ActionListNData[[#This Row],[Action]]</f>
        <v>2133181</v>
      </c>
      <c r="AH49" s="69">
        <f>IF(ActionListNData[[#This Row],[Action Name]]="","resource_list",IFERROR(VLOOKUP(ActionListNData[[#This Row],[Resource List]],ResourceList[[ListDisplayName]:[No]],2,0),""))</f>
        <v>2123105</v>
      </c>
      <c r="AI49" s="69" t="str">
        <f>'Table Seed Map'!$A$38&amp;"-"&amp;-1+COUNTA($AD$1:ActionListNData[[#This Row],[Resource Data]])</f>
        <v>Action Data-0</v>
      </c>
      <c r="AJ4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9" s="69">
        <f>ActionListNData[[#This Row],[Action]]</f>
        <v>2133181</v>
      </c>
      <c r="AL49" s="69" t="str">
        <f>IF(ActionListNData[[#This Row],[Action Name]]="","resource_data",IFERROR(VLOOKUP(ActionListNData[[#This Row],[Resource Data]],ResourceData[[DataDisplayName]:[No]],2,0),""))</f>
        <v/>
      </c>
    </row>
    <row r="50" spans="1:38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1600</v>
      </c>
      <c r="G50" s="96"/>
      <c r="H50" s="96" t="s">
        <v>1601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1602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1598</v>
      </c>
      <c r="U50" s="110" t="s">
        <v>1305</v>
      </c>
      <c r="V50" s="110" t="s">
        <v>1603</v>
      </c>
      <c r="W50" s="110"/>
      <c r="X50" s="110"/>
      <c r="Y50" s="103">
        <f>[No]</f>
        <v>2133148</v>
      </c>
      <c r="AA50" s="62" t="s">
        <v>1890</v>
      </c>
      <c r="AB50" s="69">
        <f>VLOOKUP(ActionListNData[[#This Row],[Action Name]],ResourceAction[[Display]:[No]],3,0)</f>
        <v>2133181</v>
      </c>
      <c r="AC50" s="69" t="s">
        <v>1856</v>
      </c>
      <c r="AD50" s="69"/>
      <c r="AE50" s="69" t="str">
        <f>'Table Seed Map'!$A$37&amp;"-"&amp;-1+COUNTA($AC$1:ActionListNData[[#This Row],[Resource List]])</f>
        <v>Action List-48</v>
      </c>
      <c r="AF50" s="69">
        <f>IF(ActionListNData[[#This Row],[Action Name]]="","id",-1+COUNTA($AC$1:ActionListNData[[#This Row],[Resource List]])+IF(ISNUMBER(VLOOKUP('Table Seed Map'!$A$37,SeedMap[],9,0)),VLOOKUP('Table Seed Map'!$A$37,SeedMap[],9,0),0))</f>
        <v>2136148</v>
      </c>
      <c r="AG50" s="69">
        <f>ActionListNData[[#This Row],[Action]]</f>
        <v>2133181</v>
      </c>
      <c r="AH50" s="69">
        <f>IF(ActionListNData[[#This Row],[Action Name]]="","resource_list",IFERROR(VLOOKUP(ActionListNData[[#This Row],[Resource List]],ResourceList[[ListDisplayName]:[No]],2,0),""))</f>
        <v>2123106</v>
      </c>
      <c r="AI50" s="69" t="str">
        <f>'Table Seed Map'!$A$38&amp;"-"&amp;-1+COUNTA($AD$1:ActionListNData[[#This Row],[Resource Data]])</f>
        <v>Action Data-0</v>
      </c>
      <c r="AJ5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0" s="69">
        <f>ActionListNData[[#This Row],[Action]]</f>
        <v>2133181</v>
      </c>
      <c r="AL50" s="69" t="str">
        <f>IF(ActionListNData[[#This Row],[Action Name]]="","resource_data",IFERROR(VLOOKUP(ActionListNData[[#This Row],[Resource Data]],ResourceData[[DataDisplayName]:[No]],2,0),""))</f>
        <v/>
      </c>
    </row>
    <row r="51" spans="1:38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1604</v>
      </c>
      <c r="G51" s="96"/>
      <c r="H51" s="96" t="s">
        <v>1605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1527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1606</v>
      </c>
      <c r="U51" s="110" t="s">
        <v>1610</v>
      </c>
      <c r="V51" s="110"/>
      <c r="W51" s="110"/>
      <c r="X51" s="110"/>
      <c r="Y51" s="103">
        <f>[No]</f>
        <v>2133149</v>
      </c>
      <c r="AA51" s="62" t="s">
        <v>1894</v>
      </c>
      <c r="AB51" s="69">
        <f>VLOOKUP(ActionListNData[[#This Row],[Action Name]],ResourceAction[[Display]:[No]],3,0)</f>
        <v>2133182</v>
      </c>
      <c r="AC51" s="69" t="s">
        <v>1647</v>
      </c>
      <c r="AD51" s="69"/>
      <c r="AE51" s="69" t="str">
        <f>'Table Seed Map'!$A$37&amp;"-"&amp;-1+COUNTA($AC$1:ActionListNData[[#This Row],[Resource List]])</f>
        <v>Action List-49</v>
      </c>
      <c r="AF51" s="69">
        <f>IF(ActionListNData[[#This Row],[Action Name]]="","id",-1+COUNTA($AC$1:ActionListNData[[#This Row],[Resource List]])+IF(ISNUMBER(VLOOKUP('Table Seed Map'!$A$37,SeedMap[],9,0)),VLOOKUP('Table Seed Map'!$A$37,SeedMap[],9,0),0))</f>
        <v>2136149</v>
      </c>
      <c r="AG51" s="69">
        <f>ActionListNData[[#This Row],[Action]]</f>
        <v>2133182</v>
      </c>
      <c r="AH51" s="69">
        <f>IF(ActionListNData[[#This Row],[Action Name]]="","resource_list",IFERROR(VLOOKUP(ActionListNData[[#This Row],[Resource List]],ResourceList[[ListDisplayName]:[No]],2,0),""))</f>
        <v>2123122</v>
      </c>
      <c r="AI51" s="69" t="str">
        <f>'Table Seed Map'!$A$38&amp;"-"&amp;-1+COUNTA($AD$1:ActionListNData[[#This Row],[Resource Data]])</f>
        <v>Action Data-0</v>
      </c>
      <c r="AJ5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1" s="69">
        <f>ActionListNData[[#This Row],[Action]]</f>
        <v>2133182</v>
      </c>
      <c r="AL51" s="69" t="str">
        <f>IF(ActionListNData[[#This Row],[Action Name]]="","resource_data",IFERROR(VLOOKUP(ActionListNData[[#This Row],[Resource Data]],ResourceData[[DataDisplayName]:[No]],2,0),""))</f>
        <v/>
      </c>
    </row>
    <row r="52" spans="1:38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1612</v>
      </c>
      <c r="G52" s="96"/>
      <c r="H52" s="96" t="s">
        <v>1613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1602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1606</v>
      </c>
      <c r="U52" s="110" t="s">
        <v>1614</v>
      </c>
      <c r="V52" s="110" t="s">
        <v>1615</v>
      </c>
      <c r="W52" s="110"/>
      <c r="X52" s="110"/>
      <c r="Y52" s="103">
        <f>[No]</f>
        <v>2133150</v>
      </c>
      <c r="AA52" s="62" t="s">
        <v>1641</v>
      </c>
      <c r="AB52" s="69">
        <f>VLOOKUP(ActionListNData[[#This Row],[Action Name]],ResourceAction[[Display]:[No]],3,0)</f>
        <v>2133154</v>
      </c>
      <c r="AC52" s="69" t="s">
        <v>1898</v>
      </c>
      <c r="AD52" s="69"/>
      <c r="AE52" s="69" t="str">
        <f>'Table Seed Map'!$A$37&amp;"-"&amp;-1+COUNTA($AC$1:ActionListNData[[#This Row],[Resource List]])</f>
        <v>Action List-50</v>
      </c>
      <c r="AF52" s="69">
        <f>IF(ActionListNData[[#This Row],[Action Name]]="","id",-1+COUNTA($AC$1:ActionListNData[[#This Row],[Resource List]])+IF(ISNUMBER(VLOOKUP('Table Seed Map'!$A$37,SeedMap[],9,0)),VLOOKUP('Table Seed Map'!$A$37,SeedMap[],9,0),0))</f>
        <v>2136150</v>
      </c>
      <c r="AG52" s="69">
        <f>ActionListNData[[#This Row],[Action]]</f>
        <v>2133154</v>
      </c>
      <c r="AH52" s="69">
        <f>IF(ActionListNData[[#This Row],[Action Name]]="","resource_list",IFERROR(VLOOKUP(ActionListNData[[#This Row],[Resource List]],ResourceList[[ListDisplayName]:[No]],2,0),""))</f>
        <v>2123131</v>
      </c>
      <c r="AI52" s="69" t="str">
        <f>'Table Seed Map'!$A$38&amp;"-"&amp;-1+COUNTA($AD$1:ActionListNData[[#This Row],[Resource Data]])</f>
        <v>Action Data-0</v>
      </c>
      <c r="AJ5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2" s="69">
        <f>ActionListNData[[#This Row],[Action]]</f>
        <v>2133154</v>
      </c>
      <c r="AL52" s="69" t="str">
        <f>IF(ActionListNData[[#This Row],[Action Name]]="","resource_data",IFERROR(VLOOKUP(ActionListNData[[#This Row],[Resource Data]],ResourceData[[DataDisplayName]:[No]],2,0),""))</f>
        <v/>
      </c>
    </row>
    <row r="53" spans="1:38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1616</v>
      </c>
      <c r="G53" s="96"/>
      <c r="H53" s="96" t="s">
        <v>1617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1527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1692</v>
      </c>
      <c r="U53" s="110" t="s">
        <v>1623</v>
      </c>
      <c r="V53" s="110"/>
      <c r="W53" s="110"/>
      <c r="X53" s="110"/>
      <c r="Y53" s="103">
        <f>[No]</f>
        <v>2133151</v>
      </c>
      <c r="AA53" s="62" t="s">
        <v>1796</v>
      </c>
      <c r="AB53" s="69">
        <f>VLOOKUP(ActionListNData[[#This Row],[Action Name]],ResourceAction[[Display]:[No]],3,0)</f>
        <v>2133169</v>
      </c>
      <c r="AC53" s="69" t="s">
        <v>1898</v>
      </c>
      <c r="AD53" s="69"/>
      <c r="AE53" s="69" t="str">
        <f>'Table Seed Map'!$A$37&amp;"-"&amp;-1+COUNTA($AC$1:ActionListNData[[#This Row],[Resource List]])</f>
        <v>Action List-51</v>
      </c>
      <c r="AF53" s="69">
        <f>IF(ActionListNData[[#This Row],[Action Name]]="","id",-1+COUNTA($AC$1:ActionListNData[[#This Row],[Resource List]])+IF(ISNUMBER(VLOOKUP('Table Seed Map'!$A$37,SeedMap[],9,0)),VLOOKUP('Table Seed Map'!$A$37,SeedMap[],9,0),0))</f>
        <v>2136151</v>
      </c>
      <c r="AG53" s="69">
        <f>ActionListNData[[#This Row],[Action]]</f>
        <v>2133169</v>
      </c>
      <c r="AH53" s="69">
        <f>IF(ActionListNData[[#This Row],[Action Name]]="","resource_list",IFERROR(VLOOKUP(ActionListNData[[#This Row],[Resource List]],ResourceList[[ListDisplayName]:[No]],2,0),""))</f>
        <v>2123131</v>
      </c>
      <c r="AI53" s="69" t="str">
        <f>'Table Seed Map'!$A$38&amp;"-"&amp;-1+COUNTA($AD$1:ActionListNData[[#This Row],[Resource Data]])</f>
        <v>Action Data-0</v>
      </c>
      <c r="AJ5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3" s="69">
        <f>ActionListNData[[#This Row],[Action]]</f>
        <v>2133169</v>
      </c>
      <c r="AL53" s="69" t="str">
        <f>IF(ActionListNData[[#This Row],[Action Name]]="","resource_data",IFERROR(VLOOKUP(ActionListNData[[#This Row],[Resource Data]],ResourceData[[DataDisplayName]:[No]],2,0),""))</f>
        <v/>
      </c>
    </row>
    <row r="54" spans="1:38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1625</v>
      </c>
      <c r="G54" s="96"/>
      <c r="H54" s="96" t="s">
        <v>1626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1602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1692</v>
      </c>
      <c r="U54" s="110" t="s">
        <v>1627</v>
      </c>
      <c r="V54" s="110" t="s">
        <v>1628</v>
      </c>
      <c r="W54" s="110"/>
      <c r="X54" s="110"/>
      <c r="Y54" s="103">
        <f>[No]</f>
        <v>2133152</v>
      </c>
      <c r="AA54" s="62" t="s">
        <v>1677</v>
      </c>
      <c r="AB54" s="69">
        <f>VLOOKUP(ActionListNData[[#This Row],[Action Name]],ResourceAction[[Display]:[No]],3,0)</f>
        <v>2133156</v>
      </c>
      <c r="AC54" s="69" t="s">
        <v>1906</v>
      </c>
      <c r="AD54" s="69"/>
      <c r="AE54" s="69" t="str">
        <f>'Table Seed Map'!$A$37&amp;"-"&amp;-1+COUNTA($AC$1:ActionListNData[[#This Row],[Resource List]])</f>
        <v>Action List-52</v>
      </c>
      <c r="AF54" s="69">
        <f>IF(ActionListNData[[#This Row],[Action Name]]="","id",-1+COUNTA($AC$1:ActionListNData[[#This Row],[Resource List]])+IF(ISNUMBER(VLOOKUP('Table Seed Map'!$A$37,SeedMap[],9,0)),VLOOKUP('Table Seed Map'!$A$37,SeedMap[],9,0),0))</f>
        <v>2136152</v>
      </c>
      <c r="AG54" s="69">
        <f>ActionListNData[[#This Row],[Action]]</f>
        <v>2133156</v>
      </c>
      <c r="AH54" s="69">
        <f>IF(ActionListNData[[#This Row],[Action Name]]="","resource_list",IFERROR(VLOOKUP(ActionListNData[[#This Row],[Resource List]],ResourceList[[ListDisplayName]:[No]],2,0),""))</f>
        <v>2123132</v>
      </c>
      <c r="AI54" s="69" t="str">
        <f>'Table Seed Map'!$A$38&amp;"-"&amp;-1+COUNTA($AD$1:ActionListNData[[#This Row],[Resource Data]])</f>
        <v>Action Data-0</v>
      </c>
      <c r="AJ5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4" s="69">
        <f>ActionListNData[[#This Row],[Action]]</f>
        <v>2133156</v>
      </c>
      <c r="AL54" s="69" t="str">
        <f>IF(ActionListNData[[#This Row],[Action Name]]="","resource_data",IFERROR(VLOOKUP(ActionListNData[[#This Row],[Resource Data]],ResourceData[[DataDisplayName]:[No]],2,0),""))</f>
        <v/>
      </c>
    </row>
    <row r="55" spans="1:38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1629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1527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1630</v>
      </c>
      <c r="U55" s="110" t="s">
        <v>1610</v>
      </c>
      <c r="V55" s="110"/>
      <c r="W55" s="110"/>
      <c r="X55" s="110"/>
      <c r="Y55" s="103">
        <f>[No]</f>
        <v>2133153</v>
      </c>
      <c r="AA55" s="62" t="s">
        <v>1846</v>
      </c>
      <c r="AB55" s="69">
        <f>VLOOKUP(ActionListNData[[#This Row],[Action Name]],ResourceAction[[Display]:[No]],3,0)</f>
        <v>2133178</v>
      </c>
      <c r="AC55" s="69" t="s">
        <v>1906</v>
      </c>
      <c r="AD55" s="69"/>
      <c r="AE55" s="69" t="str">
        <f>'Table Seed Map'!$A$37&amp;"-"&amp;-1+COUNTA($AC$1:ActionListNData[[#This Row],[Resource List]])</f>
        <v>Action List-53</v>
      </c>
      <c r="AF55" s="69">
        <f>IF(ActionListNData[[#This Row],[Action Name]]="","id",-1+COUNTA($AC$1:ActionListNData[[#This Row],[Resource List]])+IF(ISNUMBER(VLOOKUP('Table Seed Map'!$A$37,SeedMap[],9,0)),VLOOKUP('Table Seed Map'!$A$37,SeedMap[],9,0),0))</f>
        <v>2136153</v>
      </c>
      <c r="AG55" s="69">
        <f>ActionListNData[[#This Row],[Action]]</f>
        <v>2133178</v>
      </c>
      <c r="AH55" s="69">
        <f>IF(ActionListNData[[#This Row],[Action Name]]="","resource_list",IFERROR(VLOOKUP(ActionListNData[[#This Row],[Resource List]],ResourceList[[ListDisplayName]:[No]],2,0),""))</f>
        <v>2123132</v>
      </c>
      <c r="AI55" s="69" t="str">
        <f>'Table Seed Map'!$A$38&amp;"-"&amp;-1+COUNTA($AD$1:ActionListNData[[#This Row],[Resource Data]])</f>
        <v>Action Data-0</v>
      </c>
      <c r="AJ5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5" s="69">
        <f>ActionListNData[[#This Row],[Action]]</f>
        <v>2133178</v>
      </c>
      <c r="AL55" s="69" t="str">
        <f>IF(ActionListNData[[#This Row],[Action Name]]="","resource_data",IFERROR(VLOOKUP(ActionListNData[[#This Row],[Resource Data]],ResourceData[[DataDisplayName]:[No]],2,0),""))</f>
        <v/>
      </c>
    </row>
    <row r="56" spans="1:38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1637</v>
      </c>
      <c r="G56" s="96"/>
      <c r="H56" s="96" t="s">
        <v>1638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1527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1639</v>
      </c>
      <c r="U56" s="110" t="s">
        <v>1640</v>
      </c>
      <c r="V56" s="110"/>
      <c r="W56" s="110"/>
      <c r="X56" s="110"/>
      <c r="Y56" s="103">
        <f>[No]</f>
        <v>2133154</v>
      </c>
      <c r="AA56" s="62" t="s">
        <v>1894</v>
      </c>
      <c r="AB56" s="69">
        <f>VLOOKUP(ActionListNData[[#This Row],[Action Name]],ResourceAction[[Display]:[No]],3,0)</f>
        <v>2133182</v>
      </c>
      <c r="AC56" s="69" t="s">
        <v>1906</v>
      </c>
      <c r="AD56" s="69"/>
      <c r="AE56" s="69" t="str">
        <f>'Table Seed Map'!$A$37&amp;"-"&amp;-1+COUNTA($AC$1:ActionListNData[[#This Row],[Resource List]])</f>
        <v>Action List-54</v>
      </c>
      <c r="AF56" s="69">
        <f>IF(ActionListNData[[#This Row],[Action Name]]="","id",-1+COUNTA($AC$1:ActionListNData[[#This Row],[Resource List]])+IF(ISNUMBER(VLOOKUP('Table Seed Map'!$A$37,SeedMap[],9,0)),VLOOKUP('Table Seed Map'!$A$37,SeedMap[],9,0),0))</f>
        <v>2136154</v>
      </c>
      <c r="AG56" s="69">
        <f>ActionListNData[[#This Row],[Action]]</f>
        <v>2133182</v>
      </c>
      <c r="AH56" s="69">
        <f>IF(ActionListNData[[#This Row],[Action Name]]="","resource_list",IFERROR(VLOOKUP(ActionListNData[[#This Row],[Resource List]],ResourceList[[ListDisplayName]:[No]],2,0),""))</f>
        <v>2123132</v>
      </c>
      <c r="AI56" s="69" t="str">
        <f>'Table Seed Map'!$A$38&amp;"-"&amp;-1+COUNTA($AD$1:ActionListNData[[#This Row],[Resource Data]])</f>
        <v>Action Data-0</v>
      </c>
      <c r="AJ5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6" s="69">
        <f>ActionListNData[[#This Row],[Action]]</f>
        <v>2133182</v>
      </c>
      <c r="AL56" s="69" t="str">
        <f>IF(ActionListNData[[#This Row],[Action Name]]="","resource_data",IFERROR(VLOOKUP(ActionListNData[[#This Row],[Resource Data]],ResourceData[[DataDisplayName]:[No]],2,0),""))</f>
        <v/>
      </c>
    </row>
    <row r="57" spans="1:38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1655</v>
      </c>
      <c r="G57" s="96"/>
      <c r="H57" s="96" t="s">
        <v>1656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1527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1657</v>
      </c>
      <c r="U57" s="110" t="s">
        <v>1658</v>
      </c>
      <c r="V57" s="110"/>
      <c r="W57" s="110"/>
      <c r="X57" s="110"/>
      <c r="Y57" s="103">
        <f>[No]</f>
        <v>2133155</v>
      </c>
      <c r="AA57" s="62" t="s">
        <v>1997</v>
      </c>
      <c r="AB57" s="69">
        <f>VLOOKUP(ActionListNData[[#This Row],[Action Name]],ResourceAction[[Display]:[No]],3,0)</f>
        <v>2133193</v>
      </c>
      <c r="AC57" s="69" t="s">
        <v>1661</v>
      </c>
      <c r="AD57" s="69"/>
      <c r="AE57" s="69" t="str">
        <f>'Table Seed Map'!$A$37&amp;"-"&amp;-1+COUNTA($AC$1:ActionListNData[[#This Row],[Resource List]])</f>
        <v>Action List-55</v>
      </c>
      <c r="AF57" s="69">
        <f>IF(ActionListNData[[#This Row],[Action Name]]="","id",-1+COUNTA($AC$1:ActionListNData[[#This Row],[Resource List]])+IF(ISNUMBER(VLOOKUP('Table Seed Map'!$A$37,SeedMap[],9,0)),VLOOKUP('Table Seed Map'!$A$37,SeedMap[],9,0),0))</f>
        <v>2136155</v>
      </c>
      <c r="AG57" s="69">
        <f>ActionListNData[[#This Row],[Action]]</f>
        <v>2133193</v>
      </c>
      <c r="AH57" s="69">
        <f>IF(ActionListNData[[#This Row],[Action Name]]="","resource_list",IFERROR(VLOOKUP(ActionListNData[[#This Row],[Resource List]],ResourceList[[ListDisplayName]:[No]],2,0),""))</f>
        <v>2123123</v>
      </c>
      <c r="AI57" s="69" t="str">
        <f>'Table Seed Map'!$A$38&amp;"-"&amp;-1+COUNTA($AD$1:ActionListNData[[#This Row],[Resource Data]])</f>
        <v>Action Data-0</v>
      </c>
      <c r="AJ5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7" s="69">
        <f>ActionListNData[[#This Row],[Action]]</f>
        <v>2133193</v>
      </c>
      <c r="AL57" s="69" t="str">
        <f>IF(ActionListNData[[#This Row],[Action Name]]="","resource_data",IFERROR(VLOOKUP(ActionListNData[[#This Row],[Resource Data]],ResourceData[[DataDisplayName]:[No]],2,0),""))</f>
        <v/>
      </c>
    </row>
    <row r="58" spans="1:38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1673</v>
      </c>
      <c r="G58" s="96"/>
      <c r="H58" s="96" t="s">
        <v>1674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1527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1675</v>
      </c>
      <c r="U58" s="110" t="s">
        <v>1676</v>
      </c>
      <c r="V58" s="110"/>
      <c r="W58" s="110"/>
      <c r="X58" s="110"/>
      <c r="Y58" s="103">
        <f>[No]</f>
        <v>2133156</v>
      </c>
      <c r="AA58" s="62" t="s">
        <v>1997</v>
      </c>
      <c r="AB58" s="69">
        <f>VLOOKUP(ActionListNData[[#This Row],[Action Name]],ResourceAction[[Display]:[No]],3,0)</f>
        <v>2133193</v>
      </c>
      <c r="AC58" s="69" t="s">
        <v>1917</v>
      </c>
      <c r="AD58" s="69"/>
      <c r="AE58" s="69" t="str">
        <f>'Table Seed Map'!$A$37&amp;"-"&amp;-1+COUNTA($AC$1:ActionListNData[[#This Row],[Resource List]])</f>
        <v>Action List-56</v>
      </c>
      <c r="AF58" s="69">
        <f>IF(ActionListNData[[#This Row],[Action Name]]="","id",-1+COUNTA($AC$1:ActionListNData[[#This Row],[Resource List]])+IF(ISNUMBER(VLOOKUP('Table Seed Map'!$A$37,SeedMap[],9,0)),VLOOKUP('Table Seed Map'!$A$37,SeedMap[],9,0),0))</f>
        <v>2136156</v>
      </c>
      <c r="AG58" s="69">
        <f>ActionListNData[[#This Row],[Action]]</f>
        <v>2133193</v>
      </c>
      <c r="AH58" s="69">
        <f>IF(ActionListNData[[#This Row],[Action Name]]="","resource_list",IFERROR(VLOOKUP(ActionListNData[[#This Row],[Resource List]],ResourceList[[ListDisplayName]:[No]],2,0),""))</f>
        <v>2123133</v>
      </c>
      <c r="AI58" s="69" t="str">
        <f>'Table Seed Map'!$A$38&amp;"-"&amp;-1+COUNTA($AD$1:ActionListNData[[#This Row],[Resource Data]])</f>
        <v>Action Data-0</v>
      </c>
      <c r="AJ5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8" s="69">
        <f>ActionListNData[[#This Row],[Action]]</f>
        <v>2133193</v>
      </c>
      <c r="AL58" s="69" t="str">
        <f>IF(ActionListNData[[#This Row],[Action Name]]="","resource_data",IFERROR(VLOOKUP(ActionListNData[[#This Row],[Resource Data]],ResourceData[[DataDisplayName]:[No]],2,0),""))</f>
        <v/>
      </c>
    </row>
    <row r="59" spans="1:38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1343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1693</v>
      </c>
      <c r="G59" s="96"/>
      <c r="H59" s="96" t="s">
        <v>1506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1496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1507</v>
      </c>
      <c r="U59" s="110" t="s">
        <v>1427</v>
      </c>
      <c r="V59" s="110"/>
      <c r="W59" s="110"/>
      <c r="X59" s="110"/>
      <c r="Y59" s="103">
        <f>[No]</f>
        <v>2133157</v>
      </c>
      <c r="AA59" s="62" t="s">
        <v>1997</v>
      </c>
      <c r="AB59" s="69">
        <f>VLOOKUP(ActionListNData[[#This Row],[Action Name]],ResourceAction[[Display]:[No]],3,0)</f>
        <v>2133193</v>
      </c>
      <c r="AC59" s="69" t="s">
        <v>1926</v>
      </c>
      <c r="AD59" s="69"/>
      <c r="AE59" s="69" t="str">
        <f>'Table Seed Map'!$A$37&amp;"-"&amp;-1+COUNTA($AC$1:ActionListNData[[#This Row],[Resource List]])</f>
        <v>Action List-57</v>
      </c>
      <c r="AF59" s="69">
        <f>IF(ActionListNData[[#This Row],[Action Name]]="","id",-1+COUNTA($AC$1:ActionListNData[[#This Row],[Resource List]])+IF(ISNUMBER(VLOOKUP('Table Seed Map'!$A$37,SeedMap[],9,0)),VLOOKUP('Table Seed Map'!$A$37,SeedMap[],9,0),0))</f>
        <v>2136157</v>
      </c>
      <c r="AG59" s="69">
        <f>ActionListNData[[#This Row],[Action]]</f>
        <v>2133193</v>
      </c>
      <c r="AH59" s="69">
        <f>IF(ActionListNData[[#This Row],[Action Name]]="","resource_list",IFERROR(VLOOKUP(ActionListNData[[#This Row],[Resource List]],ResourceList[[ListDisplayName]:[No]],2,0),""))</f>
        <v>2123134</v>
      </c>
      <c r="AI59" s="69" t="str">
        <f>'Table Seed Map'!$A$38&amp;"-"&amp;-1+COUNTA($AD$1:ActionListNData[[#This Row],[Resource Data]])</f>
        <v>Action Data-0</v>
      </c>
      <c r="AJ5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9" s="69">
        <f>ActionListNData[[#This Row],[Action]]</f>
        <v>2133193</v>
      </c>
      <c r="AL59" s="69" t="str">
        <f>IF(ActionListNData[[#This Row],[Action Name]]="","resource_data",IFERROR(VLOOKUP(ActionListNData[[#This Row],[Resource Data]],ResourceData[[DataDisplayName]:[No]],2,0),""))</f>
        <v/>
      </c>
    </row>
    <row r="60" spans="1:38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1708</v>
      </c>
      <c r="G60" s="96"/>
      <c r="H60" s="96" t="s">
        <v>1705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1527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1709</v>
      </c>
      <c r="U60" s="110" t="s">
        <v>1710</v>
      </c>
      <c r="V60" s="110"/>
      <c r="W60" s="110"/>
      <c r="X60" s="110"/>
      <c r="Y60" s="103">
        <f>[No]</f>
        <v>2133158</v>
      </c>
      <c r="AA60" s="62" t="s">
        <v>1997</v>
      </c>
      <c r="AB60" s="69">
        <f>VLOOKUP(ActionListNData[[#This Row],[Action Name]],ResourceAction[[Display]:[No]],3,0)</f>
        <v>2133193</v>
      </c>
      <c r="AC60" s="69" t="s">
        <v>1968</v>
      </c>
      <c r="AD60" s="69"/>
      <c r="AE60" s="69" t="str">
        <f>'Table Seed Map'!$A$37&amp;"-"&amp;-1+COUNTA($AC$1:ActionListNData[[#This Row],[Resource List]])</f>
        <v>Action List-58</v>
      </c>
      <c r="AF60" s="69">
        <f>IF(ActionListNData[[#This Row],[Action Name]]="","id",-1+COUNTA($AC$1:ActionListNData[[#This Row],[Resource List]])+IF(ISNUMBER(VLOOKUP('Table Seed Map'!$A$37,SeedMap[],9,0)),VLOOKUP('Table Seed Map'!$A$37,SeedMap[],9,0),0))</f>
        <v>2136158</v>
      </c>
      <c r="AG60" s="69">
        <f>ActionListNData[[#This Row],[Action]]</f>
        <v>2133193</v>
      </c>
      <c r="AH60" s="69">
        <f>IF(ActionListNData[[#This Row],[Action Name]]="","resource_list",IFERROR(VLOOKUP(ActionListNData[[#This Row],[Resource List]],ResourceList[[ListDisplayName]:[No]],2,0),""))</f>
        <v>2123135</v>
      </c>
      <c r="AI60" s="69" t="str">
        <f>'Table Seed Map'!$A$38&amp;"-"&amp;-1+COUNTA($AD$1:ActionListNData[[#This Row],[Resource Data]])</f>
        <v>Action Data-0</v>
      </c>
      <c r="AJ6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0" s="69">
        <f>ActionListNData[[#This Row],[Action]]</f>
        <v>2133193</v>
      </c>
      <c r="AL60" s="69" t="str">
        <f>IF(ActionListNData[[#This Row],[Action Name]]="","resource_data",IFERROR(VLOOKUP(ActionListNData[[#This Row],[Resource Data]],ResourceData[[DataDisplayName]:[No]],2,0),""))</f>
        <v/>
      </c>
    </row>
    <row r="61" spans="1:38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1716</v>
      </c>
      <c r="G61" s="96"/>
      <c r="H61" s="96" t="s">
        <v>1717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1718</v>
      </c>
      <c r="U61" s="110"/>
      <c r="V61" s="110"/>
      <c r="W61" s="110"/>
      <c r="X61" s="110"/>
      <c r="Y61" s="103">
        <f>[No]</f>
        <v>2133159</v>
      </c>
      <c r="AA61" s="62" t="s">
        <v>1997</v>
      </c>
      <c r="AB61" s="69">
        <f>VLOOKUP(ActionListNData[[#This Row],[Action Name]],ResourceAction[[Display]:[No]],3,0)</f>
        <v>2133193</v>
      </c>
      <c r="AC61" s="69" t="s">
        <v>1971</v>
      </c>
      <c r="AD61" s="69"/>
      <c r="AE61" s="69" t="str">
        <f>'Table Seed Map'!$A$37&amp;"-"&amp;-1+COUNTA($AC$1:ActionListNData[[#This Row],[Resource List]])</f>
        <v>Action List-59</v>
      </c>
      <c r="AF61" s="69">
        <f>IF(ActionListNData[[#This Row],[Action Name]]="","id",-1+COUNTA($AC$1:ActionListNData[[#This Row],[Resource List]])+IF(ISNUMBER(VLOOKUP('Table Seed Map'!$A$37,SeedMap[],9,0)),VLOOKUP('Table Seed Map'!$A$37,SeedMap[],9,0),0))</f>
        <v>2136159</v>
      </c>
      <c r="AG61" s="69">
        <f>ActionListNData[[#This Row],[Action]]</f>
        <v>2133193</v>
      </c>
      <c r="AH61" s="69">
        <f>IF(ActionListNData[[#This Row],[Action Name]]="","resource_list",IFERROR(VLOOKUP(ActionListNData[[#This Row],[Resource List]],ResourceList[[ListDisplayName]:[No]],2,0),""))</f>
        <v>2123138</v>
      </c>
      <c r="AI61" s="69" t="str">
        <f>'Table Seed Map'!$A$38&amp;"-"&amp;-1+COUNTA($AD$1:ActionListNData[[#This Row],[Resource Data]])</f>
        <v>Action Data-0</v>
      </c>
      <c r="AJ6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1" s="69">
        <f>ActionListNData[[#This Row],[Action]]</f>
        <v>2133193</v>
      </c>
      <c r="AL61" s="69" t="str">
        <f>IF(ActionListNData[[#This Row],[Action Name]]="","resource_data",IFERROR(VLOOKUP(ActionListNData[[#This Row],[Resource Data]],ResourceData[[DataDisplayName]:[No]],2,0),""))</f>
        <v/>
      </c>
    </row>
    <row r="62" spans="1:38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1720</v>
      </c>
      <c r="G62" s="96"/>
      <c r="H62" s="96" t="s">
        <v>1721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1305</v>
      </c>
      <c r="U62" s="110" t="s">
        <v>1718</v>
      </c>
      <c r="V62" s="110"/>
      <c r="W62" s="110"/>
      <c r="X62" s="110"/>
      <c r="Y62" s="103">
        <f>[No]</f>
        <v>2133160</v>
      </c>
      <c r="AA62" s="62" t="s">
        <v>2000</v>
      </c>
      <c r="AB62" s="69">
        <f>VLOOKUP(ActionListNData[[#This Row],[Action Name]],ResourceAction[[Display]:[No]],3,0)</f>
        <v>2133194</v>
      </c>
      <c r="AC62" s="69" t="s">
        <v>1661</v>
      </c>
      <c r="AD62" s="69"/>
      <c r="AE62" s="69" t="str">
        <f>'Table Seed Map'!$A$37&amp;"-"&amp;-1+COUNTA($AC$1:ActionListNData[[#This Row],[Resource List]])</f>
        <v>Action List-60</v>
      </c>
      <c r="AF62" s="69">
        <f>IF(ActionListNData[[#This Row],[Action Name]]="","id",-1+COUNTA($AC$1:ActionListNData[[#This Row],[Resource List]])+IF(ISNUMBER(VLOOKUP('Table Seed Map'!$A$37,SeedMap[],9,0)),VLOOKUP('Table Seed Map'!$A$37,SeedMap[],9,0),0))</f>
        <v>2136160</v>
      </c>
      <c r="AG62" s="69">
        <f>ActionListNData[[#This Row],[Action]]</f>
        <v>2133194</v>
      </c>
      <c r="AH62" s="69">
        <f>IF(ActionListNData[[#This Row],[Action Name]]="","resource_list",IFERROR(VLOOKUP(ActionListNData[[#This Row],[Resource List]],ResourceList[[ListDisplayName]:[No]],2,0),""))</f>
        <v>2123123</v>
      </c>
      <c r="AI62" s="69" t="str">
        <f>'Table Seed Map'!$A$38&amp;"-"&amp;-1+COUNTA($AD$1:ActionListNData[[#This Row],[Resource Data]])</f>
        <v>Action Data-0</v>
      </c>
      <c r="AJ6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2" s="69">
        <f>ActionListNData[[#This Row],[Action]]</f>
        <v>2133194</v>
      </c>
      <c r="AL62" s="69" t="str">
        <f>IF(ActionListNData[[#This Row],[Action Name]]="","resource_data",IFERROR(VLOOKUP(ActionListNData[[#This Row],[Resource Data]],ResourceData[[DataDisplayName]:[No]],2,0),""))</f>
        <v/>
      </c>
    </row>
    <row r="63" spans="1:38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1725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1527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1727</v>
      </c>
      <c r="U63" s="110" t="s">
        <v>1433</v>
      </c>
      <c r="V63" s="110"/>
      <c r="W63" s="110"/>
      <c r="X63" s="110"/>
      <c r="Y63" s="103">
        <f>[No]</f>
        <v>2133161</v>
      </c>
      <c r="AA63" s="62" t="s">
        <v>2000</v>
      </c>
      <c r="AB63" s="69">
        <f>VLOOKUP(ActionListNData[[#This Row],[Action Name]],ResourceAction[[Display]:[No]],3,0)</f>
        <v>2133194</v>
      </c>
      <c r="AC63" s="69" t="s">
        <v>1917</v>
      </c>
      <c r="AD63" s="69"/>
      <c r="AE63" s="69" t="str">
        <f>'Table Seed Map'!$A$37&amp;"-"&amp;-1+COUNTA($AC$1:ActionListNData[[#This Row],[Resource List]])</f>
        <v>Action List-61</v>
      </c>
      <c r="AF63" s="69">
        <f>IF(ActionListNData[[#This Row],[Action Name]]="","id",-1+COUNTA($AC$1:ActionListNData[[#This Row],[Resource List]])+IF(ISNUMBER(VLOOKUP('Table Seed Map'!$A$37,SeedMap[],9,0)),VLOOKUP('Table Seed Map'!$A$37,SeedMap[],9,0),0))</f>
        <v>2136161</v>
      </c>
      <c r="AG63" s="69">
        <f>ActionListNData[[#This Row],[Action]]</f>
        <v>2133194</v>
      </c>
      <c r="AH63" s="69">
        <f>IF(ActionListNData[[#This Row],[Action Name]]="","resource_list",IFERROR(VLOOKUP(ActionListNData[[#This Row],[Resource List]],ResourceList[[ListDisplayName]:[No]],2,0),""))</f>
        <v>2123133</v>
      </c>
      <c r="AI63" s="69" t="str">
        <f>'Table Seed Map'!$A$38&amp;"-"&amp;-1+COUNTA($AD$1:ActionListNData[[#This Row],[Resource Data]])</f>
        <v>Action Data-0</v>
      </c>
      <c r="AJ6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3" s="69">
        <f>ActionListNData[[#This Row],[Action]]</f>
        <v>2133194</v>
      </c>
      <c r="AL63" s="69" t="str">
        <f>IF(ActionListNData[[#This Row],[Action Name]]="","resource_data",IFERROR(VLOOKUP(ActionListNData[[#This Row],[Resource Data]],ResourceData[[DataDisplayName]:[No]],2,0),""))</f>
        <v/>
      </c>
    </row>
    <row r="64" spans="1:38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1737</v>
      </c>
      <c r="G64" s="96"/>
      <c r="H64" s="96" t="s">
        <v>1738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1739</v>
      </c>
      <c r="U64" s="110" t="s">
        <v>1736</v>
      </c>
      <c r="V64" s="110"/>
      <c r="W64" s="110"/>
      <c r="X64" s="110"/>
      <c r="Y64" s="103">
        <f>[No]</f>
        <v>2133162</v>
      </c>
      <c r="AA64" s="62" t="s">
        <v>2000</v>
      </c>
      <c r="AB64" s="69">
        <f>VLOOKUP(ActionListNData[[#This Row],[Action Name]],ResourceAction[[Display]:[No]],3,0)</f>
        <v>2133194</v>
      </c>
      <c r="AC64" s="69" t="s">
        <v>1926</v>
      </c>
      <c r="AD64" s="69"/>
      <c r="AE64" s="69" t="str">
        <f>'Table Seed Map'!$A$37&amp;"-"&amp;-1+COUNTA($AC$1:ActionListNData[[#This Row],[Resource List]])</f>
        <v>Action List-62</v>
      </c>
      <c r="AF64" s="69">
        <f>IF(ActionListNData[[#This Row],[Action Name]]="","id",-1+COUNTA($AC$1:ActionListNData[[#This Row],[Resource List]])+IF(ISNUMBER(VLOOKUP('Table Seed Map'!$A$37,SeedMap[],9,0)),VLOOKUP('Table Seed Map'!$A$37,SeedMap[],9,0),0))</f>
        <v>2136162</v>
      </c>
      <c r="AG64" s="69">
        <f>ActionListNData[[#This Row],[Action]]</f>
        <v>2133194</v>
      </c>
      <c r="AH64" s="69">
        <f>IF(ActionListNData[[#This Row],[Action Name]]="","resource_list",IFERROR(VLOOKUP(ActionListNData[[#This Row],[Resource List]],ResourceList[[ListDisplayName]:[No]],2,0),""))</f>
        <v>2123134</v>
      </c>
      <c r="AI64" s="69" t="str">
        <f>'Table Seed Map'!$A$38&amp;"-"&amp;-1+COUNTA($AD$1:ActionListNData[[#This Row],[Resource Data]])</f>
        <v>Action Data-0</v>
      </c>
      <c r="AJ6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4" s="69">
        <f>ActionListNData[[#This Row],[Action]]</f>
        <v>2133194</v>
      </c>
      <c r="AL64" s="69" t="str">
        <f>IF(ActionListNData[[#This Row],[Action Name]]="","resource_data",IFERROR(VLOOKUP(ActionListNData[[#This Row],[Resource Data]],ResourceData[[DataDisplayName]:[No]],2,0),""))</f>
        <v/>
      </c>
    </row>
    <row r="65" spans="1:38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1748</v>
      </c>
      <c r="G65" s="38"/>
      <c r="H65" s="38" t="s">
        <v>1741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1602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1727</v>
      </c>
      <c r="U65" s="110" t="s">
        <v>1309</v>
      </c>
      <c r="V65" s="93" t="s">
        <v>1742</v>
      </c>
      <c r="W65" s="93"/>
      <c r="X65" s="93"/>
      <c r="Y65" s="55">
        <f>[No]</f>
        <v>2133163</v>
      </c>
      <c r="AA65" s="62" t="s">
        <v>2000</v>
      </c>
      <c r="AB65" s="69">
        <f>VLOOKUP(ActionListNData[[#This Row],[Action Name]],ResourceAction[[Display]:[No]],3,0)</f>
        <v>2133194</v>
      </c>
      <c r="AC65" s="69" t="s">
        <v>1969</v>
      </c>
      <c r="AD65" s="69"/>
      <c r="AE65" s="69" t="str">
        <f>'Table Seed Map'!$A$37&amp;"-"&amp;-1+COUNTA($AC$1:ActionListNData[[#This Row],[Resource List]])</f>
        <v>Action List-63</v>
      </c>
      <c r="AF65" s="69">
        <f>IF(ActionListNData[[#This Row],[Action Name]]="","id",-1+COUNTA($AC$1:ActionListNData[[#This Row],[Resource List]])+IF(ISNUMBER(VLOOKUP('Table Seed Map'!$A$37,SeedMap[],9,0)),VLOOKUP('Table Seed Map'!$A$37,SeedMap[],9,0),0))</f>
        <v>2136163</v>
      </c>
      <c r="AG65" s="69">
        <f>ActionListNData[[#This Row],[Action]]</f>
        <v>2133194</v>
      </c>
      <c r="AH65" s="69">
        <f>IF(ActionListNData[[#This Row],[Action Name]]="","resource_list",IFERROR(VLOOKUP(ActionListNData[[#This Row],[Resource List]],ResourceList[[ListDisplayName]:[No]],2,0),""))</f>
        <v>2123136</v>
      </c>
      <c r="AI65" s="69" t="str">
        <f>'Table Seed Map'!$A$38&amp;"-"&amp;-1+COUNTA($AD$1:ActionListNData[[#This Row],[Resource Data]])</f>
        <v>Action Data-0</v>
      </c>
      <c r="AJ6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5" s="69">
        <f>ActionListNData[[#This Row],[Action]]</f>
        <v>2133194</v>
      </c>
      <c r="AL65" s="69" t="str">
        <f>IF(ActionListNData[[#This Row],[Action Name]]="","resource_data",IFERROR(VLOOKUP(ActionListNData[[#This Row],[Resource Data]],ResourceData[[DataDisplayName]:[No]],2,0),""))</f>
        <v/>
      </c>
    </row>
    <row r="66" spans="1:38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1743</v>
      </c>
      <c r="G66" s="38"/>
      <c r="H66" s="38" t="s">
        <v>1738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1744</v>
      </c>
      <c r="U66" s="110" t="s">
        <v>1746</v>
      </c>
      <c r="V66" s="93"/>
      <c r="W66" s="93"/>
      <c r="X66" s="93"/>
      <c r="Y66" s="55">
        <f>[No]</f>
        <v>2133164</v>
      </c>
      <c r="AA66" s="62" t="s">
        <v>2000</v>
      </c>
      <c r="AB66" s="69">
        <f>VLOOKUP(ActionListNData[[#This Row],[Action Name]],ResourceAction[[Display]:[No]],3,0)</f>
        <v>2133194</v>
      </c>
      <c r="AC66" s="69" t="s">
        <v>1972</v>
      </c>
      <c r="AD66" s="69"/>
      <c r="AE66" s="69" t="str">
        <f>'Table Seed Map'!$A$37&amp;"-"&amp;-1+COUNTA($AC$1:ActionListNData[[#This Row],[Resource List]])</f>
        <v>Action List-64</v>
      </c>
      <c r="AF66" s="69">
        <f>IF(ActionListNData[[#This Row],[Action Name]]="","id",-1+COUNTA($AC$1:ActionListNData[[#This Row],[Resource List]])+IF(ISNUMBER(VLOOKUP('Table Seed Map'!$A$37,SeedMap[],9,0)),VLOOKUP('Table Seed Map'!$A$37,SeedMap[],9,0),0))</f>
        <v>2136164</v>
      </c>
      <c r="AG66" s="69">
        <f>ActionListNData[[#This Row],[Action]]</f>
        <v>2133194</v>
      </c>
      <c r="AH66" s="69">
        <f>IF(ActionListNData[[#This Row],[Action Name]]="","resource_list",IFERROR(VLOOKUP(ActionListNData[[#This Row],[Resource List]],ResourceList[[ListDisplayName]:[No]],2,0),""))</f>
        <v>2123139</v>
      </c>
      <c r="AI66" s="69" t="str">
        <f>'Table Seed Map'!$A$38&amp;"-"&amp;-1+COUNTA($AD$1:ActionListNData[[#This Row],[Resource Data]])</f>
        <v>Action Data-0</v>
      </c>
      <c r="AJ6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6" s="69">
        <f>ActionListNData[[#This Row],[Action]]</f>
        <v>2133194</v>
      </c>
      <c r="AL66" s="69" t="str">
        <f>IF(ActionListNData[[#This Row],[Action Name]]="","resource_data",IFERROR(VLOOKUP(ActionListNData[[#This Row],[Resource Data]],ResourceData[[DataDisplayName]:[No]],2,0),""))</f>
        <v/>
      </c>
    </row>
    <row r="67" spans="1:38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1751</v>
      </c>
      <c r="G67" s="38"/>
      <c r="H67" s="38" t="s">
        <v>1752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1308</v>
      </c>
      <c r="U67" s="110" t="s">
        <v>1753</v>
      </c>
      <c r="V67" s="93"/>
      <c r="W67" s="93"/>
      <c r="X67" s="93"/>
      <c r="Y67" s="55">
        <f>[No]</f>
        <v>2133165</v>
      </c>
    </row>
    <row r="68" spans="1:38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1761</v>
      </c>
      <c r="G68" s="96"/>
      <c r="H68" s="38" t="s">
        <v>1752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1762</v>
      </c>
      <c r="U68" s="110" t="s">
        <v>1763</v>
      </c>
      <c r="V68" s="110"/>
      <c r="W68" s="110"/>
      <c r="X68" s="110"/>
      <c r="Y68" s="103">
        <f>[No]</f>
        <v>2133166</v>
      </c>
    </row>
    <row r="69" spans="1:38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1773</v>
      </c>
      <c r="G69" s="96"/>
      <c r="H69" s="38" t="s">
        <v>1752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1774</v>
      </c>
      <c r="U69" s="110" t="s">
        <v>1775</v>
      </c>
      <c r="V69" s="110"/>
      <c r="W69" s="110"/>
      <c r="X69" s="110"/>
      <c r="Y69" s="103">
        <f>[No]</f>
        <v>2133167</v>
      </c>
    </row>
    <row r="70" spans="1:38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1785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1786</v>
      </c>
      <c r="U70" s="110" t="s">
        <v>1787</v>
      </c>
      <c r="V70" s="110"/>
      <c r="W70" s="110"/>
      <c r="X70" s="110"/>
      <c r="Y70" s="103">
        <f>[No]</f>
        <v>2133168</v>
      </c>
    </row>
    <row r="71" spans="1:38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1795</v>
      </c>
      <c r="G71" s="96"/>
      <c r="H71" s="96" t="s">
        <v>897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1527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1792</v>
      </c>
      <c r="U71" s="110" t="s">
        <v>1434</v>
      </c>
      <c r="V71" s="110"/>
      <c r="W71" s="110"/>
      <c r="X71" s="110"/>
      <c r="Y71" s="103">
        <f>[No]</f>
        <v>2133169</v>
      </c>
    </row>
    <row r="72" spans="1:38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1793</v>
      </c>
      <c r="G72" s="96"/>
      <c r="H72" s="96" t="s">
        <v>1813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1527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1807</v>
      </c>
      <c r="U72" s="110" t="s">
        <v>1434</v>
      </c>
      <c r="V72" s="110"/>
      <c r="W72" s="110"/>
      <c r="X72" s="110"/>
      <c r="Y72" s="103">
        <f>[No]</f>
        <v>2133170</v>
      </c>
    </row>
    <row r="73" spans="1:38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897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1797</v>
      </c>
      <c r="G73" s="96"/>
      <c r="H73" s="96" t="s">
        <v>901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1527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1802</v>
      </c>
      <c r="U73" s="110" t="s">
        <v>1803</v>
      </c>
      <c r="V73" s="110"/>
      <c r="W73" s="110"/>
      <c r="X73" s="110"/>
      <c r="Y73" s="103">
        <f>[No]</f>
        <v>2133171</v>
      </c>
    </row>
    <row r="74" spans="1:38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897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1810</v>
      </c>
      <c r="G74" s="96"/>
      <c r="H74" s="96" t="s">
        <v>1814</v>
      </c>
      <c r="I74" s="96"/>
      <c r="J74" s="96" t="s">
        <v>1815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1816</v>
      </c>
      <c r="U74" s="110"/>
      <c r="V74" s="110"/>
      <c r="W74" s="110"/>
      <c r="X74" s="110"/>
      <c r="Y74" s="103">
        <f>[No]</f>
        <v>2133172</v>
      </c>
    </row>
    <row r="75" spans="1:38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1817</v>
      </c>
      <c r="G75" s="96"/>
      <c r="H75" s="96" t="s">
        <v>1814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1527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1807</v>
      </c>
      <c r="U75" s="110" t="s">
        <v>1816</v>
      </c>
      <c r="V75" s="110"/>
      <c r="W75" s="110"/>
      <c r="X75" s="110"/>
      <c r="Y75" s="103">
        <f>[No]</f>
        <v>2133173</v>
      </c>
    </row>
    <row r="76" spans="1:38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897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1819</v>
      </c>
      <c r="G76" s="96"/>
      <c r="H76" s="96" t="s">
        <v>1820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1602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2111164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1821</v>
      </c>
      <c r="U76" s="110" t="s">
        <v>1310</v>
      </c>
      <c r="V76" s="110" t="s">
        <v>1822</v>
      </c>
      <c r="W76" s="110"/>
      <c r="X76" s="110"/>
      <c r="Y76" s="103">
        <f>[No]</f>
        <v>2133174</v>
      </c>
    </row>
    <row r="77" spans="1:38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897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1824</v>
      </c>
      <c r="G77" s="96"/>
      <c r="H77" s="96" t="s">
        <v>1825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1527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1821</v>
      </c>
      <c r="U77" s="110" t="s">
        <v>1435</v>
      </c>
      <c r="V77" s="110"/>
      <c r="W77" s="110"/>
      <c r="X77" s="110"/>
      <c r="Y77" s="103">
        <f>[No]</f>
        <v>2133175</v>
      </c>
    </row>
    <row r="78" spans="1:38">
      <c r="A78" s="96" t="str">
        <f>'Table Seed Map'!$A$34&amp;"-"&amp;(COUNTA($E$1:ResourceAction[[#This Row],[Resource]])-2)</f>
        <v>Resource Actions-76</v>
      </c>
      <c r="B78" s="96" t="str">
        <f>ResourceAction[[#This Row],[Resource Name]]&amp;"/"&amp;ResourceAction[[#This Row],[Name]]</f>
        <v>OrderItemService/OISListAction</v>
      </c>
      <c r="C78" s="104" t="s">
        <v>789</v>
      </c>
      <c r="D78" s="96">
        <f>IF(ResourceAction[[#This Row],[Resource Name]]="","id",COUNTA($C$1:ResourceAction[[#This Row],[Resource Name]])-1+IF(VLOOKUP('Table Seed Map'!$A$34,SeedMap[],9,0),VLOOKUP('Table Seed Map'!$A$34,SeedMap[],9,0),0))</f>
        <v>2133176</v>
      </c>
      <c r="E78" s="96">
        <f>IFERROR(VLOOKUP(ResourceAction[[#This Row],[Resource Name]],ResourceTable[[RName]:[No]],3,0),"resource")</f>
        <v>2106120</v>
      </c>
      <c r="F78" s="96" t="s">
        <v>1655</v>
      </c>
      <c r="G78" s="96"/>
      <c r="H78" s="96"/>
      <c r="I78" s="96"/>
      <c r="J78" s="96" t="s">
        <v>911</v>
      </c>
      <c r="K78" s="95" t="str">
        <f>'Table Seed Map'!$A$35&amp;"-"&amp;(COUNTA($E$1:ResourceAction[[#This Row],[Resource]])-2)</f>
        <v>Action Method-76</v>
      </c>
      <c r="L78" s="96">
        <f>IF(ResourceAction[[#This Row],[No]]="id","id",-2+COUNTA($E$1:ResourceAction[[#This Row],[Resource]])+IF(ISNUMBER(VLOOKUP('Table Seed Map'!$A$35,SeedMap[],9,0)),VLOOKUP('Table Seed Map'!$A$35,SeedMap[],9,0),0))</f>
        <v>2134176</v>
      </c>
      <c r="M78" s="96">
        <f>IF(ResourceAction[[#This Row],[No]]="id","resource_action",ResourceAction[[#This Row],[No]])</f>
        <v>2133176</v>
      </c>
      <c r="N78" s="112" t="s">
        <v>122</v>
      </c>
      <c r="O78" s="109">
        <f ca="1">IF(ResourceAction[[#This Row],[Resource Name]]="","idn1",IF(ResourceAction[[#This Row],[IDN1]]="","",VLOOKUP(ResourceAction[[#This Row],[IDN1]],IDNMaps[[Display]:[ID]],2,0)))</f>
        <v>2123122</v>
      </c>
      <c r="P78" s="109" t="str">
        <f>IF(ResourceAction[[#This Row],[Resource Name]]="","idn2",IF(ResourceAction[[#This Row],[IDN2]]="","",VLOOKUP(ResourceAction[[#This Row],[IDN2]],IDNMaps[[Display]:[ID]],2,0)))</f>
        <v/>
      </c>
      <c r="Q78" s="109" t="str">
        <f>IF(ResourceAction[[#This Row],[Resource Name]]="","idn3",IF(ResourceAction[[#This Row],[IDN3]]="","",VLOOKUP(ResourceAction[[#This Row],[IDN3]],IDNMaps[[Display]:[ID]],2,0)))</f>
        <v/>
      </c>
      <c r="R78" s="109" t="str">
        <f>IF(ResourceAction[[#This Row],[Resource Name]]="","idn4",IF(ResourceAction[[#This Row],[IDN4]]="","",VLOOKUP(ResourceAction[[#This Row],[IDN4]],IDNMaps[[Display]:[ID]],2,0)))</f>
        <v/>
      </c>
      <c r="S78" s="109" t="str">
        <f>IF(ResourceAction[[#This Row],[Resource Name]]="","idn5",IF(ResourceAction[[#This Row],[IDN5]]="","",VLOOKUP(ResourceAction[[#This Row],[IDN5]],IDNMaps[[Display]:[ID]],2,0)))</f>
        <v/>
      </c>
      <c r="T78" s="110" t="s">
        <v>1658</v>
      </c>
      <c r="U78" s="110"/>
      <c r="V78" s="110"/>
      <c r="W78" s="110"/>
      <c r="X78" s="110"/>
      <c r="Y78" s="103">
        <f>[No]</f>
        <v>2133176</v>
      </c>
    </row>
    <row r="79" spans="1:38">
      <c r="A79" s="96" t="str">
        <f>'Table Seed Map'!$A$34&amp;"-"&amp;(COUNTA($E$1:ResourceAction[[#This Row],[Resource]])-2)</f>
        <v>Resource Actions-77</v>
      </c>
      <c r="B79" s="96" t="str">
        <f>ResourceAction[[#This Row],[Resource Name]]&amp;"/"&amp;ResourceAction[[#This Row],[Name]]</f>
        <v>Invoice/PaidInvoiceListAction</v>
      </c>
      <c r="C79" s="104" t="s">
        <v>897</v>
      </c>
      <c r="D79" s="96">
        <f>IF(ResourceAction[[#This Row],[Resource Name]]="","id",COUNTA($C$1:ResourceAction[[#This Row],[Resource Name]])-1+IF(VLOOKUP('Table Seed Map'!$A$34,SeedMap[],9,0),VLOOKUP('Table Seed Map'!$A$34,SeedMap[],9,0),0))</f>
        <v>2133177</v>
      </c>
      <c r="E79" s="96">
        <f>IFERROR(VLOOKUP(ResourceAction[[#This Row],[Resource Name]],ResourceTable[[RName]:[No]],3,0),"resource")</f>
        <v>2106121</v>
      </c>
      <c r="F79" s="96" t="s">
        <v>1841</v>
      </c>
      <c r="G79" s="96"/>
      <c r="H79" s="96"/>
      <c r="I79" s="96"/>
      <c r="J79" s="96" t="s">
        <v>1832</v>
      </c>
      <c r="K79" s="95" t="str">
        <f>'Table Seed Map'!$A$35&amp;"-"&amp;(COUNTA($E$1:ResourceAction[[#This Row],[Resource]])-2)</f>
        <v>Action Method-77</v>
      </c>
      <c r="L79" s="96">
        <f>IF(ResourceAction[[#This Row],[No]]="id","id",-2+COUNTA($E$1:ResourceAction[[#This Row],[Resource]])+IF(ISNUMBER(VLOOKUP('Table Seed Map'!$A$35,SeedMap[],9,0)),VLOOKUP('Table Seed Map'!$A$35,SeedMap[],9,0),0))</f>
        <v>2134177</v>
      </c>
      <c r="M79" s="96">
        <f>IF(ResourceAction[[#This Row],[No]]="id","resource_action",ResourceAction[[#This Row],[No]])</f>
        <v>2133177</v>
      </c>
      <c r="N79" s="112" t="s">
        <v>122</v>
      </c>
      <c r="O79" s="109">
        <f ca="1">IF(ResourceAction[[#This Row],[Resource Name]]="","idn1",IF(ResourceAction[[#This Row],[IDN1]]="","",VLOOKUP(ResourceAction[[#This Row],[IDN1]],IDNMaps[[Display]:[ID]],2,0)))</f>
        <v>2123128</v>
      </c>
      <c r="P79" s="109" t="str">
        <f>IF(ResourceAction[[#This Row],[Resource Name]]="","idn2",IF(ResourceAction[[#This Row],[IDN2]]="","",VLOOKUP(ResourceAction[[#This Row],[IDN2]],IDNMaps[[Display]:[ID]],2,0)))</f>
        <v/>
      </c>
      <c r="Q79" s="109" t="str">
        <f>IF(ResourceAction[[#This Row],[Resource Name]]="","idn3",IF(ResourceAction[[#This Row],[IDN3]]="","",VLOOKUP(ResourceAction[[#This Row],[IDN3]],IDNMaps[[Display]:[ID]],2,0)))</f>
        <v/>
      </c>
      <c r="R79" s="109" t="str">
        <f>IF(ResourceAction[[#This Row],[Resource Name]]="","idn4",IF(ResourceAction[[#This Row],[IDN4]]="","",VLOOKUP(ResourceAction[[#This Row],[IDN4]],IDNMaps[[Display]:[ID]],2,0)))</f>
        <v/>
      </c>
      <c r="S79" s="109" t="str">
        <f>IF(ResourceAction[[#This Row],[Resource Name]]="","idn5",IF(ResourceAction[[#This Row],[IDN5]]="","",VLOOKUP(ResourceAction[[#This Row],[IDN5]],IDNMaps[[Display]:[ID]],2,0)))</f>
        <v/>
      </c>
      <c r="T79" s="110" t="s">
        <v>1842</v>
      </c>
      <c r="U79" s="110"/>
      <c r="V79" s="110"/>
      <c r="W79" s="110"/>
      <c r="X79" s="110"/>
      <c r="Y79" s="103">
        <f>[No]</f>
        <v>2133177</v>
      </c>
    </row>
    <row r="80" spans="1:38">
      <c r="A80" s="96" t="str">
        <f>'Table Seed Map'!$A$34&amp;"-"&amp;(COUNTA($E$1:ResourceAction[[#This Row],[Resource]])-2)</f>
        <v>Resource Actions-78</v>
      </c>
      <c r="B80" s="96" t="str">
        <f>ResourceAction[[#This Row],[Resource Name]]&amp;"/"&amp;ResourceAction[[#This Row],[Name]]</f>
        <v>OrderItemService/OISAssignUsersAction</v>
      </c>
      <c r="C80" s="104" t="s">
        <v>789</v>
      </c>
      <c r="D80" s="96">
        <f>IF(ResourceAction[[#This Row],[Resource Name]]="","id",COUNTA($C$1:ResourceAction[[#This Row],[Resource Name]])-1+IF(VLOOKUP('Table Seed Map'!$A$34,SeedMap[],9,0),VLOOKUP('Table Seed Map'!$A$34,SeedMap[],9,0),0))</f>
        <v>2133178</v>
      </c>
      <c r="E80" s="96">
        <f>IFERROR(VLOOKUP(ResourceAction[[#This Row],[Resource Name]],ResourceTable[[RName]:[No]],3,0),"resource")</f>
        <v>2106120</v>
      </c>
      <c r="F80" s="96" t="s">
        <v>1843</v>
      </c>
      <c r="G80" s="96"/>
      <c r="H80" s="96" t="s">
        <v>1844</v>
      </c>
      <c r="I80" s="96"/>
      <c r="J80" s="96"/>
      <c r="K80" s="95" t="str">
        <f>'Table Seed Map'!$A$35&amp;"-"&amp;(COUNTA($E$1:ResourceAction[[#This Row],[Resource]])-2)</f>
        <v>Action Method-78</v>
      </c>
      <c r="L80" s="96">
        <f>IF(ResourceAction[[#This Row],[No]]="id","id",-2+COUNTA($E$1:ResourceAction[[#This Row],[Resource]])+IF(ISNUMBER(VLOOKUP('Table Seed Map'!$A$35,SeedMap[],9,0)),VLOOKUP('Table Seed Map'!$A$35,SeedMap[],9,0),0))</f>
        <v>2134178</v>
      </c>
      <c r="M80" s="96">
        <f>IF(ResourceAction[[#This Row],[No]]="id","resource_action",ResourceAction[[#This Row],[No]])</f>
        <v>2133178</v>
      </c>
      <c r="N80" s="112" t="s">
        <v>1602</v>
      </c>
      <c r="O80" s="109">
        <f ca="1">IF(ResourceAction[[#This Row],[Resource Name]]="","idn1",IF(ResourceAction[[#This Row],[IDN1]]="","",VLOOKUP(ResourceAction[[#This Row],[IDN1]],IDNMaps[[Display]:[ID]],2,0)))</f>
        <v>2109160</v>
      </c>
      <c r="P80" s="109">
        <f ca="1">IF(ResourceAction[[#This Row],[Resource Name]]="","idn2",IF(ResourceAction[[#This Row],[IDN2]]="","",VLOOKUP(ResourceAction[[#This Row],[IDN2]],IDNMaps[[Display]:[ID]],2,0)))</f>
        <v>2110119</v>
      </c>
      <c r="Q80" s="109">
        <f ca="1">IF(ResourceAction[[#This Row],[Resource Name]]="","idn3",IF(ResourceAction[[#This Row],[IDN3]]="","",VLOOKUP(ResourceAction[[#This Row],[IDN3]],IDNMaps[[Display]:[ID]],2,0)))</f>
        <v>2111161</v>
      </c>
      <c r="R80" s="109" t="str">
        <f>IF(ResourceAction[[#This Row],[Resource Name]]="","idn4",IF(ResourceAction[[#This Row],[IDN4]]="","",VLOOKUP(ResourceAction[[#This Row],[IDN4]],IDNMaps[[Display]:[ID]],2,0)))</f>
        <v/>
      </c>
      <c r="S80" s="109" t="str">
        <f>IF(ResourceAction[[#This Row],[Resource Name]]="","idn5",IF(ResourceAction[[#This Row],[IDN5]]="","",VLOOKUP(ResourceAction[[#This Row],[IDN5]],IDNMaps[[Display]:[ID]],2,0)))</f>
        <v/>
      </c>
      <c r="T80" s="110" t="s">
        <v>1675</v>
      </c>
      <c r="U80" s="110" t="s">
        <v>1845</v>
      </c>
      <c r="V80" s="110" t="s">
        <v>1847</v>
      </c>
      <c r="W80" s="110"/>
      <c r="X80" s="110"/>
      <c r="Y80" s="103">
        <f>[No]</f>
        <v>2133178</v>
      </c>
    </row>
    <row r="81" spans="1:25">
      <c r="A81" s="96" t="str">
        <f>'Table Seed Map'!$A$34&amp;"-"&amp;(COUNTA($E$1:ResourceAction[[#This Row],[Resource]])-2)</f>
        <v>Resource Actions-79</v>
      </c>
      <c r="B81" s="96" t="str">
        <f>ResourceAction[[#This Row],[Resource Name]]&amp;"/"&amp;ResourceAction[[#This Row],[Name]]</f>
        <v>HubShift/HubShiftUpdateAction</v>
      </c>
      <c r="C81" s="104" t="s">
        <v>792</v>
      </c>
      <c r="D81" s="96">
        <f>IF(ResourceAction[[#This Row],[Resource Name]]="","id",COUNTA($C$1:ResourceAction[[#This Row],[Resource Name]])-1+IF(VLOOKUP('Table Seed Map'!$A$34,SeedMap[],9,0),VLOOKUP('Table Seed Map'!$A$34,SeedMap[],9,0),0))</f>
        <v>2133179</v>
      </c>
      <c r="E81" s="96">
        <f>IFERROR(VLOOKUP(ResourceAction[[#This Row],[Resource Name]],ResourceTable[[RName]:[No]],3,0),"resource")</f>
        <v>2106127</v>
      </c>
      <c r="F81" s="96" t="s">
        <v>1868</v>
      </c>
      <c r="G81" s="96"/>
      <c r="H81" s="96" t="s">
        <v>1752</v>
      </c>
      <c r="I81" s="96"/>
      <c r="J81" s="96"/>
      <c r="K81" s="95" t="str">
        <f>'Table Seed Map'!$A$35&amp;"-"&amp;(COUNTA($E$1:ResourceAction[[#This Row],[Resource]])-2)</f>
        <v>Action Method-79</v>
      </c>
      <c r="L81" s="96">
        <f>IF(ResourceAction[[#This Row],[No]]="id","id",-2+COUNTA($E$1:ResourceAction[[#This Row],[Resource]])+IF(ISNUMBER(VLOOKUP('Table Seed Map'!$A$35,SeedMap[],9,0)),VLOOKUP('Table Seed Map'!$A$35,SeedMap[],9,0),0))</f>
        <v>2134179</v>
      </c>
      <c r="M81" s="96">
        <f>IF(ResourceAction[[#This Row],[No]]="id","resource_action",ResourceAction[[#This Row],[No]])</f>
        <v>2133179</v>
      </c>
      <c r="N81" s="112" t="s">
        <v>224</v>
      </c>
      <c r="O81" s="109">
        <f ca="1">IF(ResourceAction[[#This Row],[Resource Name]]="","idn1",IF(ResourceAction[[#This Row],[IDN1]]="","",VLOOKUP(ResourceAction[[#This Row],[IDN1]],IDNMaps[[Display]:[ID]],2,0)))</f>
        <v>2110123</v>
      </c>
      <c r="P81" s="109">
        <f ca="1">IF(ResourceAction[[#This Row],[Resource Name]]="","idn2",IF(ResourceAction[[#This Row],[IDN2]]="","",VLOOKUP(ResourceAction[[#This Row],[IDN2]],IDNMaps[[Display]:[ID]],2,0)))</f>
        <v>2128112</v>
      </c>
      <c r="Q81" s="109" t="str">
        <f>IF(ResourceAction[[#This Row],[Resource Name]]="","idn3",IF(ResourceAction[[#This Row],[IDN3]]="","",VLOOKUP(ResourceAction[[#This Row],[IDN3]],IDNMaps[[Display]:[ID]],2,0)))</f>
        <v/>
      </c>
      <c r="R81" s="109" t="str">
        <f>IF(ResourceAction[[#This Row],[Resource Name]]="","idn4",IF(ResourceAction[[#This Row],[IDN4]]="","",VLOOKUP(ResourceAction[[#This Row],[IDN4]],IDNMaps[[Display]:[ID]],2,0)))</f>
        <v/>
      </c>
      <c r="S81" s="109" t="str">
        <f>IF(ResourceAction[[#This Row],[Resource Name]]="","idn5",IF(ResourceAction[[#This Row],[IDN5]]="","",VLOOKUP(ResourceAction[[#This Row],[IDN5]],IDNMaps[[Display]:[ID]],2,0)))</f>
        <v/>
      </c>
      <c r="T81" s="110" t="s">
        <v>1312</v>
      </c>
      <c r="U81" s="110" t="s">
        <v>1869</v>
      </c>
      <c r="V81" s="110"/>
      <c r="W81" s="110"/>
      <c r="X81" s="110"/>
      <c r="Y81" s="103">
        <f>[No]</f>
        <v>2133179</v>
      </c>
    </row>
    <row r="82" spans="1:25">
      <c r="A82" s="96" t="str">
        <f>'Table Seed Map'!$A$34&amp;"-"&amp;(COUNTA($E$1:ResourceAction[[#This Row],[Resource]])-2)</f>
        <v>Resource Actions-80</v>
      </c>
      <c r="B82" s="96" t="str">
        <f>ResourceAction[[#This Row],[Resource Name]]&amp;"/"&amp;ResourceAction[[#This Row],[Name]]</f>
        <v>HubShift/ManageHubShiftItems</v>
      </c>
      <c r="C82" s="104" t="s">
        <v>792</v>
      </c>
      <c r="D82" s="96">
        <f>IF(ResourceAction[[#This Row],[Resource Name]]="","id",COUNTA($C$1:ResourceAction[[#This Row],[Resource Name]])-1+IF(VLOOKUP('Table Seed Map'!$A$34,SeedMap[],9,0),VLOOKUP('Table Seed Map'!$A$34,SeedMap[],9,0),0))</f>
        <v>2133180</v>
      </c>
      <c r="E82" s="96">
        <f>IFERROR(VLOOKUP(ResourceAction[[#This Row],[Resource Name]],ResourceTable[[RName]:[No]],3,0),"resource")</f>
        <v>2106127</v>
      </c>
      <c r="F82" s="96" t="s">
        <v>1877</v>
      </c>
      <c r="G82" s="96"/>
      <c r="H82" s="96" t="s">
        <v>1878</v>
      </c>
      <c r="I82" s="96"/>
      <c r="J82" s="96"/>
      <c r="K82" s="95" t="str">
        <f>'Table Seed Map'!$A$35&amp;"-"&amp;(COUNTA($E$1:ResourceAction[[#This Row],[Resource]])-2)</f>
        <v>Action Method-80</v>
      </c>
      <c r="L82" s="96">
        <f>IF(ResourceAction[[#This Row],[No]]="id","id",-2+COUNTA($E$1:ResourceAction[[#This Row],[Resource]])+IF(ISNUMBER(VLOOKUP('Table Seed Map'!$A$35,SeedMap[],9,0)),VLOOKUP('Table Seed Map'!$A$35,SeedMap[],9,0),0))</f>
        <v>2134180</v>
      </c>
      <c r="M82" s="96">
        <f>IF(ResourceAction[[#This Row],[No]]="id","resource_action",ResourceAction[[#This Row],[No]])</f>
        <v>2133180</v>
      </c>
      <c r="N82" s="112" t="s">
        <v>1496</v>
      </c>
      <c r="O82" s="109">
        <f ca="1">IF(ResourceAction[[#This Row],[Resource Name]]="","idn1",IF(ResourceAction[[#This Row],[IDN1]]="","",VLOOKUP(ResourceAction[[#This Row],[IDN1]],IDNMaps[[Display]:[ID]],2,0)))</f>
        <v>2109196</v>
      </c>
      <c r="P82" s="109">
        <f ca="1">IF(ResourceAction[[#This Row],[Resource Name]]="","idn2",IF(ResourceAction[[#This Row],[IDN2]]="","",VLOOKUP(ResourceAction[[#This Row],[IDN2]],IDNMaps[[Display]:[ID]],2,0)))</f>
        <v>2123144</v>
      </c>
      <c r="Q82" s="109" t="str">
        <f>IF(ResourceAction[[#This Row],[Resource Name]]="","idn3",IF(ResourceAction[[#This Row],[IDN3]]="","",VLOOKUP(ResourceAction[[#This Row],[IDN3]],IDNMaps[[Display]:[ID]],2,0)))</f>
        <v/>
      </c>
      <c r="R82" s="109" t="str">
        <f>IF(ResourceAction[[#This Row],[Resource Name]]="","idn4",IF(ResourceAction[[#This Row],[IDN4]]="","",VLOOKUP(ResourceAction[[#This Row],[IDN4]],IDNMaps[[Display]:[ID]],2,0)))</f>
        <v/>
      </c>
      <c r="S82" s="109" t="str">
        <f>IF(ResourceAction[[#This Row],[Resource Name]]="","idn5",IF(ResourceAction[[#This Row],[IDN5]]="","",VLOOKUP(ResourceAction[[#This Row],[IDN5]],IDNMaps[[Display]:[ID]],2,0)))</f>
        <v/>
      </c>
      <c r="T82" s="110" t="s">
        <v>1883</v>
      </c>
      <c r="U82" s="110" t="s">
        <v>2036</v>
      </c>
      <c r="V82" s="110"/>
      <c r="W82" s="110"/>
      <c r="X82" s="110"/>
      <c r="Y82" s="103">
        <f>[No]</f>
        <v>2133180</v>
      </c>
    </row>
    <row r="83" spans="1:25">
      <c r="A83" s="96" t="str">
        <f>'Table Seed Map'!$A$34&amp;"-"&amp;(COUNTA($E$1:ResourceAction[[#This Row],[Resource]])-2)</f>
        <v>Resource Actions-81</v>
      </c>
      <c r="B83" s="96" t="str">
        <f>ResourceAction[[#This Row],[Resource Name]]&amp;"/"&amp;ResourceAction[[#This Row],[Name]]</f>
        <v>Employee/ManageEmployeeJobTasks</v>
      </c>
      <c r="C83" s="104" t="s">
        <v>1343</v>
      </c>
      <c r="D83" s="96">
        <f>IF(ResourceAction[[#This Row],[Resource Name]]="","id",COUNTA($C$1:ResourceAction[[#This Row],[Resource Name]])-1+IF(VLOOKUP('Table Seed Map'!$A$34,SeedMap[],9,0),VLOOKUP('Table Seed Map'!$A$34,SeedMap[],9,0),0))</f>
        <v>2133181</v>
      </c>
      <c r="E83" s="96">
        <f>IFERROR(VLOOKUP(ResourceAction[[#This Row],[Resource Name]],ResourceTable[[RName]:[No]],3,0),"resource")</f>
        <v>2106104</v>
      </c>
      <c r="F83" s="96" t="s">
        <v>1887</v>
      </c>
      <c r="G83" s="96"/>
      <c r="H83" s="96" t="s">
        <v>1888</v>
      </c>
      <c r="I83" s="96"/>
      <c r="J83" s="96"/>
      <c r="K83" s="95" t="str">
        <f>'Table Seed Map'!$A$35&amp;"-"&amp;(COUNTA($E$1:ResourceAction[[#This Row],[Resource]])-2)</f>
        <v>Action Method-81</v>
      </c>
      <c r="L83" s="96">
        <f>IF(ResourceAction[[#This Row],[No]]="id","id",-2+COUNTA($E$1:ResourceAction[[#This Row],[Resource]])+IF(ISNUMBER(VLOOKUP('Table Seed Map'!$A$35,SeedMap[],9,0)),VLOOKUP('Table Seed Map'!$A$35,SeedMap[],9,0),0))</f>
        <v>2134181</v>
      </c>
      <c r="M83" s="96">
        <f>IF(ResourceAction[[#This Row],[No]]="id","resource_action",ResourceAction[[#This Row],[No]])</f>
        <v>2133181</v>
      </c>
      <c r="N83" s="112" t="s">
        <v>1496</v>
      </c>
      <c r="O83" s="109">
        <f ca="1">IF(ResourceAction[[#This Row],[Resource Name]]="","idn1",IF(ResourceAction[[#This Row],[IDN1]]="","",VLOOKUP(ResourceAction[[#This Row],[IDN1]],IDNMaps[[Display]:[ID]],2,0)))</f>
        <v>2109197</v>
      </c>
      <c r="P83" s="109">
        <f ca="1">IF(ResourceAction[[#This Row],[Resource Name]]="","idn2",IF(ResourceAction[[#This Row],[IDN2]]="","",VLOOKUP(ResourceAction[[#This Row],[IDN2]],IDNMaps[[Display]:[ID]],2,0)))</f>
        <v>2123142</v>
      </c>
      <c r="Q83" s="109" t="str">
        <f>IF(ResourceAction[[#This Row],[Resource Name]]="","idn3",IF(ResourceAction[[#This Row],[IDN3]]="","",VLOOKUP(ResourceAction[[#This Row],[IDN3]],IDNMaps[[Display]:[ID]],2,0)))</f>
        <v/>
      </c>
      <c r="R83" s="109" t="str">
        <f>IF(ResourceAction[[#This Row],[Resource Name]]="","idn4",IF(ResourceAction[[#This Row],[IDN4]]="","",VLOOKUP(ResourceAction[[#This Row],[IDN4]],IDNMaps[[Display]:[ID]],2,0)))</f>
        <v/>
      </c>
      <c r="S83" s="109" t="str">
        <f>IF(ResourceAction[[#This Row],[Resource Name]]="","idn5",IF(ResourceAction[[#This Row],[IDN5]]="","",VLOOKUP(ResourceAction[[#This Row],[IDN5]],IDNMaps[[Display]:[ID]],2,0)))</f>
        <v/>
      </c>
      <c r="T83" s="110" t="s">
        <v>1889</v>
      </c>
      <c r="U83" s="110" t="s">
        <v>2023</v>
      </c>
      <c r="V83" s="110"/>
      <c r="W83" s="110"/>
      <c r="X83" s="110"/>
      <c r="Y83" s="103">
        <f>[No]</f>
        <v>2133181</v>
      </c>
    </row>
    <row r="84" spans="1:25">
      <c r="A84" s="96" t="str">
        <f>'Table Seed Map'!$A$34&amp;"-"&amp;(COUNTA($E$1:ResourceAction[[#This Row],[Resource]])-2)</f>
        <v>Resource Actions-82</v>
      </c>
      <c r="B84" s="96" t="str">
        <f>ResourceAction[[#This Row],[Resource Name]]&amp;"/"&amp;ResourceAction[[#This Row],[Name]]</f>
        <v>OrderItemService/ManageServiceEmployees</v>
      </c>
      <c r="C84" s="104" t="s">
        <v>789</v>
      </c>
      <c r="D84" s="96">
        <f>IF(ResourceAction[[#This Row],[Resource Name]]="","id",COUNTA($C$1:ResourceAction[[#This Row],[Resource Name]])-1+IF(VLOOKUP('Table Seed Map'!$A$34,SeedMap[],9,0),VLOOKUP('Table Seed Map'!$A$34,SeedMap[],9,0),0))</f>
        <v>2133182</v>
      </c>
      <c r="E84" s="96">
        <f>IFERROR(VLOOKUP(ResourceAction[[#This Row],[Resource Name]],ResourceTable[[RName]:[No]],3,0),"resource")</f>
        <v>2106120</v>
      </c>
      <c r="F84" s="96" t="s">
        <v>1891</v>
      </c>
      <c r="G84" s="96"/>
      <c r="H84" s="96" t="s">
        <v>1892</v>
      </c>
      <c r="I84" s="96"/>
      <c r="J84" s="96"/>
      <c r="K84" s="95" t="str">
        <f>'Table Seed Map'!$A$35&amp;"-"&amp;(COUNTA($E$1:ResourceAction[[#This Row],[Resource]])-2)</f>
        <v>Action Method-82</v>
      </c>
      <c r="L84" s="96">
        <f>IF(ResourceAction[[#This Row],[No]]="id","id",-2+COUNTA($E$1:ResourceAction[[#This Row],[Resource]])+IF(ISNUMBER(VLOOKUP('Table Seed Map'!$A$35,SeedMap[],9,0)),VLOOKUP('Table Seed Map'!$A$35,SeedMap[],9,0),0))</f>
        <v>2134182</v>
      </c>
      <c r="M84" s="96">
        <f>IF(ResourceAction[[#This Row],[No]]="id","resource_action",ResourceAction[[#This Row],[No]])</f>
        <v>2133182</v>
      </c>
      <c r="N84" s="112" t="s">
        <v>1496</v>
      </c>
      <c r="O84" s="109">
        <f ca="1">IF(ResourceAction[[#This Row],[Resource Name]]="","idn1",IF(ResourceAction[[#This Row],[IDN1]]="","",VLOOKUP(ResourceAction[[#This Row],[IDN1]],IDNMaps[[Display]:[ID]],2,0)))</f>
        <v>2109189</v>
      </c>
      <c r="P84" s="109">
        <f ca="1">IF(ResourceAction[[#This Row],[Resource Name]]="","idn2",IF(ResourceAction[[#This Row],[IDN2]]="","",VLOOKUP(ResourceAction[[#This Row],[IDN2]],IDNMaps[[Display]:[ID]],2,0)))</f>
        <v>2123105</v>
      </c>
      <c r="Q84" s="109" t="str">
        <f>IF(ResourceAction[[#This Row],[Resource Name]]="","idn3",IF(ResourceAction[[#This Row],[IDN3]]="","",VLOOKUP(ResourceAction[[#This Row],[IDN3]],IDNMaps[[Display]:[ID]],2,0)))</f>
        <v/>
      </c>
      <c r="R84" s="109" t="str">
        <f>IF(ResourceAction[[#This Row],[Resource Name]]="","idn4",IF(ResourceAction[[#This Row],[IDN4]]="","",VLOOKUP(ResourceAction[[#This Row],[IDN4]],IDNMaps[[Display]:[ID]],2,0)))</f>
        <v/>
      </c>
      <c r="S84" s="109" t="str">
        <f>IF(ResourceAction[[#This Row],[Resource Name]]="","idn5",IF(ResourceAction[[#This Row],[IDN5]]="","",VLOOKUP(ResourceAction[[#This Row],[IDN5]],IDNMaps[[Display]:[ID]],2,0)))</f>
        <v/>
      </c>
      <c r="T84" s="110" t="s">
        <v>1893</v>
      </c>
      <c r="U84" s="110" t="s">
        <v>1425</v>
      </c>
      <c r="V84" s="110"/>
      <c r="W84" s="110"/>
      <c r="X84" s="110"/>
      <c r="Y84" s="103">
        <f>[No]</f>
        <v>2133182</v>
      </c>
    </row>
    <row r="85" spans="1:25">
      <c r="A85" s="96" t="str">
        <f>'Table Seed Map'!$A$34&amp;"-"&amp;(COUNTA($E$1:ResourceAction[[#This Row],[Resource]])-2)</f>
        <v>Resource Actions-83</v>
      </c>
      <c r="B85" s="96" t="str">
        <f>ResourceAction[[#This Row],[Resource Name]]&amp;"/"&amp;ResourceAction[[#This Row],[Name]]</f>
        <v>Order/OwnHubOrdersListAction</v>
      </c>
      <c r="C85" s="104" t="s">
        <v>787</v>
      </c>
      <c r="D85" s="96">
        <f>IF(ResourceAction[[#This Row],[Resource Name]]="","id",COUNTA($C$1:ResourceAction[[#This Row],[Resource Name]])-1+IF(VLOOKUP('Table Seed Map'!$A$34,SeedMap[],9,0),VLOOKUP('Table Seed Map'!$A$34,SeedMap[],9,0),0))</f>
        <v>2133183</v>
      </c>
      <c r="E85" s="96">
        <f>IFERROR(VLOOKUP(ResourceAction[[#This Row],[Resource Name]],ResourceTable[[RName]:[No]],3,0),"resource")</f>
        <v>2106118</v>
      </c>
      <c r="F85" s="96" t="s">
        <v>1901</v>
      </c>
      <c r="G85" s="96"/>
      <c r="H85" s="96"/>
      <c r="I85" s="96"/>
      <c r="J85" s="96" t="s">
        <v>909</v>
      </c>
      <c r="K85" s="95" t="str">
        <f>'Table Seed Map'!$A$35&amp;"-"&amp;(COUNTA($E$1:ResourceAction[[#This Row],[Resource]])-2)</f>
        <v>Action Method-83</v>
      </c>
      <c r="L85" s="96">
        <f>IF(ResourceAction[[#This Row],[No]]="id","id",-2+COUNTA($E$1:ResourceAction[[#This Row],[Resource]])+IF(ISNUMBER(VLOOKUP('Table Seed Map'!$A$35,SeedMap[],9,0)),VLOOKUP('Table Seed Map'!$A$35,SeedMap[],9,0),0))</f>
        <v>2134183</v>
      </c>
      <c r="M85" s="96">
        <f>IF(ResourceAction[[#This Row],[No]]="id","resource_action",ResourceAction[[#This Row],[No]])</f>
        <v>2133183</v>
      </c>
      <c r="N85" s="112" t="s">
        <v>122</v>
      </c>
      <c r="O85" s="109">
        <f ca="1">IF(ResourceAction[[#This Row],[Resource Name]]="","idn1",IF(ResourceAction[[#This Row],[IDN1]]="","",VLOOKUP(ResourceAction[[#This Row],[IDN1]],IDNMaps[[Display]:[ID]],2,0)))</f>
        <v>2123131</v>
      </c>
      <c r="P85" s="109" t="str">
        <f>IF(ResourceAction[[#This Row],[Resource Name]]="","idn2",IF(ResourceAction[[#This Row],[IDN2]]="","",VLOOKUP(ResourceAction[[#This Row],[IDN2]],IDNMaps[[Display]:[ID]],2,0)))</f>
        <v/>
      </c>
      <c r="Q85" s="109" t="str">
        <f>IF(ResourceAction[[#This Row],[Resource Name]]="","idn3",IF(ResourceAction[[#This Row],[IDN3]]="","",VLOOKUP(ResourceAction[[#This Row],[IDN3]],IDNMaps[[Display]:[ID]],2,0)))</f>
        <v/>
      </c>
      <c r="R85" s="109" t="str">
        <f>IF(ResourceAction[[#This Row],[Resource Name]]="","idn4",IF(ResourceAction[[#This Row],[IDN4]]="","",VLOOKUP(ResourceAction[[#This Row],[IDN4]],IDNMaps[[Display]:[ID]],2,0)))</f>
        <v/>
      </c>
      <c r="S85" s="109" t="str">
        <f>IF(ResourceAction[[#This Row],[Resource Name]]="","idn5",IF(ResourceAction[[#This Row],[IDN5]]="","",VLOOKUP(ResourceAction[[#This Row],[IDN5]],IDNMaps[[Display]:[ID]],2,0)))</f>
        <v/>
      </c>
      <c r="T85" s="110" t="s">
        <v>1902</v>
      </c>
      <c r="U85" s="110"/>
      <c r="V85" s="110"/>
      <c r="W85" s="110"/>
      <c r="X85" s="110"/>
      <c r="Y85" s="103">
        <f>[No]</f>
        <v>2133183</v>
      </c>
    </row>
    <row r="86" spans="1:25">
      <c r="A86" s="96" t="str">
        <f>'Table Seed Map'!$A$34&amp;"-"&amp;(COUNTA($E$1:ResourceAction[[#This Row],[Resource]])-2)</f>
        <v>Resource Actions-84</v>
      </c>
      <c r="B86" s="96" t="str">
        <f>ResourceAction[[#This Row],[Resource Name]]&amp;"/"&amp;ResourceAction[[#This Row],[Name]]</f>
        <v>OrderItemService/OwnHubOrderItemServices</v>
      </c>
      <c r="C86" s="104" t="s">
        <v>789</v>
      </c>
      <c r="D86" s="96">
        <f>IF(ResourceAction[[#This Row],[Resource Name]]="","id",COUNTA($C$1:ResourceAction[[#This Row],[Resource Name]])-1+IF(VLOOKUP('Table Seed Map'!$A$34,SeedMap[],9,0),VLOOKUP('Table Seed Map'!$A$34,SeedMap[],9,0),0))</f>
        <v>2133184</v>
      </c>
      <c r="E86" s="96">
        <f>IFERROR(VLOOKUP(ResourceAction[[#This Row],[Resource Name]],ResourceTable[[RName]:[No]],3,0),"resource")</f>
        <v>2106120</v>
      </c>
      <c r="F86" s="96" t="s">
        <v>1903</v>
      </c>
      <c r="G86" s="96"/>
      <c r="H86" s="96"/>
      <c r="I86" s="96"/>
      <c r="J86" s="96" t="s">
        <v>911</v>
      </c>
      <c r="K86" s="95" t="str">
        <f>'Table Seed Map'!$A$35&amp;"-"&amp;(COUNTA($E$1:ResourceAction[[#This Row],[Resource]])-2)</f>
        <v>Action Method-84</v>
      </c>
      <c r="L86" s="96">
        <f>IF(ResourceAction[[#This Row],[No]]="id","id",-2+COUNTA($E$1:ResourceAction[[#This Row],[Resource]])+IF(ISNUMBER(VLOOKUP('Table Seed Map'!$A$35,SeedMap[],9,0)),VLOOKUP('Table Seed Map'!$A$35,SeedMap[],9,0),0))</f>
        <v>2134184</v>
      </c>
      <c r="M86" s="96">
        <f>IF(ResourceAction[[#This Row],[No]]="id","resource_action",ResourceAction[[#This Row],[No]])</f>
        <v>2133184</v>
      </c>
      <c r="N86" s="112" t="s">
        <v>122</v>
      </c>
      <c r="O86" s="109">
        <f ca="1">IF(ResourceAction[[#This Row],[Resource Name]]="","idn1",IF(ResourceAction[[#This Row],[IDN1]]="","",VLOOKUP(ResourceAction[[#This Row],[IDN1]],IDNMaps[[Display]:[ID]],2,0)))</f>
        <v>2123132</v>
      </c>
      <c r="P86" s="109" t="str">
        <f>IF(ResourceAction[[#This Row],[Resource Name]]="","idn2",IF(ResourceAction[[#This Row],[IDN2]]="","",VLOOKUP(ResourceAction[[#This Row],[IDN2]],IDNMaps[[Display]:[ID]],2,0)))</f>
        <v/>
      </c>
      <c r="Q86" s="109" t="str">
        <f>IF(ResourceAction[[#This Row],[Resource Name]]="","idn3",IF(ResourceAction[[#This Row],[IDN3]]="","",VLOOKUP(ResourceAction[[#This Row],[IDN3]],IDNMaps[[Display]:[ID]],2,0)))</f>
        <v/>
      </c>
      <c r="R86" s="109" t="str">
        <f>IF(ResourceAction[[#This Row],[Resource Name]]="","idn4",IF(ResourceAction[[#This Row],[IDN4]]="","",VLOOKUP(ResourceAction[[#This Row],[IDN4]],IDNMaps[[Display]:[ID]],2,0)))</f>
        <v/>
      </c>
      <c r="S86" s="109" t="str">
        <f>IF(ResourceAction[[#This Row],[Resource Name]]="","idn5",IF(ResourceAction[[#This Row],[IDN5]]="","",VLOOKUP(ResourceAction[[#This Row],[IDN5]],IDNMaps[[Display]:[ID]],2,0)))</f>
        <v/>
      </c>
      <c r="T86" s="110" t="s">
        <v>1908</v>
      </c>
      <c r="U86" s="110"/>
      <c r="V86" s="110"/>
      <c r="W86" s="110"/>
      <c r="X86" s="110"/>
      <c r="Y86" s="103">
        <f>[No]</f>
        <v>2133184</v>
      </c>
    </row>
    <row r="87" spans="1:25">
      <c r="A87" s="96" t="str">
        <f>'Table Seed Map'!$A$34&amp;"-"&amp;(COUNTA($E$1:ResourceAction[[#This Row],[Resource]])-2)</f>
        <v>Resource Actions-85</v>
      </c>
      <c r="B87" s="96" t="str">
        <f>ResourceAction[[#This Row],[Resource Name]]&amp;"/"&amp;ResourceAction[[#This Row],[Name]]</f>
        <v>OrderItemServiceUser/JobsListAction</v>
      </c>
      <c r="C87" s="104" t="s">
        <v>790</v>
      </c>
      <c r="D87" s="96">
        <f>IF(ResourceAction[[#This Row],[Resource Name]]="","id",COUNTA($C$1:ResourceAction[[#This Row],[Resource Name]])-1+IF(VLOOKUP('Table Seed Map'!$A$34,SeedMap[],9,0),VLOOKUP('Table Seed Map'!$A$34,SeedMap[],9,0),0))</f>
        <v>2133185</v>
      </c>
      <c r="E87" s="96">
        <f>IFERROR(VLOOKUP(ResourceAction[[#This Row],[Resource Name]],ResourceTable[[RName]:[No]],3,0),"resource")</f>
        <v>2106123</v>
      </c>
      <c r="F87" s="96" t="s">
        <v>1909</v>
      </c>
      <c r="G87" s="96"/>
      <c r="H87" s="96"/>
      <c r="I87" s="96"/>
      <c r="J87" s="96" t="s">
        <v>2004</v>
      </c>
      <c r="K87" s="95" t="str">
        <f>'Table Seed Map'!$A$35&amp;"-"&amp;(COUNTA($E$1:ResourceAction[[#This Row],[Resource]])-2)</f>
        <v>Action Method-85</v>
      </c>
      <c r="L87" s="96">
        <f>IF(ResourceAction[[#This Row],[No]]="id","id",-2+COUNTA($E$1:ResourceAction[[#This Row],[Resource]])+IF(ISNUMBER(VLOOKUP('Table Seed Map'!$A$35,SeedMap[],9,0)),VLOOKUP('Table Seed Map'!$A$35,SeedMap[],9,0),0))</f>
        <v>2134185</v>
      </c>
      <c r="M87" s="96">
        <f>IF(ResourceAction[[#This Row],[No]]="id","resource_action",ResourceAction[[#This Row],[No]])</f>
        <v>2133185</v>
      </c>
      <c r="N87" s="112" t="s">
        <v>122</v>
      </c>
      <c r="O87" s="109">
        <f ca="1">IF(ResourceAction[[#This Row],[Resource Name]]="","idn1",IF(ResourceAction[[#This Row],[IDN1]]="","",VLOOKUP(ResourceAction[[#This Row],[IDN1]],IDNMaps[[Display]:[ID]],2,0)))</f>
        <v>2123133</v>
      </c>
      <c r="P87" s="109" t="str">
        <f>IF(ResourceAction[[#This Row],[Resource Name]]="","idn2",IF(ResourceAction[[#This Row],[IDN2]]="","",VLOOKUP(ResourceAction[[#This Row],[IDN2]],IDNMaps[[Display]:[ID]],2,0)))</f>
        <v/>
      </c>
      <c r="Q87" s="109" t="str">
        <f>IF(ResourceAction[[#This Row],[Resource Name]]="","idn3",IF(ResourceAction[[#This Row],[IDN3]]="","",VLOOKUP(ResourceAction[[#This Row],[IDN3]],IDNMaps[[Display]:[ID]],2,0)))</f>
        <v/>
      </c>
      <c r="R87" s="109" t="str">
        <f>IF(ResourceAction[[#This Row],[Resource Name]]="","idn4",IF(ResourceAction[[#This Row],[IDN4]]="","",VLOOKUP(ResourceAction[[#This Row],[IDN4]],IDNMaps[[Display]:[ID]],2,0)))</f>
        <v/>
      </c>
      <c r="S87" s="109" t="str">
        <f>IF(ResourceAction[[#This Row],[Resource Name]]="","idn5",IF(ResourceAction[[#This Row],[IDN5]]="","",VLOOKUP(ResourceAction[[#This Row],[IDN5]],IDNMaps[[Display]:[ID]],2,0)))</f>
        <v/>
      </c>
      <c r="T87" s="110" t="s">
        <v>1922</v>
      </c>
      <c r="U87" s="110"/>
      <c r="V87" s="110"/>
      <c r="W87" s="110"/>
      <c r="X87" s="110"/>
      <c r="Y87" s="103">
        <f>[No]</f>
        <v>2133185</v>
      </c>
    </row>
    <row r="88" spans="1:25">
      <c r="A88" s="96" t="str">
        <f>'Table Seed Map'!$A$34&amp;"-"&amp;(COUNTA($E$1:ResourceAction[[#This Row],[Resource]])-2)</f>
        <v>Resource Actions-86</v>
      </c>
      <c r="B88" s="96" t="str">
        <f>ResourceAction[[#This Row],[Resource Name]]&amp;"/"&amp;ResourceAction[[#This Row],[Name]]</f>
        <v>OrderItemServiceUser/OwnJobsListAction</v>
      </c>
      <c r="C88" s="104" t="s">
        <v>790</v>
      </c>
      <c r="D88" s="96">
        <f>IF(ResourceAction[[#This Row],[Resource Name]]="","id",COUNTA($C$1:ResourceAction[[#This Row],[Resource Name]])-1+IF(VLOOKUP('Table Seed Map'!$A$34,SeedMap[],9,0),VLOOKUP('Table Seed Map'!$A$34,SeedMap[],9,0),0))</f>
        <v>2133186</v>
      </c>
      <c r="E88" s="96">
        <f>IFERROR(VLOOKUP(ResourceAction[[#This Row],[Resource Name]],ResourceTable[[RName]:[No]],3,0),"resource")</f>
        <v>2106123</v>
      </c>
      <c r="F88" s="96" t="s">
        <v>1923</v>
      </c>
      <c r="G88" s="96"/>
      <c r="H88" s="96"/>
      <c r="I88" s="96"/>
      <c r="J88" s="96" t="s">
        <v>2005</v>
      </c>
      <c r="K88" s="95" t="str">
        <f>'Table Seed Map'!$A$35&amp;"-"&amp;(COUNTA($E$1:ResourceAction[[#This Row],[Resource]])-2)</f>
        <v>Action Method-86</v>
      </c>
      <c r="L88" s="96">
        <f>IF(ResourceAction[[#This Row],[No]]="id","id",-2+COUNTA($E$1:ResourceAction[[#This Row],[Resource]])+IF(ISNUMBER(VLOOKUP('Table Seed Map'!$A$35,SeedMap[],9,0)),VLOOKUP('Table Seed Map'!$A$35,SeedMap[],9,0),0))</f>
        <v>2134186</v>
      </c>
      <c r="M88" s="96">
        <f>IF(ResourceAction[[#This Row],[No]]="id","resource_action",ResourceAction[[#This Row],[No]])</f>
        <v>2133186</v>
      </c>
      <c r="N88" s="112" t="s">
        <v>122</v>
      </c>
      <c r="O88" s="109">
        <f ca="1">IF(ResourceAction[[#This Row],[Resource Name]]="","idn1",IF(ResourceAction[[#This Row],[IDN1]]="","",VLOOKUP(ResourceAction[[#This Row],[IDN1]],IDNMaps[[Display]:[ID]],2,0)))</f>
        <v>2123134</v>
      </c>
      <c r="P88" s="109" t="str">
        <f>IF(ResourceAction[[#This Row],[Resource Name]]="","idn2",IF(ResourceAction[[#This Row],[IDN2]]="","",VLOOKUP(ResourceAction[[#This Row],[IDN2]],IDNMaps[[Display]:[ID]],2,0)))</f>
        <v/>
      </c>
      <c r="Q88" s="109" t="str">
        <f>IF(ResourceAction[[#This Row],[Resource Name]]="","idn3",IF(ResourceAction[[#This Row],[IDN3]]="","",VLOOKUP(ResourceAction[[#This Row],[IDN3]],IDNMaps[[Display]:[ID]],2,0)))</f>
        <v/>
      </c>
      <c r="R88" s="109" t="str">
        <f>IF(ResourceAction[[#This Row],[Resource Name]]="","idn4",IF(ResourceAction[[#This Row],[IDN4]]="","",VLOOKUP(ResourceAction[[#This Row],[IDN4]],IDNMaps[[Display]:[ID]],2,0)))</f>
        <v/>
      </c>
      <c r="S88" s="109" t="str">
        <f>IF(ResourceAction[[#This Row],[Resource Name]]="","idn5",IF(ResourceAction[[#This Row],[IDN5]]="","",VLOOKUP(ResourceAction[[#This Row],[IDN5]],IDNMaps[[Display]:[ID]],2,0)))</f>
        <v/>
      </c>
      <c r="T88" s="110" t="s">
        <v>1964</v>
      </c>
      <c r="U88" s="110"/>
      <c r="V88" s="110"/>
      <c r="W88" s="110"/>
      <c r="X88" s="110"/>
      <c r="Y88" s="103">
        <f>[No]</f>
        <v>2133186</v>
      </c>
    </row>
    <row r="89" spans="1:25">
      <c r="A89" s="38" t="str">
        <f>'Table Seed Map'!$A$34&amp;"-"&amp;(COUNTA($E$1:ResourceAction[[#This Row],[Resource]])-2)</f>
        <v>Resource Actions-87</v>
      </c>
      <c r="B89" s="38" t="str">
        <f>ResourceAction[[#This Row],[Resource Name]]&amp;"/"&amp;ResourceAction[[#This Row],[Name]]</f>
        <v>OrderItemServiceUser/NewJobsListAction</v>
      </c>
      <c r="C89" s="104" t="s">
        <v>790</v>
      </c>
      <c r="D89" s="38">
        <f>IF(ResourceAction[[#This Row],[Resource Name]]="","id",COUNTA($C$1:ResourceAction[[#This Row],[Resource Name]])-1+IF(VLOOKUP('Table Seed Map'!$A$34,SeedMap[],9,0),VLOOKUP('Table Seed Map'!$A$34,SeedMap[],9,0),0))</f>
        <v>2133187</v>
      </c>
      <c r="E89" s="38">
        <f>IFERROR(VLOOKUP(ResourceAction[[#This Row],[Resource Name]],ResourceTable[[RName]:[No]],3,0),"resource")</f>
        <v>2106123</v>
      </c>
      <c r="F89" s="38" t="s">
        <v>1939</v>
      </c>
      <c r="G89" s="38"/>
      <c r="H89" s="38"/>
      <c r="I89" s="38"/>
      <c r="J89" s="38" t="s">
        <v>1940</v>
      </c>
      <c r="K89" s="80" t="str">
        <f>'Table Seed Map'!$A$35&amp;"-"&amp;(COUNTA($E$1:ResourceAction[[#This Row],[Resource]])-2)</f>
        <v>Action Method-87</v>
      </c>
      <c r="L89" s="38">
        <f>IF(ResourceAction[[#This Row],[No]]="id","id",-2+COUNTA($E$1:ResourceAction[[#This Row],[Resource]])+IF(ISNUMBER(VLOOKUP('Table Seed Map'!$A$35,SeedMap[],9,0)),VLOOKUP('Table Seed Map'!$A$35,SeedMap[],9,0),0))</f>
        <v>2134187</v>
      </c>
      <c r="M89" s="38">
        <f>IF(ResourceAction[[#This Row],[No]]="id","resource_action",ResourceAction[[#This Row],[No]])</f>
        <v>2133187</v>
      </c>
      <c r="N89" s="112" t="s">
        <v>122</v>
      </c>
      <c r="O89" s="92">
        <f ca="1">IF(ResourceAction[[#This Row],[Resource Name]]="","idn1",IF(ResourceAction[[#This Row],[IDN1]]="","",VLOOKUP(ResourceAction[[#This Row],[IDN1]],IDNMaps[[Display]:[ID]],2,0)))</f>
        <v>2123135</v>
      </c>
      <c r="P89" s="92" t="str">
        <f>IF(ResourceAction[[#This Row],[Resource Name]]="","idn2",IF(ResourceAction[[#This Row],[IDN2]]="","",VLOOKUP(ResourceAction[[#This Row],[IDN2]],IDNMaps[[Display]:[ID]],2,0)))</f>
        <v/>
      </c>
      <c r="Q89" s="92" t="str">
        <f>IF(ResourceAction[[#This Row],[Resource Name]]="","idn3",IF(ResourceAction[[#This Row],[IDN3]]="","",VLOOKUP(ResourceAction[[#This Row],[IDN3]],IDNMaps[[Display]:[ID]],2,0)))</f>
        <v/>
      </c>
      <c r="R89" s="92" t="str">
        <f>IF(ResourceAction[[#This Row],[Resource Name]]="","idn4",IF(ResourceAction[[#This Row],[IDN4]]="","",VLOOKUP(ResourceAction[[#This Row],[IDN4]],IDNMaps[[Display]:[ID]],2,0)))</f>
        <v/>
      </c>
      <c r="S89" s="92" t="str">
        <f>IF(ResourceAction[[#This Row],[Resource Name]]="","idn5",IF(ResourceAction[[#This Row],[IDN5]]="","",VLOOKUP(ResourceAction[[#This Row],[IDN5]],IDNMaps[[Display]:[ID]],2,0)))</f>
        <v/>
      </c>
      <c r="T89" s="110" t="s">
        <v>1977</v>
      </c>
      <c r="U89" s="93"/>
      <c r="V89" s="93"/>
      <c r="W89" s="93"/>
      <c r="X89" s="93"/>
      <c r="Y89" s="55">
        <f>[No]</f>
        <v>2133187</v>
      </c>
    </row>
    <row r="90" spans="1:25">
      <c r="A90" s="38" t="str">
        <f>'Table Seed Map'!$A$34&amp;"-"&amp;(COUNTA($E$1:ResourceAction[[#This Row],[Resource]])-2)</f>
        <v>Resource Actions-88</v>
      </c>
      <c r="B90" s="38" t="str">
        <f>ResourceAction[[#This Row],[Resource Name]]&amp;"/"&amp;ResourceAction[[#This Row],[Name]]</f>
        <v>OrderItemServiceUser/ServicingJobsListAction</v>
      </c>
      <c r="C90" s="104" t="s">
        <v>790</v>
      </c>
      <c r="D90" s="38">
        <f>IF(ResourceAction[[#This Row],[Resource Name]]="","id",COUNTA($C$1:ResourceAction[[#This Row],[Resource Name]])-1+IF(VLOOKUP('Table Seed Map'!$A$34,SeedMap[],9,0),VLOOKUP('Table Seed Map'!$A$34,SeedMap[],9,0),0))</f>
        <v>2133188</v>
      </c>
      <c r="E90" s="38">
        <f>IFERROR(VLOOKUP(ResourceAction[[#This Row],[Resource Name]],ResourceTable[[RName]:[No]],3,0),"resource")</f>
        <v>2106123</v>
      </c>
      <c r="F90" s="38" t="s">
        <v>1941</v>
      </c>
      <c r="G90" s="38"/>
      <c r="H90" s="38"/>
      <c r="I90" s="38"/>
      <c r="J90" s="38" t="s">
        <v>1958</v>
      </c>
      <c r="K90" s="80" t="str">
        <f>'Table Seed Map'!$A$35&amp;"-"&amp;(COUNTA($E$1:ResourceAction[[#This Row],[Resource]])-2)</f>
        <v>Action Method-88</v>
      </c>
      <c r="L90" s="38">
        <f>IF(ResourceAction[[#This Row],[No]]="id","id",-2+COUNTA($E$1:ResourceAction[[#This Row],[Resource]])+IF(ISNUMBER(VLOOKUP('Table Seed Map'!$A$35,SeedMap[],9,0)),VLOOKUP('Table Seed Map'!$A$35,SeedMap[],9,0),0))</f>
        <v>2134188</v>
      </c>
      <c r="M90" s="38">
        <f>IF(ResourceAction[[#This Row],[No]]="id","resource_action",ResourceAction[[#This Row],[No]])</f>
        <v>2133188</v>
      </c>
      <c r="N90" s="112" t="s">
        <v>122</v>
      </c>
      <c r="O90" s="92">
        <f ca="1">IF(ResourceAction[[#This Row],[Resource Name]]="","idn1",IF(ResourceAction[[#This Row],[IDN1]]="","",VLOOKUP(ResourceAction[[#This Row],[IDN1]],IDNMaps[[Display]:[ID]],2,0)))</f>
        <v>2123136</v>
      </c>
      <c r="P90" s="92" t="str">
        <f>IF(ResourceAction[[#This Row],[Resource Name]]="","idn2",IF(ResourceAction[[#This Row],[IDN2]]="","",VLOOKUP(ResourceAction[[#This Row],[IDN2]],IDNMaps[[Display]:[ID]],2,0)))</f>
        <v/>
      </c>
      <c r="Q90" s="92" t="str">
        <f>IF(ResourceAction[[#This Row],[Resource Name]]="","idn3",IF(ResourceAction[[#This Row],[IDN3]]="","",VLOOKUP(ResourceAction[[#This Row],[IDN3]],IDNMaps[[Display]:[ID]],2,0)))</f>
        <v/>
      </c>
      <c r="R90" s="92" t="str">
        <f>IF(ResourceAction[[#This Row],[Resource Name]]="","idn4",IF(ResourceAction[[#This Row],[IDN4]]="","",VLOOKUP(ResourceAction[[#This Row],[IDN4]],IDNMaps[[Display]:[ID]],2,0)))</f>
        <v/>
      </c>
      <c r="S90" s="92" t="str">
        <f>IF(ResourceAction[[#This Row],[Resource Name]]="","idn5",IF(ResourceAction[[#This Row],[IDN5]]="","",VLOOKUP(ResourceAction[[#This Row],[IDN5]],IDNMaps[[Display]:[ID]],2,0)))</f>
        <v/>
      </c>
      <c r="T90" s="110" t="s">
        <v>1978</v>
      </c>
      <c r="U90" s="93"/>
      <c r="V90" s="93"/>
      <c r="W90" s="93"/>
      <c r="X90" s="93"/>
      <c r="Y90" s="55">
        <f>[No]</f>
        <v>2133188</v>
      </c>
    </row>
    <row r="91" spans="1:25">
      <c r="A91" s="38" t="str">
        <f>'Table Seed Map'!$A$34&amp;"-"&amp;(COUNTA($E$1:ResourceAction[[#This Row],[Resource]])-2)</f>
        <v>Resource Actions-89</v>
      </c>
      <c r="B91" s="38" t="str">
        <f>ResourceAction[[#This Row],[Resource Name]]&amp;"/"&amp;ResourceAction[[#This Row],[Name]]</f>
        <v>OrderItemServiceUser/CompletedJobsListAction</v>
      </c>
      <c r="C91" s="104" t="s">
        <v>790</v>
      </c>
      <c r="D91" s="38">
        <f>IF(ResourceAction[[#This Row],[Resource Name]]="","id",COUNTA($C$1:ResourceAction[[#This Row],[Resource Name]])-1+IF(VLOOKUP('Table Seed Map'!$A$34,SeedMap[],9,0),VLOOKUP('Table Seed Map'!$A$34,SeedMap[],9,0),0))</f>
        <v>2133189</v>
      </c>
      <c r="E91" s="38">
        <f>IFERROR(VLOOKUP(ResourceAction[[#This Row],[Resource Name]],ResourceTable[[RName]:[No]],3,0),"resource")</f>
        <v>2106123</v>
      </c>
      <c r="F91" s="38" t="s">
        <v>1943</v>
      </c>
      <c r="G91" s="38"/>
      <c r="H91" s="38"/>
      <c r="I91" s="38"/>
      <c r="J91" s="38" t="s">
        <v>1944</v>
      </c>
      <c r="K91" s="80" t="str">
        <f>'Table Seed Map'!$A$35&amp;"-"&amp;(COUNTA($E$1:ResourceAction[[#This Row],[Resource]])-2)</f>
        <v>Action Method-89</v>
      </c>
      <c r="L91" s="38">
        <f>IF(ResourceAction[[#This Row],[No]]="id","id",-2+COUNTA($E$1:ResourceAction[[#This Row],[Resource]])+IF(ISNUMBER(VLOOKUP('Table Seed Map'!$A$35,SeedMap[],9,0)),VLOOKUP('Table Seed Map'!$A$35,SeedMap[],9,0),0))</f>
        <v>2134189</v>
      </c>
      <c r="M91" s="38">
        <f>IF(ResourceAction[[#This Row],[No]]="id","resource_action",ResourceAction[[#This Row],[No]])</f>
        <v>2133189</v>
      </c>
      <c r="N91" s="112" t="s">
        <v>122</v>
      </c>
      <c r="O91" s="92">
        <f ca="1">IF(ResourceAction[[#This Row],[Resource Name]]="","idn1",IF(ResourceAction[[#This Row],[IDN1]]="","",VLOOKUP(ResourceAction[[#This Row],[IDN1]],IDNMaps[[Display]:[ID]],2,0)))</f>
        <v>2123137</v>
      </c>
      <c r="P91" s="92" t="str">
        <f>IF(ResourceAction[[#This Row],[Resource Name]]="","idn2",IF(ResourceAction[[#This Row],[IDN2]]="","",VLOOKUP(ResourceAction[[#This Row],[IDN2]],IDNMaps[[Display]:[ID]],2,0)))</f>
        <v/>
      </c>
      <c r="Q91" s="92" t="str">
        <f>IF(ResourceAction[[#This Row],[Resource Name]]="","idn3",IF(ResourceAction[[#This Row],[IDN3]]="","",VLOOKUP(ResourceAction[[#This Row],[IDN3]],IDNMaps[[Display]:[ID]],2,0)))</f>
        <v/>
      </c>
      <c r="R91" s="92" t="str">
        <f>IF(ResourceAction[[#This Row],[Resource Name]]="","idn4",IF(ResourceAction[[#This Row],[IDN4]]="","",VLOOKUP(ResourceAction[[#This Row],[IDN4]],IDNMaps[[Display]:[ID]],2,0)))</f>
        <v/>
      </c>
      <c r="S91" s="92" t="str">
        <f>IF(ResourceAction[[#This Row],[Resource Name]]="","idn5",IF(ResourceAction[[#This Row],[IDN5]]="","",VLOOKUP(ResourceAction[[#This Row],[IDN5]],IDNMaps[[Display]:[ID]],2,0)))</f>
        <v/>
      </c>
      <c r="T91" s="110" t="s">
        <v>1979</v>
      </c>
      <c r="U91" s="93"/>
      <c r="V91" s="93"/>
      <c r="W91" s="93"/>
      <c r="X91" s="93"/>
      <c r="Y91" s="55">
        <f>[No]</f>
        <v>2133189</v>
      </c>
    </row>
    <row r="92" spans="1:25">
      <c r="A92" s="38" t="str">
        <f>'Table Seed Map'!$A$34&amp;"-"&amp;(COUNTA($E$1:ResourceAction[[#This Row],[Resource]])-2)</f>
        <v>Resource Actions-90</v>
      </c>
      <c r="B92" s="38" t="str">
        <f>ResourceAction[[#This Row],[Resource Name]]&amp;"/"&amp;ResourceAction[[#This Row],[Name]]</f>
        <v>OrderItemServiceUser/OwnNewJobsListAction</v>
      </c>
      <c r="C92" s="104" t="s">
        <v>790</v>
      </c>
      <c r="D92" s="38">
        <f>IF(ResourceAction[[#This Row],[Resource Name]]="","id",COUNTA($C$1:ResourceAction[[#This Row],[Resource Name]])-1+IF(VLOOKUP('Table Seed Map'!$A$34,SeedMap[],9,0),VLOOKUP('Table Seed Map'!$A$34,SeedMap[],9,0),0))</f>
        <v>2133190</v>
      </c>
      <c r="E92" s="38">
        <f>IFERROR(VLOOKUP(ResourceAction[[#This Row],[Resource Name]],ResourceTable[[RName]:[No]],3,0),"resource")</f>
        <v>2106123</v>
      </c>
      <c r="F92" s="38" t="s">
        <v>1974</v>
      </c>
      <c r="G92" s="38"/>
      <c r="H92" s="38"/>
      <c r="I92" s="38"/>
      <c r="J92" s="38" t="s">
        <v>1954</v>
      </c>
      <c r="K92" s="80" t="str">
        <f>'Table Seed Map'!$A$35&amp;"-"&amp;(COUNTA($E$1:ResourceAction[[#This Row],[Resource]])-2)</f>
        <v>Action Method-90</v>
      </c>
      <c r="L92" s="38">
        <f>IF(ResourceAction[[#This Row],[No]]="id","id",-2+COUNTA($E$1:ResourceAction[[#This Row],[Resource]])+IF(ISNUMBER(VLOOKUP('Table Seed Map'!$A$35,SeedMap[],9,0)),VLOOKUP('Table Seed Map'!$A$35,SeedMap[],9,0),0))</f>
        <v>2134190</v>
      </c>
      <c r="M92" s="38">
        <f>IF(ResourceAction[[#This Row],[No]]="id","resource_action",ResourceAction[[#This Row],[No]])</f>
        <v>2133190</v>
      </c>
      <c r="N92" s="112" t="s">
        <v>122</v>
      </c>
      <c r="O92" s="92">
        <f ca="1">IF(ResourceAction[[#This Row],[Resource Name]]="","idn1",IF(ResourceAction[[#This Row],[IDN1]]="","",VLOOKUP(ResourceAction[[#This Row],[IDN1]],IDNMaps[[Display]:[ID]],2,0)))</f>
        <v>2123138</v>
      </c>
      <c r="P92" s="92" t="str">
        <f>IF(ResourceAction[[#This Row],[Resource Name]]="","idn2",IF(ResourceAction[[#This Row],[IDN2]]="","",VLOOKUP(ResourceAction[[#This Row],[IDN2]],IDNMaps[[Display]:[ID]],2,0)))</f>
        <v/>
      </c>
      <c r="Q92" s="92" t="str">
        <f>IF(ResourceAction[[#This Row],[Resource Name]]="","idn3",IF(ResourceAction[[#This Row],[IDN3]]="","",VLOOKUP(ResourceAction[[#This Row],[IDN3]],IDNMaps[[Display]:[ID]],2,0)))</f>
        <v/>
      </c>
      <c r="R92" s="92" t="str">
        <f>IF(ResourceAction[[#This Row],[Resource Name]]="","idn4",IF(ResourceAction[[#This Row],[IDN4]]="","",VLOOKUP(ResourceAction[[#This Row],[IDN4]],IDNMaps[[Display]:[ID]],2,0)))</f>
        <v/>
      </c>
      <c r="S92" s="92" t="str">
        <f>IF(ResourceAction[[#This Row],[Resource Name]]="","idn5",IF(ResourceAction[[#This Row],[IDN5]]="","",VLOOKUP(ResourceAction[[#This Row],[IDN5]],IDNMaps[[Display]:[ID]],2,0)))</f>
        <v/>
      </c>
      <c r="T92" s="110" t="s">
        <v>1965</v>
      </c>
      <c r="U92" s="93"/>
      <c r="V92" s="93"/>
      <c r="W92" s="93"/>
      <c r="X92" s="93"/>
      <c r="Y92" s="55">
        <f>[No]</f>
        <v>2133190</v>
      </c>
    </row>
    <row r="93" spans="1:25">
      <c r="A93" s="38" t="str">
        <f>'Table Seed Map'!$A$34&amp;"-"&amp;(COUNTA($E$1:ResourceAction[[#This Row],[Resource]])-2)</f>
        <v>Resource Actions-91</v>
      </c>
      <c r="B93" s="38" t="str">
        <f>ResourceAction[[#This Row],[Resource Name]]&amp;"/"&amp;ResourceAction[[#This Row],[Name]]</f>
        <v>OrderItemServiceUser/OwnServicingJobsListAction</v>
      </c>
      <c r="C93" s="104" t="s">
        <v>790</v>
      </c>
      <c r="D93" s="38">
        <f>IF(ResourceAction[[#This Row],[Resource Name]]="","id",COUNTA($C$1:ResourceAction[[#This Row],[Resource Name]])-1+IF(VLOOKUP('Table Seed Map'!$A$34,SeedMap[],9,0),VLOOKUP('Table Seed Map'!$A$34,SeedMap[],9,0),0))</f>
        <v>2133191</v>
      </c>
      <c r="E93" s="38">
        <f>IFERROR(VLOOKUP(ResourceAction[[#This Row],[Resource Name]],ResourceTable[[RName]:[No]],3,0),"resource")</f>
        <v>2106123</v>
      </c>
      <c r="F93" s="38" t="s">
        <v>1975</v>
      </c>
      <c r="G93" s="38"/>
      <c r="H93" s="38"/>
      <c r="I93" s="38"/>
      <c r="J93" s="38" t="s">
        <v>1955</v>
      </c>
      <c r="K93" s="80" t="str">
        <f>'Table Seed Map'!$A$35&amp;"-"&amp;(COUNTA($E$1:ResourceAction[[#This Row],[Resource]])-2)</f>
        <v>Action Method-91</v>
      </c>
      <c r="L93" s="38">
        <f>IF(ResourceAction[[#This Row],[No]]="id","id",-2+COUNTA($E$1:ResourceAction[[#This Row],[Resource]])+IF(ISNUMBER(VLOOKUP('Table Seed Map'!$A$35,SeedMap[],9,0)),VLOOKUP('Table Seed Map'!$A$35,SeedMap[],9,0),0))</f>
        <v>2134191</v>
      </c>
      <c r="M93" s="38">
        <f>IF(ResourceAction[[#This Row],[No]]="id","resource_action",ResourceAction[[#This Row],[No]])</f>
        <v>2133191</v>
      </c>
      <c r="N93" s="112" t="s">
        <v>122</v>
      </c>
      <c r="O93" s="92">
        <f ca="1">IF(ResourceAction[[#This Row],[Resource Name]]="","idn1",IF(ResourceAction[[#This Row],[IDN1]]="","",VLOOKUP(ResourceAction[[#This Row],[IDN1]],IDNMaps[[Display]:[ID]],2,0)))</f>
        <v>2123139</v>
      </c>
      <c r="P93" s="92" t="str">
        <f>IF(ResourceAction[[#This Row],[Resource Name]]="","idn2",IF(ResourceAction[[#This Row],[IDN2]]="","",VLOOKUP(ResourceAction[[#This Row],[IDN2]],IDNMaps[[Display]:[ID]],2,0)))</f>
        <v/>
      </c>
      <c r="Q93" s="92" t="str">
        <f>IF(ResourceAction[[#This Row],[Resource Name]]="","idn3",IF(ResourceAction[[#This Row],[IDN3]]="","",VLOOKUP(ResourceAction[[#This Row],[IDN3]],IDNMaps[[Display]:[ID]],2,0)))</f>
        <v/>
      </c>
      <c r="R93" s="92" t="str">
        <f>IF(ResourceAction[[#This Row],[Resource Name]]="","idn4",IF(ResourceAction[[#This Row],[IDN4]]="","",VLOOKUP(ResourceAction[[#This Row],[IDN4]],IDNMaps[[Display]:[ID]],2,0)))</f>
        <v/>
      </c>
      <c r="S93" s="92" t="str">
        <f>IF(ResourceAction[[#This Row],[Resource Name]]="","idn5",IF(ResourceAction[[#This Row],[IDN5]]="","",VLOOKUP(ResourceAction[[#This Row],[IDN5]],IDNMaps[[Display]:[ID]],2,0)))</f>
        <v/>
      </c>
      <c r="T93" s="110" t="s">
        <v>1966</v>
      </c>
      <c r="U93" s="93"/>
      <c r="V93" s="93"/>
      <c r="W93" s="93"/>
      <c r="X93" s="93"/>
      <c r="Y93" s="55">
        <f>[No]</f>
        <v>2133191</v>
      </c>
    </row>
    <row r="94" spans="1:25">
      <c r="A94" s="38" t="str">
        <f>'Table Seed Map'!$A$34&amp;"-"&amp;(COUNTA($E$1:ResourceAction[[#This Row],[Resource]])-2)</f>
        <v>Resource Actions-92</v>
      </c>
      <c r="B94" s="38" t="str">
        <f>ResourceAction[[#This Row],[Resource Name]]&amp;"/"&amp;ResourceAction[[#This Row],[Name]]</f>
        <v>OrderItemServiceUser/OwnCompletedJobsListAction</v>
      </c>
      <c r="C94" s="104" t="s">
        <v>790</v>
      </c>
      <c r="D94" s="38">
        <f>IF(ResourceAction[[#This Row],[Resource Name]]="","id",COUNTA($C$1:ResourceAction[[#This Row],[Resource Name]])-1+IF(VLOOKUP('Table Seed Map'!$A$34,SeedMap[],9,0),VLOOKUP('Table Seed Map'!$A$34,SeedMap[],9,0),0))</f>
        <v>2133192</v>
      </c>
      <c r="E94" s="38">
        <f>IFERROR(VLOOKUP(ResourceAction[[#This Row],[Resource Name]],ResourceTable[[RName]:[No]],3,0),"resource")</f>
        <v>2106123</v>
      </c>
      <c r="F94" s="38" t="s">
        <v>1976</v>
      </c>
      <c r="G94" s="38"/>
      <c r="H94" s="38"/>
      <c r="I94" s="38"/>
      <c r="J94" s="38" t="s">
        <v>1956</v>
      </c>
      <c r="K94" s="80" t="str">
        <f>'Table Seed Map'!$A$35&amp;"-"&amp;(COUNTA($E$1:ResourceAction[[#This Row],[Resource]])-2)</f>
        <v>Action Method-92</v>
      </c>
      <c r="L94" s="38">
        <f>IF(ResourceAction[[#This Row],[No]]="id","id",-2+COUNTA($E$1:ResourceAction[[#This Row],[Resource]])+IF(ISNUMBER(VLOOKUP('Table Seed Map'!$A$35,SeedMap[],9,0)),VLOOKUP('Table Seed Map'!$A$35,SeedMap[],9,0),0))</f>
        <v>2134192</v>
      </c>
      <c r="M94" s="38">
        <f>IF(ResourceAction[[#This Row],[No]]="id","resource_action",ResourceAction[[#This Row],[No]])</f>
        <v>2133192</v>
      </c>
      <c r="N94" s="112" t="s">
        <v>122</v>
      </c>
      <c r="O94" s="92">
        <f ca="1">IF(ResourceAction[[#This Row],[Resource Name]]="","idn1",IF(ResourceAction[[#This Row],[IDN1]]="","",VLOOKUP(ResourceAction[[#This Row],[IDN1]],IDNMaps[[Display]:[ID]],2,0)))</f>
        <v>2123140</v>
      </c>
      <c r="P94" s="92" t="str">
        <f>IF(ResourceAction[[#This Row],[Resource Name]]="","idn2",IF(ResourceAction[[#This Row],[IDN2]]="","",VLOOKUP(ResourceAction[[#This Row],[IDN2]],IDNMaps[[Display]:[ID]],2,0)))</f>
        <v/>
      </c>
      <c r="Q94" s="92" t="str">
        <f>IF(ResourceAction[[#This Row],[Resource Name]]="","idn3",IF(ResourceAction[[#This Row],[IDN3]]="","",VLOOKUP(ResourceAction[[#This Row],[IDN3]],IDNMaps[[Display]:[ID]],2,0)))</f>
        <v/>
      </c>
      <c r="R94" s="92" t="str">
        <f>IF(ResourceAction[[#This Row],[Resource Name]]="","idn4",IF(ResourceAction[[#This Row],[IDN4]]="","",VLOOKUP(ResourceAction[[#This Row],[IDN4]],IDNMaps[[Display]:[ID]],2,0)))</f>
        <v/>
      </c>
      <c r="S94" s="92" t="str">
        <f>IF(ResourceAction[[#This Row],[Resource Name]]="","idn5",IF(ResourceAction[[#This Row],[IDN5]]="","",VLOOKUP(ResourceAction[[#This Row],[IDN5]],IDNMaps[[Display]:[ID]],2,0)))</f>
        <v/>
      </c>
      <c r="T94" s="110" t="s">
        <v>1967</v>
      </c>
      <c r="U94" s="93"/>
      <c r="V94" s="93"/>
      <c r="W94" s="93"/>
      <c r="X94" s="93"/>
      <c r="Y94" s="55">
        <f>[No]</f>
        <v>2133192</v>
      </c>
    </row>
    <row r="95" spans="1:25">
      <c r="A95" s="96" t="str">
        <f>'Table Seed Map'!$A$34&amp;"-"&amp;(COUNTA($E$1:ResourceAction[[#This Row],[Resource]])-2)</f>
        <v>Resource Actions-93</v>
      </c>
      <c r="B95" s="96" t="str">
        <f>ResourceAction[[#This Row],[Resource Name]]&amp;"/"&amp;ResourceAction[[#This Row],[Name]]</f>
        <v>OrderItemServiceUser/StartJobAction</v>
      </c>
      <c r="C95" s="104" t="s">
        <v>790</v>
      </c>
      <c r="D95" s="96">
        <f>IF(ResourceAction[[#This Row],[Resource Name]]="","id",COUNTA($C$1:ResourceAction[[#This Row],[Resource Name]])-1+IF(VLOOKUP('Table Seed Map'!$A$34,SeedMap[],9,0),VLOOKUP('Table Seed Map'!$A$34,SeedMap[],9,0),0))</f>
        <v>2133193</v>
      </c>
      <c r="E95" s="96">
        <f>IFERROR(VLOOKUP(ResourceAction[[#This Row],[Resource Name]],ResourceTable[[RName]:[No]],3,0),"resource")</f>
        <v>2106123</v>
      </c>
      <c r="F95" s="96" t="s">
        <v>1991</v>
      </c>
      <c r="G95" s="96"/>
      <c r="H95" s="96" t="s">
        <v>1998</v>
      </c>
      <c r="I95" s="96"/>
      <c r="J95" s="96"/>
      <c r="K95" s="95" t="str">
        <f>'Table Seed Map'!$A$35&amp;"-"&amp;(COUNTA($E$1:ResourceAction[[#This Row],[Resource]])-2)</f>
        <v>Action Method-93</v>
      </c>
      <c r="L95" s="96">
        <f>IF(ResourceAction[[#This Row],[No]]="id","id",-2+COUNTA($E$1:ResourceAction[[#This Row],[Resource]])+IF(ISNUMBER(VLOOKUP('Table Seed Map'!$A$35,SeedMap[],9,0)),VLOOKUP('Table Seed Map'!$A$35,SeedMap[],9,0),0))</f>
        <v>2134193</v>
      </c>
      <c r="M95" s="96">
        <f>IF(ResourceAction[[#This Row],[No]]="id","resource_action",ResourceAction[[#This Row],[No]])</f>
        <v>2133193</v>
      </c>
      <c r="N95" s="112" t="s">
        <v>224</v>
      </c>
      <c r="O95" s="109">
        <f ca="1">IF(ResourceAction[[#This Row],[Resource Name]]="","idn1",IF(ResourceAction[[#This Row],[IDN1]]="","",VLOOKUP(ResourceAction[[#This Row],[IDN1]],IDNMaps[[Display]:[ID]],2,0)))</f>
        <v>2110128</v>
      </c>
      <c r="P95" s="109">
        <f ca="1">IF(ResourceAction[[#This Row],[Resource Name]]="","idn2",IF(ResourceAction[[#This Row],[IDN2]]="","",VLOOKUP(ResourceAction[[#This Row],[IDN2]],IDNMaps[[Display]:[ID]],2,0)))</f>
        <v>2128113</v>
      </c>
      <c r="Q95" s="109" t="str">
        <f>IF(ResourceAction[[#This Row],[Resource Name]]="","idn3",IF(ResourceAction[[#This Row],[IDN3]]="","",VLOOKUP(ResourceAction[[#This Row],[IDN3]],IDNMaps[[Display]:[ID]],2,0)))</f>
        <v/>
      </c>
      <c r="R95" s="109" t="str">
        <f>IF(ResourceAction[[#This Row],[Resource Name]]="","idn4",IF(ResourceAction[[#This Row],[IDN4]]="","",VLOOKUP(ResourceAction[[#This Row],[IDN4]],IDNMaps[[Display]:[ID]],2,0)))</f>
        <v/>
      </c>
      <c r="S95" s="109" t="str">
        <f>IF(ResourceAction[[#This Row],[Resource Name]]="","idn5",IF(ResourceAction[[#This Row],[IDN5]]="","",VLOOKUP(ResourceAction[[#This Row],[IDN5]],IDNMaps[[Display]:[ID]],2,0)))</f>
        <v/>
      </c>
      <c r="T95" s="110" t="s">
        <v>1992</v>
      </c>
      <c r="U95" s="110" t="s">
        <v>1996</v>
      </c>
      <c r="V95" s="110"/>
      <c r="W95" s="110"/>
      <c r="X95" s="110"/>
      <c r="Y95" s="103">
        <f>[No]</f>
        <v>2133193</v>
      </c>
    </row>
    <row r="96" spans="1:25">
      <c r="A96" s="96" t="str">
        <f>'Table Seed Map'!$A$34&amp;"-"&amp;(COUNTA($E$1:ResourceAction[[#This Row],[Resource]])-2)</f>
        <v>Resource Actions-94</v>
      </c>
      <c r="B96" s="96" t="str">
        <f>ResourceAction[[#This Row],[Resource Name]]&amp;"/"&amp;ResourceAction[[#This Row],[Name]]</f>
        <v>OrderItemServiceUser/FinishJobAction</v>
      </c>
      <c r="C96" s="104" t="s">
        <v>790</v>
      </c>
      <c r="D96" s="96">
        <f>IF(ResourceAction[[#This Row],[Resource Name]]="","id",COUNTA($C$1:ResourceAction[[#This Row],[Resource Name]])-1+IF(VLOOKUP('Table Seed Map'!$A$34,SeedMap[],9,0),VLOOKUP('Table Seed Map'!$A$34,SeedMap[],9,0),0))</f>
        <v>2133194</v>
      </c>
      <c r="E96" s="96">
        <f>IFERROR(VLOOKUP(ResourceAction[[#This Row],[Resource Name]],ResourceTable[[RName]:[No]],3,0),"resource")</f>
        <v>2106123</v>
      </c>
      <c r="F96" s="96" t="s">
        <v>1994</v>
      </c>
      <c r="G96" s="96"/>
      <c r="H96" s="96" t="s">
        <v>1999</v>
      </c>
      <c r="I96" s="96"/>
      <c r="J96" s="96"/>
      <c r="K96" s="95" t="str">
        <f>'Table Seed Map'!$A$35&amp;"-"&amp;(COUNTA($E$1:ResourceAction[[#This Row],[Resource]])-2)</f>
        <v>Action Method-94</v>
      </c>
      <c r="L96" s="96">
        <f>IF(ResourceAction[[#This Row],[No]]="id","id",-2+COUNTA($E$1:ResourceAction[[#This Row],[Resource]])+IF(ISNUMBER(VLOOKUP('Table Seed Map'!$A$35,SeedMap[],9,0)),VLOOKUP('Table Seed Map'!$A$35,SeedMap[],9,0),0))</f>
        <v>2134194</v>
      </c>
      <c r="M96" s="96">
        <f>IF(ResourceAction[[#This Row],[No]]="id","resource_action",ResourceAction[[#This Row],[No]])</f>
        <v>2133194</v>
      </c>
      <c r="N96" s="112" t="s">
        <v>224</v>
      </c>
      <c r="O96" s="109">
        <f ca="1">IF(ResourceAction[[#This Row],[Resource Name]]="","idn1",IF(ResourceAction[[#This Row],[IDN1]]="","",VLOOKUP(ResourceAction[[#This Row],[IDN1]],IDNMaps[[Display]:[ID]],2,0)))</f>
        <v>2110129</v>
      </c>
      <c r="P96" s="109">
        <f ca="1">IF(ResourceAction[[#This Row],[Resource Name]]="","idn2",IF(ResourceAction[[#This Row],[IDN2]]="","",VLOOKUP(ResourceAction[[#This Row],[IDN2]],IDNMaps[[Display]:[ID]],2,0)))</f>
        <v>2128113</v>
      </c>
      <c r="Q96" s="109" t="str">
        <f>IF(ResourceAction[[#This Row],[Resource Name]]="","idn3",IF(ResourceAction[[#This Row],[IDN3]]="","",VLOOKUP(ResourceAction[[#This Row],[IDN3]],IDNMaps[[Display]:[ID]],2,0)))</f>
        <v/>
      </c>
      <c r="R96" s="109" t="str">
        <f>IF(ResourceAction[[#This Row],[Resource Name]]="","idn4",IF(ResourceAction[[#This Row],[IDN4]]="","",VLOOKUP(ResourceAction[[#This Row],[IDN4]],IDNMaps[[Display]:[ID]],2,0)))</f>
        <v/>
      </c>
      <c r="S96" s="109" t="str">
        <f>IF(ResourceAction[[#This Row],[Resource Name]]="","idn5",IF(ResourceAction[[#This Row],[IDN5]]="","",VLOOKUP(ResourceAction[[#This Row],[IDN5]],IDNMaps[[Display]:[ID]],2,0)))</f>
        <v/>
      </c>
      <c r="T96" s="110" t="s">
        <v>1993</v>
      </c>
      <c r="U96" s="110" t="s">
        <v>1996</v>
      </c>
      <c r="V96" s="110"/>
      <c r="W96" s="110"/>
      <c r="X96" s="110"/>
      <c r="Y96" s="103">
        <f>[No]</f>
        <v>2133194</v>
      </c>
    </row>
    <row r="97" spans="1:25">
      <c r="A97" s="96" t="str">
        <f>'Table Seed Map'!$A$34&amp;"-"&amp;(COUNTA($E$1:ResourceAction[[#This Row],[Resource]])-2)</f>
        <v>Resource Actions-95</v>
      </c>
      <c r="B97" s="96" t="str">
        <f>ResourceAction[[#This Row],[Resource Name]]&amp;"/"&amp;ResourceAction[[#This Row],[Name]]</f>
        <v>Order/UndeliveredOrders</v>
      </c>
      <c r="C97" s="104" t="s">
        <v>787</v>
      </c>
      <c r="D97" s="96">
        <f>IF(ResourceAction[[#This Row],[Resource Name]]="","id",COUNTA($C$1:ResourceAction[[#This Row],[Resource Name]])-1+IF(VLOOKUP('Table Seed Map'!$A$34,SeedMap[],9,0),VLOOKUP('Table Seed Map'!$A$34,SeedMap[],9,0),0))</f>
        <v>2133195</v>
      </c>
      <c r="E97" s="96">
        <f>IFERROR(VLOOKUP(ResourceAction[[#This Row],[Resource Name]],ResourceTable[[RName]:[No]],3,0),"resource")</f>
        <v>2106118</v>
      </c>
      <c r="F97" s="96" t="s">
        <v>2024</v>
      </c>
      <c r="G97" s="96"/>
      <c r="H97" s="96"/>
      <c r="I97" s="96"/>
      <c r="J97" s="96" t="s">
        <v>1700</v>
      </c>
      <c r="K97" s="95" t="str">
        <f>'Table Seed Map'!$A$35&amp;"-"&amp;(COUNTA($E$1:ResourceAction[[#This Row],[Resource]])-2)</f>
        <v>Action Method-95</v>
      </c>
      <c r="L97" s="96">
        <f>IF(ResourceAction[[#This Row],[No]]="id","id",-2+COUNTA($E$1:ResourceAction[[#This Row],[Resource]])+IF(ISNUMBER(VLOOKUP('Table Seed Map'!$A$35,SeedMap[],9,0)),VLOOKUP('Table Seed Map'!$A$35,SeedMap[],9,0),0))</f>
        <v>2134195</v>
      </c>
      <c r="M97" s="96">
        <f>IF(ResourceAction[[#This Row],[No]]="id","resource_action",ResourceAction[[#This Row],[No]])</f>
        <v>2133195</v>
      </c>
      <c r="N97" s="112" t="s">
        <v>122</v>
      </c>
      <c r="O97" s="109">
        <f ca="1">IF(ResourceAction[[#This Row],[Resource Name]]="","idn1",IF(ResourceAction[[#This Row],[IDN1]]="","",VLOOKUP(ResourceAction[[#This Row],[IDN1]],IDNMaps[[Display]:[ID]],2,0)))</f>
        <v>2123143</v>
      </c>
      <c r="P97" s="109" t="str">
        <f>IF(ResourceAction[[#This Row],[Resource Name]]="","idn2",IF(ResourceAction[[#This Row],[IDN2]]="","",VLOOKUP(ResourceAction[[#This Row],[IDN2]],IDNMaps[[Display]:[ID]],2,0)))</f>
        <v/>
      </c>
      <c r="Q97" s="109" t="str">
        <f>IF(ResourceAction[[#This Row],[Resource Name]]="","idn3",IF(ResourceAction[[#This Row],[IDN3]]="","",VLOOKUP(ResourceAction[[#This Row],[IDN3]],IDNMaps[[Display]:[ID]],2,0)))</f>
        <v/>
      </c>
      <c r="R97" s="109" t="str">
        <f>IF(ResourceAction[[#This Row],[Resource Name]]="","idn4",IF(ResourceAction[[#This Row],[IDN4]]="","",VLOOKUP(ResourceAction[[#This Row],[IDN4]],IDNMaps[[Display]:[ID]],2,0)))</f>
        <v/>
      </c>
      <c r="S97" s="109" t="str">
        <f>IF(ResourceAction[[#This Row],[Resource Name]]="","idn5",IF(ResourceAction[[#This Row],[IDN5]]="","",VLOOKUP(ResourceAction[[#This Row],[IDN5]],IDNMaps[[Display]:[ID]],2,0)))</f>
        <v/>
      </c>
      <c r="T97" s="110" t="s">
        <v>2029</v>
      </c>
      <c r="U97" s="110"/>
      <c r="V97" s="110"/>
      <c r="W97" s="110"/>
      <c r="X97" s="110"/>
      <c r="Y97" s="103">
        <f>[No]</f>
        <v>2133195</v>
      </c>
    </row>
  </sheetData>
  <dataValidations count="7">
    <dataValidation type="list" allowBlank="1" showInputMessage="1" showErrorMessage="1" sqref="AN2 AA2:AA66">
      <formula1>ActionsName</formula1>
    </dataValidation>
    <dataValidation type="list" allowBlank="1" showInputMessage="1" showErrorMessage="1" sqref="I2:I97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97">
      <formula1>Resources</formula1>
    </dataValidation>
    <dataValidation type="list" allowBlank="1" showInputMessage="1" showErrorMessage="1" sqref="T2:X97">
      <formula1>IDNs</formula1>
    </dataValidation>
    <dataValidation type="list" allowBlank="1" showInputMessage="1" showErrorMessage="1" sqref="N2:N97">
      <formula1>"type,Method,Dashboard,Form,List,Data,FormWithData,ListRelation,AddRelation,ManageRelation"</formula1>
    </dataValidation>
    <dataValidation type="list" allowBlank="1" showInputMessage="1" showErrorMessage="1" sqref="AC2:AC66">
      <formula1>ListNames</formula1>
    </dataValidation>
    <dataValidation type="list" allowBlank="1" showInputMessage="1" showErrorMessage="1" sqref="AD2:AD6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2019-05-28T03:22:11Z</dcterms:modified>
</cp:coreProperties>
</file>