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firstSheet="1" activeTab="2"/>
  </bookViews>
  <sheets>
    <sheet name="Tables" sheetId="1" state="hidden" r:id="rId1"/>
    <sheet name="Fields" sheetId="2" r:id="rId2"/>
    <sheet name="Table Fields" sheetId="3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78" i="3"/>
  <c r="D78"/>
  <c r="E78"/>
  <c r="F78"/>
  <c r="G78"/>
  <c r="H78"/>
  <c r="I78"/>
  <c r="J78"/>
  <c r="A32" i="24"/>
  <c r="A33"/>
  <c r="A34"/>
  <c r="A35"/>
  <c r="A36"/>
  <c r="A37"/>
  <c r="C32"/>
  <c r="C33"/>
  <c r="C34"/>
  <c r="C35"/>
  <c r="C36"/>
  <c r="C37"/>
  <c r="B103" i="27"/>
  <c r="D103"/>
  <c r="M103" s="1"/>
  <c r="P103"/>
  <c r="Q103"/>
  <c r="R103"/>
  <c r="S103"/>
  <c r="AV206" i="28"/>
  <c r="AV207"/>
  <c r="AV208"/>
  <c r="AZ206"/>
  <c r="BA206"/>
  <c r="BA207"/>
  <c r="BA208"/>
  <c r="BB206"/>
  <c r="BB207"/>
  <c r="BB208"/>
  <c r="AV205"/>
  <c r="AZ205"/>
  <c r="BA205"/>
  <c r="BB205"/>
  <c r="A52"/>
  <c r="C52"/>
  <c r="D52"/>
  <c r="K52" s="1"/>
  <c r="P30" i="19"/>
  <c r="R30"/>
  <c r="S30"/>
  <c r="B102" i="27"/>
  <c r="D102"/>
  <c r="Y102" s="1"/>
  <c r="P102"/>
  <c r="Q102"/>
  <c r="R102"/>
  <c r="S102"/>
  <c r="AV204" i="28"/>
  <c r="BA204"/>
  <c r="BB204"/>
  <c r="AV203"/>
  <c r="AZ203"/>
  <c r="BA203"/>
  <c r="BB203"/>
  <c r="AV202"/>
  <c r="AZ202"/>
  <c r="BA202"/>
  <c r="BB202"/>
  <c r="A51"/>
  <c r="C51"/>
  <c r="D51"/>
  <c r="K51" s="1"/>
  <c r="P29" i="19"/>
  <c r="R29"/>
  <c r="S29"/>
  <c r="B101" i="27"/>
  <c r="D101"/>
  <c r="M101" s="1"/>
  <c r="P101"/>
  <c r="Q101"/>
  <c r="R101"/>
  <c r="S101"/>
  <c r="AV198" i="28"/>
  <c r="AV199"/>
  <c r="AV200"/>
  <c r="AV201"/>
  <c r="AZ198"/>
  <c r="AZ199"/>
  <c r="BA198"/>
  <c r="BA199"/>
  <c r="BA201"/>
  <c r="BB198"/>
  <c r="BB199"/>
  <c r="BB200"/>
  <c r="BB201"/>
  <c r="AV197"/>
  <c r="AZ197"/>
  <c r="BA197"/>
  <c r="BB197"/>
  <c r="A50"/>
  <c r="C50"/>
  <c r="D50"/>
  <c r="K50" s="1"/>
  <c r="P28" i="19"/>
  <c r="R28"/>
  <c r="S28"/>
  <c r="B100" i="27"/>
  <c r="D100"/>
  <c r="P100"/>
  <c r="Q100"/>
  <c r="R100"/>
  <c r="S100"/>
  <c r="B99"/>
  <c r="D99"/>
  <c r="M99" s="1"/>
  <c r="P99"/>
  <c r="Q99"/>
  <c r="R99"/>
  <c r="S99"/>
  <c r="AV192" i="28"/>
  <c r="AV193"/>
  <c r="AV194"/>
  <c r="AV195"/>
  <c r="AV196"/>
  <c r="AZ193"/>
  <c r="AZ194"/>
  <c r="AZ196"/>
  <c r="BA192"/>
  <c r="BA193"/>
  <c r="BA194"/>
  <c r="BA195"/>
  <c r="BA196"/>
  <c r="BB192"/>
  <c r="BB193"/>
  <c r="BB194"/>
  <c r="BB195"/>
  <c r="BB196"/>
  <c r="AV191"/>
  <c r="AZ191"/>
  <c r="BA191"/>
  <c r="BB191"/>
  <c r="AV185"/>
  <c r="AV186"/>
  <c r="AV187"/>
  <c r="AV188"/>
  <c r="AV189"/>
  <c r="AV190"/>
  <c r="AZ186"/>
  <c r="AZ187"/>
  <c r="AZ188"/>
  <c r="AZ190"/>
  <c r="BA185"/>
  <c r="BA186"/>
  <c r="BA187"/>
  <c r="BA188"/>
  <c r="BA189"/>
  <c r="BA190"/>
  <c r="BB185"/>
  <c r="BB186"/>
  <c r="BB187"/>
  <c r="BB188"/>
  <c r="BB189"/>
  <c r="BB190"/>
  <c r="AV184"/>
  <c r="AZ184"/>
  <c r="BA184"/>
  <c r="BB184"/>
  <c r="AV178"/>
  <c r="AV179"/>
  <c r="AV180"/>
  <c r="AV181"/>
  <c r="AV182"/>
  <c r="AV183"/>
  <c r="AZ179"/>
  <c r="AZ180"/>
  <c r="AZ181"/>
  <c r="AZ183"/>
  <c r="BA178"/>
  <c r="BA179"/>
  <c r="BA180"/>
  <c r="BA181"/>
  <c r="BA182"/>
  <c r="BA183"/>
  <c r="BB178"/>
  <c r="BB179"/>
  <c r="BB180"/>
  <c r="BB181"/>
  <c r="BB182"/>
  <c r="BB183"/>
  <c r="AV177"/>
  <c r="AZ177"/>
  <c r="BA177"/>
  <c r="BB177"/>
  <c r="A49"/>
  <c r="C49"/>
  <c r="D49"/>
  <c r="K49" s="1"/>
  <c r="A48"/>
  <c r="C48"/>
  <c r="D48"/>
  <c r="K48" s="1"/>
  <c r="A47"/>
  <c r="C47"/>
  <c r="D47"/>
  <c r="K47" s="1"/>
  <c r="B98" i="27"/>
  <c r="D98"/>
  <c r="M98" s="1"/>
  <c r="P98"/>
  <c r="Q98"/>
  <c r="R98"/>
  <c r="S98"/>
  <c r="P27" i="19"/>
  <c r="R27"/>
  <c r="S27"/>
  <c r="A83" i="24"/>
  <c r="C83"/>
  <c r="A72"/>
  <c r="A73"/>
  <c r="A74"/>
  <c r="A75"/>
  <c r="A76"/>
  <c r="A77"/>
  <c r="A78"/>
  <c r="A79"/>
  <c r="A80"/>
  <c r="A81"/>
  <c r="A82"/>
  <c r="C72"/>
  <c r="C73"/>
  <c r="C74"/>
  <c r="C75"/>
  <c r="C76"/>
  <c r="C77"/>
  <c r="C78"/>
  <c r="C79"/>
  <c r="C80"/>
  <c r="C81"/>
  <c r="C82"/>
  <c r="A71"/>
  <c r="C71"/>
  <c r="A70"/>
  <c r="C70"/>
  <c r="A69"/>
  <c r="C69"/>
  <c r="A68"/>
  <c r="C68"/>
  <c r="A67"/>
  <c r="C67"/>
  <c r="A25"/>
  <c r="C25"/>
  <c r="A24"/>
  <c r="C24"/>
  <c r="AV172" i="28"/>
  <c r="AV173"/>
  <c r="AV174"/>
  <c r="AV175"/>
  <c r="AV176"/>
  <c r="AV171"/>
  <c r="A46"/>
  <c r="C46"/>
  <c r="D46"/>
  <c r="K46" s="1"/>
  <c r="P26" i="19"/>
  <c r="R26"/>
  <c r="S26"/>
  <c r="B97" i="27"/>
  <c r="D97"/>
  <c r="M97" s="1"/>
  <c r="P97"/>
  <c r="Q97"/>
  <c r="R97"/>
  <c r="S97"/>
  <c r="AV168" i="28"/>
  <c r="AV169"/>
  <c r="AV170"/>
  <c r="AV167"/>
  <c r="A45"/>
  <c r="C45"/>
  <c r="D45"/>
  <c r="K45" s="1"/>
  <c r="AV164"/>
  <c r="AV165"/>
  <c r="AV166"/>
  <c r="AV163"/>
  <c r="A44"/>
  <c r="C44"/>
  <c r="D44"/>
  <c r="K44" s="1"/>
  <c r="P25" i="19"/>
  <c r="R25"/>
  <c r="S25"/>
  <c r="AV64" i="28"/>
  <c r="EB9" i="9"/>
  <c r="EC9"/>
  <c r="DC12"/>
  <c r="DD12"/>
  <c r="P24" i="19"/>
  <c r="R24"/>
  <c r="S24"/>
  <c r="A43" i="28"/>
  <c r="C43"/>
  <c r="D43"/>
  <c r="K43" s="1"/>
  <c r="DC11" i="9"/>
  <c r="DD11"/>
  <c r="A101" i="19"/>
  <c r="B101"/>
  <c r="C101"/>
  <c r="DC10" i="9"/>
  <c r="DD10"/>
  <c r="DC9"/>
  <c r="DD9"/>
  <c r="AE66" i="27"/>
  <c r="AF66"/>
  <c r="AI66"/>
  <c r="AJ66"/>
  <c r="AL66"/>
  <c r="AE65"/>
  <c r="AF65"/>
  <c r="AI65"/>
  <c r="AJ65"/>
  <c r="AL65"/>
  <c r="AE57"/>
  <c r="AE58"/>
  <c r="AF57"/>
  <c r="AF58"/>
  <c r="AI57"/>
  <c r="AI58"/>
  <c r="AJ57"/>
  <c r="AJ58"/>
  <c r="AL57"/>
  <c r="AL58"/>
  <c r="AE64"/>
  <c r="AF64"/>
  <c r="AI64"/>
  <c r="AJ64"/>
  <c r="AL64"/>
  <c r="AE63"/>
  <c r="AF63"/>
  <c r="AI63"/>
  <c r="AJ63"/>
  <c r="AL63"/>
  <c r="AE62"/>
  <c r="AF62"/>
  <c r="AI62"/>
  <c r="AJ62"/>
  <c r="AL62"/>
  <c r="AE61"/>
  <c r="AF61"/>
  <c r="AI61"/>
  <c r="AJ61"/>
  <c r="AL61"/>
  <c r="AE60"/>
  <c r="AF60"/>
  <c r="AI60"/>
  <c r="AJ60"/>
  <c r="AL60"/>
  <c r="AE59"/>
  <c r="AF59"/>
  <c r="AI59"/>
  <c r="AJ59"/>
  <c r="AL59"/>
  <c r="B96"/>
  <c r="D96"/>
  <c r="M96" s="1"/>
  <c r="Q96"/>
  <c r="R96"/>
  <c r="S96"/>
  <c r="C15" i="29"/>
  <c r="BD65" i="9"/>
  <c r="BE65"/>
  <c r="O89"/>
  <c r="Q89" s="1"/>
  <c r="DE10" s="1"/>
  <c r="P89"/>
  <c r="AJ89"/>
  <c r="AT89"/>
  <c r="B31"/>
  <c r="BD64"/>
  <c r="BE64"/>
  <c r="O88"/>
  <c r="Q88" s="1"/>
  <c r="DE9" s="1"/>
  <c r="P88"/>
  <c r="AJ88"/>
  <c r="AT88"/>
  <c r="B30"/>
  <c r="B95" i="27"/>
  <c r="D95"/>
  <c r="M95" s="1"/>
  <c r="Q95"/>
  <c r="R95"/>
  <c r="S95"/>
  <c r="B89"/>
  <c r="B90"/>
  <c r="B91"/>
  <c r="D89"/>
  <c r="M89" s="1"/>
  <c r="D90"/>
  <c r="M90" s="1"/>
  <c r="D91"/>
  <c r="M91" s="1"/>
  <c r="P89"/>
  <c r="P90"/>
  <c r="P91"/>
  <c r="Q89"/>
  <c r="Q90"/>
  <c r="Q91"/>
  <c r="R89"/>
  <c r="R90"/>
  <c r="R91"/>
  <c r="S89"/>
  <c r="S90"/>
  <c r="S91"/>
  <c r="B94"/>
  <c r="D94"/>
  <c r="M94" s="1"/>
  <c r="P94"/>
  <c r="Q94"/>
  <c r="R94"/>
  <c r="S94"/>
  <c r="B93"/>
  <c r="D93"/>
  <c r="M93" s="1"/>
  <c r="P93"/>
  <c r="Q93"/>
  <c r="R93"/>
  <c r="S93"/>
  <c r="B92"/>
  <c r="D92"/>
  <c r="M92" s="1"/>
  <c r="P92"/>
  <c r="Q92"/>
  <c r="R92"/>
  <c r="S92"/>
  <c r="AV161" i="28"/>
  <c r="AV162"/>
  <c r="AV160"/>
  <c r="AV158"/>
  <c r="AV159"/>
  <c r="AV157"/>
  <c r="AV155"/>
  <c r="AV156"/>
  <c r="AV154"/>
  <c r="AV153"/>
  <c r="AV152"/>
  <c r="A42"/>
  <c r="C42"/>
  <c r="D42"/>
  <c r="K42" s="1"/>
  <c r="A41"/>
  <c r="C41"/>
  <c r="D41"/>
  <c r="A40"/>
  <c r="C40"/>
  <c r="D40"/>
  <c r="K40" s="1"/>
  <c r="AV151"/>
  <c r="AV150"/>
  <c r="AV149"/>
  <c r="AV148"/>
  <c r="AV147"/>
  <c r="AV146"/>
  <c r="AV145"/>
  <c r="AV144"/>
  <c r="AV143"/>
  <c r="AV142"/>
  <c r="AV141"/>
  <c r="AV140"/>
  <c r="A39"/>
  <c r="C39"/>
  <c r="D39"/>
  <c r="K39" s="1"/>
  <c r="A38"/>
  <c r="C38"/>
  <c r="D38"/>
  <c r="K38" s="1"/>
  <c r="A37"/>
  <c r="C37"/>
  <c r="D37"/>
  <c r="K37" s="1"/>
  <c r="P23" i="19"/>
  <c r="R23"/>
  <c r="S23"/>
  <c r="P22"/>
  <c r="R22"/>
  <c r="S22"/>
  <c r="P21"/>
  <c r="R21"/>
  <c r="S21"/>
  <c r="AV138" i="28"/>
  <c r="AV139"/>
  <c r="AV137"/>
  <c r="AV136"/>
  <c r="AV135"/>
  <c r="AV134"/>
  <c r="A36"/>
  <c r="C36"/>
  <c r="D36"/>
  <c r="K36" s="1"/>
  <c r="B88" i="27"/>
  <c r="D88"/>
  <c r="M88" s="1"/>
  <c r="P88"/>
  <c r="Q88"/>
  <c r="R88"/>
  <c r="S88"/>
  <c r="AV133" i="28"/>
  <c r="AV132"/>
  <c r="AV131"/>
  <c r="AV130"/>
  <c r="AV129"/>
  <c r="AV128"/>
  <c r="A35"/>
  <c r="C35"/>
  <c r="D35"/>
  <c r="K35" s="1"/>
  <c r="P20" i="19"/>
  <c r="R20"/>
  <c r="S20"/>
  <c r="P19"/>
  <c r="R19"/>
  <c r="S19"/>
  <c r="B87" i="27"/>
  <c r="D87"/>
  <c r="Y87" s="1"/>
  <c r="P87"/>
  <c r="Q87"/>
  <c r="R87"/>
  <c r="S87"/>
  <c r="AE56"/>
  <c r="AF56"/>
  <c r="AI56"/>
  <c r="AJ56"/>
  <c r="AE55"/>
  <c r="AF55"/>
  <c r="AI55"/>
  <c r="AJ55"/>
  <c r="AE54"/>
  <c r="AF54"/>
  <c r="AI54"/>
  <c r="AJ54"/>
  <c r="B86"/>
  <c r="D86"/>
  <c r="M86" s="1"/>
  <c r="P86"/>
  <c r="Q86"/>
  <c r="R86"/>
  <c r="S86"/>
  <c r="AV124" i="28"/>
  <c r="AV125"/>
  <c r="AV126"/>
  <c r="AV127"/>
  <c r="A34"/>
  <c r="C34"/>
  <c r="D34"/>
  <c r="K34" s="1"/>
  <c r="P18" i="19"/>
  <c r="R18"/>
  <c r="S18"/>
  <c r="B85" i="27"/>
  <c r="D85"/>
  <c r="M85" s="1"/>
  <c r="P85"/>
  <c r="Q85"/>
  <c r="R85"/>
  <c r="S85"/>
  <c r="AE53"/>
  <c r="AF53"/>
  <c r="AI53"/>
  <c r="AJ53"/>
  <c r="AE52"/>
  <c r="AF52"/>
  <c r="AI52"/>
  <c r="AJ52"/>
  <c r="AV120" i="28"/>
  <c r="AV121"/>
  <c r="AV122"/>
  <c r="AV123"/>
  <c r="P17" i="19"/>
  <c r="R17"/>
  <c r="S17"/>
  <c r="A33" i="28"/>
  <c r="C33"/>
  <c r="D33"/>
  <c r="K33" s="1"/>
  <c r="A100" i="19"/>
  <c r="B100"/>
  <c r="C100"/>
  <c r="AE51" i="27"/>
  <c r="AF51"/>
  <c r="AI51"/>
  <c r="AJ51"/>
  <c r="B84"/>
  <c r="D84"/>
  <c r="M84" s="1"/>
  <c r="Q84"/>
  <c r="R84"/>
  <c r="S84"/>
  <c r="AE50"/>
  <c r="AF50"/>
  <c r="AI50"/>
  <c r="AJ50"/>
  <c r="AE49"/>
  <c r="AF49"/>
  <c r="AI49"/>
  <c r="AJ49"/>
  <c r="A99" i="19"/>
  <c r="B99"/>
  <c r="C99"/>
  <c r="B83" i="27"/>
  <c r="D83"/>
  <c r="M83" s="1"/>
  <c r="Q83"/>
  <c r="R83"/>
  <c r="S83"/>
  <c r="A98" i="19"/>
  <c r="B98"/>
  <c r="G98" s="1"/>
  <c r="C98"/>
  <c r="AE48" i="27"/>
  <c r="AF48"/>
  <c r="AI48"/>
  <c r="AJ48"/>
  <c r="B82"/>
  <c r="D82"/>
  <c r="M82" s="1"/>
  <c r="Q82"/>
  <c r="R82"/>
  <c r="S82"/>
  <c r="AV119" i="28"/>
  <c r="AV118"/>
  <c r="AV117"/>
  <c r="AV116"/>
  <c r="AV115"/>
  <c r="AV114"/>
  <c r="A32"/>
  <c r="C32"/>
  <c r="D32"/>
  <c r="K32" s="1"/>
  <c r="P16" i="19"/>
  <c r="R16"/>
  <c r="S16"/>
  <c r="AE47" i="27"/>
  <c r="AF47"/>
  <c r="AI47"/>
  <c r="AJ47"/>
  <c r="B81"/>
  <c r="D81"/>
  <c r="M81" s="1"/>
  <c r="Q81"/>
  <c r="R81"/>
  <c r="S81"/>
  <c r="C14" i="29"/>
  <c r="A31" i="28"/>
  <c r="C31"/>
  <c r="D31"/>
  <c r="K31" s="1"/>
  <c r="P15" i="19"/>
  <c r="R15"/>
  <c r="S15"/>
  <c r="DC8" i="9"/>
  <c r="DD8"/>
  <c r="DC7"/>
  <c r="DD7"/>
  <c r="BD41"/>
  <c r="BE41"/>
  <c r="AP37" i="29"/>
  <c r="AR37"/>
  <c r="AV85" i="28"/>
  <c r="AV79"/>
  <c r="A97" i="19"/>
  <c r="B97"/>
  <c r="C97"/>
  <c r="A96"/>
  <c r="B96"/>
  <c r="G96" s="1"/>
  <c r="C96"/>
  <c r="C79" i="3"/>
  <c r="D79"/>
  <c r="E79"/>
  <c r="F79"/>
  <c r="G79"/>
  <c r="H79"/>
  <c r="I79"/>
  <c r="J79"/>
  <c r="AV46" i="28"/>
  <c r="AE46" i="27"/>
  <c r="AF46"/>
  <c r="AI46"/>
  <c r="AJ46"/>
  <c r="B80"/>
  <c r="D80"/>
  <c r="M80" s="1"/>
  <c r="R80"/>
  <c r="S80"/>
  <c r="B79"/>
  <c r="D79"/>
  <c r="M79" s="1"/>
  <c r="P79"/>
  <c r="Q79"/>
  <c r="R79"/>
  <c r="S79"/>
  <c r="AV111" i="28"/>
  <c r="AV112"/>
  <c r="AV113"/>
  <c r="AV110"/>
  <c r="P14" i="19"/>
  <c r="R14"/>
  <c r="S14"/>
  <c r="A30" i="28"/>
  <c r="C30"/>
  <c r="D30"/>
  <c r="K30" s="1"/>
  <c r="B78" i="27"/>
  <c r="D78"/>
  <c r="M78" s="1"/>
  <c r="P78"/>
  <c r="Q78"/>
  <c r="R78"/>
  <c r="S78"/>
  <c r="AV53" i="28"/>
  <c r="AV109"/>
  <c r="DC6" i="9"/>
  <c r="DD6"/>
  <c r="DC5"/>
  <c r="DD5"/>
  <c r="K78" i="3" l="1"/>
  <c r="M102" i="27"/>
  <c r="Y103"/>
  <c r="W92" i="28"/>
  <c r="W90"/>
  <c r="Y101" i="27"/>
  <c r="W89" i="28"/>
  <c r="Y98" i="27"/>
  <c r="Y99"/>
  <c r="Y100"/>
  <c r="M100"/>
  <c r="W88" i="28"/>
  <c r="W87"/>
  <c r="W85"/>
  <c r="W83"/>
  <c r="Y97" i="27"/>
  <c r="G101" i="19"/>
  <c r="D101"/>
  <c r="N101" s="1"/>
  <c r="K79" i="3"/>
  <c r="Y96" i="27"/>
  <c r="BA89" i="9"/>
  <c r="AD89"/>
  <c r="AY89"/>
  <c r="AN89"/>
  <c r="AE89"/>
  <c r="AB89" s="1"/>
  <c r="M88"/>
  <c r="M89"/>
  <c r="AN88"/>
  <c r="AD88"/>
  <c r="AY88"/>
  <c r="BA88"/>
  <c r="AE88"/>
  <c r="AB88" s="1"/>
  <c r="Y95" i="27"/>
  <c r="K41" i="28"/>
  <c r="Y91" i="27"/>
  <c r="Y90"/>
  <c r="Y89"/>
  <c r="Y94"/>
  <c r="Y93"/>
  <c r="Y92"/>
  <c r="Y88"/>
  <c r="M87"/>
  <c r="Y86"/>
  <c r="Y85"/>
  <c r="Y84"/>
  <c r="Y83"/>
  <c r="D100" i="19"/>
  <c r="N100" s="1"/>
  <c r="G100"/>
  <c r="D99"/>
  <c r="N99" s="1"/>
  <c r="G99"/>
  <c r="D98"/>
  <c r="N98" s="1"/>
  <c r="Y82" i="27"/>
  <c r="Y81"/>
  <c r="Y80"/>
  <c r="D97" i="19"/>
  <c r="N97" s="1"/>
  <c r="G97"/>
  <c r="D96"/>
  <c r="Y79" i="27"/>
  <c r="Y78"/>
  <c r="DD2" i="9"/>
  <c r="DD3"/>
  <c r="DD4"/>
  <c r="DC4"/>
  <c r="AE45" i="27"/>
  <c r="AF45"/>
  <c r="AI45"/>
  <c r="AJ45"/>
  <c r="AE44"/>
  <c r="AF44"/>
  <c r="AI44"/>
  <c r="AJ44"/>
  <c r="B77"/>
  <c r="D77"/>
  <c r="Q77"/>
  <c r="R77"/>
  <c r="S77"/>
  <c r="AE43"/>
  <c r="AF43"/>
  <c r="AI43"/>
  <c r="AJ43"/>
  <c r="B76"/>
  <c r="D76"/>
  <c r="M76" s="1"/>
  <c r="R76"/>
  <c r="S76"/>
  <c r="AE42"/>
  <c r="AF42"/>
  <c r="AI42"/>
  <c r="AJ42"/>
  <c r="AZ2" i="28"/>
  <c r="AE41" i="27"/>
  <c r="AF41"/>
  <c r="AI41"/>
  <c r="AJ41"/>
  <c r="B75"/>
  <c r="D75"/>
  <c r="M75" s="1"/>
  <c r="Q75"/>
  <c r="R75"/>
  <c r="S75"/>
  <c r="B74"/>
  <c r="D74"/>
  <c r="M74" s="1"/>
  <c r="P74"/>
  <c r="Q74"/>
  <c r="R74"/>
  <c r="S74"/>
  <c r="AV55" i="28"/>
  <c r="AV108"/>
  <c r="AV104"/>
  <c r="AV105"/>
  <c r="AV106"/>
  <c r="AV107"/>
  <c r="AV103"/>
  <c r="A29"/>
  <c r="C29"/>
  <c r="D29"/>
  <c r="K29" s="1"/>
  <c r="P13" i="19"/>
  <c r="R13"/>
  <c r="S13"/>
  <c r="W86" i="28" s="1"/>
  <c r="AV52"/>
  <c r="AE40" i="27"/>
  <c r="AF40"/>
  <c r="AI40"/>
  <c r="AJ40"/>
  <c r="AV102" i="28"/>
  <c r="AV101"/>
  <c r="AV100"/>
  <c r="A28"/>
  <c r="C28"/>
  <c r="D28"/>
  <c r="K28" s="1"/>
  <c r="B73" i="27"/>
  <c r="D73"/>
  <c r="M73" s="1"/>
  <c r="Q73"/>
  <c r="R73"/>
  <c r="S73"/>
  <c r="AE39"/>
  <c r="AF39"/>
  <c r="AI39"/>
  <c r="AJ39"/>
  <c r="B72"/>
  <c r="D72"/>
  <c r="M72" s="1"/>
  <c r="Q72"/>
  <c r="R72"/>
  <c r="S72"/>
  <c r="AE38"/>
  <c r="AF38"/>
  <c r="AI38"/>
  <c r="AJ38"/>
  <c r="AE37"/>
  <c r="AF37"/>
  <c r="AI37"/>
  <c r="AJ37"/>
  <c r="B71"/>
  <c r="D71"/>
  <c r="M71" s="1"/>
  <c r="Q71"/>
  <c r="R71"/>
  <c r="S71"/>
  <c r="A95" i="19"/>
  <c r="B95"/>
  <c r="G95" s="1"/>
  <c r="C95"/>
  <c r="C103" i="3"/>
  <c r="D103"/>
  <c r="E103"/>
  <c r="F103"/>
  <c r="G103"/>
  <c r="H103"/>
  <c r="I103"/>
  <c r="J103"/>
  <c r="AE36" i="27"/>
  <c r="AF36"/>
  <c r="AI36"/>
  <c r="AJ36"/>
  <c r="B70"/>
  <c r="D70"/>
  <c r="M70" s="1"/>
  <c r="Q70"/>
  <c r="R70"/>
  <c r="S70"/>
  <c r="O87" i="9"/>
  <c r="AE87" s="1"/>
  <c r="AB87" s="1"/>
  <c r="P87"/>
  <c r="AJ87"/>
  <c r="AT87"/>
  <c r="O86"/>
  <c r="Q86" s="1"/>
  <c r="P86"/>
  <c r="AJ86"/>
  <c r="AT86"/>
  <c r="O85"/>
  <c r="Q85" s="1"/>
  <c r="P85"/>
  <c r="AJ85"/>
  <c r="AT85"/>
  <c r="O84"/>
  <c r="AE84" s="1"/>
  <c r="AB84" s="1"/>
  <c r="P84"/>
  <c r="AJ84"/>
  <c r="AT84"/>
  <c r="B29"/>
  <c r="C13" i="29"/>
  <c r="A94" i="19"/>
  <c r="B94"/>
  <c r="G94" s="1"/>
  <c r="C94"/>
  <c r="AV40" i="28"/>
  <c r="AE35" i="27"/>
  <c r="AF35"/>
  <c r="AI35"/>
  <c r="AJ35"/>
  <c r="B69"/>
  <c r="D69"/>
  <c r="M69" s="1"/>
  <c r="Q69"/>
  <c r="R69"/>
  <c r="S69"/>
  <c r="O83" i="9"/>
  <c r="Q83" s="1"/>
  <c r="P83"/>
  <c r="AJ83"/>
  <c r="AT83"/>
  <c r="O82"/>
  <c r="AE82" s="1"/>
  <c r="AB82" s="1"/>
  <c r="P82"/>
  <c r="AJ82"/>
  <c r="AT82"/>
  <c r="O81"/>
  <c r="AE81" s="1"/>
  <c r="AB81" s="1"/>
  <c r="P81"/>
  <c r="AJ81"/>
  <c r="AT81"/>
  <c r="B28"/>
  <c r="C12" i="29"/>
  <c r="P12" i="19"/>
  <c r="R12"/>
  <c r="S12"/>
  <c r="AE34" i="27"/>
  <c r="AF34"/>
  <c r="AI34"/>
  <c r="AJ34"/>
  <c r="B68"/>
  <c r="D68"/>
  <c r="M68" s="1"/>
  <c r="Q68"/>
  <c r="R68"/>
  <c r="S68"/>
  <c r="C11" i="29"/>
  <c r="BD63" i="9"/>
  <c r="BE63"/>
  <c r="BD62"/>
  <c r="BE62"/>
  <c r="BD61"/>
  <c r="BE61"/>
  <c r="O80"/>
  <c r="Q80" s="1"/>
  <c r="P80"/>
  <c r="AJ80"/>
  <c r="AT80"/>
  <c r="O79"/>
  <c r="M79" s="1"/>
  <c r="P79"/>
  <c r="AJ79"/>
  <c r="AT79"/>
  <c r="O78"/>
  <c r="AE78" s="1"/>
  <c r="AB78" s="1"/>
  <c r="P78"/>
  <c r="AJ78"/>
  <c r="AT78"/>
  <c r="B27"/>
  <c r="AE33" i="27"/>
  <c r="AF33"/>
  <c r="AI33"/>
  <c r="AJ33"/>
  <c r="B67"/>
  <c r="D67"/>
  <c r="M67" s="1"/>
  <c r="Q67"/>
  <c r="R67"/>
  <c r="S67"/>
  <c r="C10" i="29"/>
  <c r="O62" i="9"/>
  <c r="AE62" s="1"/>
  <c r="AB62" s="1"/>
  <c r="P62"/>
  <c r="AJ62"/>
  <c r="AT62"/>
  <c r="BD35"/>
  <c r="BE35"/>
  <c r="O48"/>
  <c r="Q48" s="1"/>
  <c r="P48"/>
  <c r="AJ48"/>
  <c r="AT48"/>
  <c r="C25" i="3"/>
  <c r="D25"/>
  <c r="E25"/>
  <c r="F25"/>
  <c r="G25"/>
  <c r="H25"/>
  <c r="I25"/>
  <c r="J25"/>
  <c r="AE32" i="27"/>
  <c r="AF32"/>
  <c r="AI32"/>
  <c r="AJ32"/>
  <c r="C9" i="29"/>
  <c r="B66" i="27"/>
  <c r="D66"/>
  <c r="Q66"/>
  <c r="R66"/>
  <c r="S66"/>
  <c r="B65"/>
  <c r="D65"/>
  <c r="M65" s="1"/>
  <c r="R65"/>
  <c r="S65"/>
  <c r="EB8" i="9"/>
  <c r="EC8"/>
  <c r="EB7"/>
  <c r="EC7"/>
  <c r="N96" i="19" l="1"/>
  <c r="M77" i="27"/>
  <c r="Y77"/>
  <c r="Y76"/>
  <c r="Y75"/>
  <c r="Y74"/>
  <c r="Y73"/>
  <c r="Y72"/>
  <c r="Y71"/>
  <c r="D95" i="19"/>
  <c r="N95" s="1"/>
  <c r="K103" i="3"/>
  <c r="Y70" i="27"/>
  <c r="Q87" i="9"/>
  <c r="M87"/>
  <c r="AN86"/>
  <c r="AY86"/>
  <c r="BA86"/>
  <c r="AD86"/>
  <c r="M86"/>
  <c r="AE86"/>
  <c r="AB86" s="1"/>
  <c r="AN85"/>
  <c r="AY85"/>
  <c r="BA85"/>
  <c r="AD85"/>
  <c r="AE85"/>
  <c r="AB85" s="1"/>
  <c r="M85"/>
  <c r="Q84"/>
  <c r="M84"/>
  <c r="D94" i="19"/>
  <c r="Y69" i="27"/>
  <c r="Q82" i="9"/>
  <c r="AN82" s="1"/>
  <c r="M83"/>
  <c r="M82"/>
  <c r="AD83"/>
  <c r="AY83"/>
  <c r="AN83"/>
  <c r="BA83"/>
  <c r="AE83"/>
  <c r="AB83" s="1"/>
  <c r="Q81"/>
  <c r="BA81" s="1"/>
  <c r="M78"/>
  <c r="M81"/>
  <c r="Y68" i="27"/>
  <c r="M80" i="9"/>
  <c r="AD80"/>
  <c r="AN80"/>
  <c r="BA80"/>
  <c r="AY80"/>
  <c r="AE80"/>
  <c r="AB80" s="1"/>
  <c r="AE79"/>
  <c r="AB79" s="1"/>
  <c r="Q79"/>
  <c r="Q78"/>
  <c r="AN78" s="1"/>
  <c r="M62"/>
  <c r="Y67" i="27"/>
  <c r="Q62" i="9"/>
  <c r="AN62" s="1"/>
  <c r="AN48"/>
  <c r="BA48"/>
  <c r="AD48"/>
  <c r="AY48"/>
  <c r="M48"/>
  <c r="AE48"/>
  <c r="AB48" s="1"/>
  <c r="K25" i="3"/>
  <c r="M66" i="27"/>
  <c r="Y66"/>
  <c r="Y65"/>
  <c r="EB6" i="9"/>
  <c r="EC6"/>
  <c r="AE31" i="27"/>
  <c r="AF31"/>
  <c r="AI31"/>
  <c r="AJ31"/>
  <c r="B64"/>
  <c r="D64"/>
  <c r="M64" s="1"/>
  <c r="Q64"/>
  <c r="R64"/>
  <c r="S64"/>
  <c r="AP41" i="29"/>
  <c r="AR41"/>
  <c r="AP40"/>
  <c r="AR40"/>
  <c r="AP39"/>
  <c r="AR39"/>
  <c r="AP38"/>
  <c r="AR38"/>
  <c r="AE15"/>
  <c r="AH15"/>
  <c r="AP36"/>
  <c r="AR36"/>
  <c r="AP35"/>
  <c r="AR35"/>
  <c r="AP34"/>
  <c r="AR34"/>
  <c r="AE14"/>
  <c r="AH14"/>
  <c r="C8"/>
  <c r="EB5" i="9"/>
  <c r="EC5"/>
  <c r="BD60"/>
  <c r="BE60"/>
  <c r="AE30" i="27"/>
  <c r="AF30"/>
  <c r="AI30"/>
  <c r="AJ30"/>
  <c r="AE29"/>
  <c r="AF29"/>
  <c r="AI29"/>
  <c r="AJ29"/>
  <c r="B63"/>
  <c r="D63"/>
  <c r="M63" s="1"/>
  <c r="Q63"/>
  <c r="R63"/>
  <c r="S63"/>
  <c r="C61" i="3"/>
  <c r="D61"/>
  <c r="E61"/>
  <c r="F61"/>
  <c r="G61"/>
  <c r="H61"/>
  <c r="I61"/>
  <c r="J61"/>
  <c r="DC3" i="9"/>
  <c r="AE28" i="27"/>
  <c r="AF28"/>
  <c r="AI28"/>
  <c r="AJ28"/>
  <c r="B62"/>
  <c r="D62"/>
  <c r="M62" s="1"/>
  <c r="Q62"/>
  <c r="R62"/>
  <c r="S62"/>
  <c r="AE27"/>
  <c r="AF27"/>
  <c r="AI27"/>
  <c r="AJ27"/>
  <c r="B61"/>
  <c r="D61"/>
  <c r="M61" s="1"/>
  <c r="P61"/>
  <c r="Q61"/>
  <c r="R61"/>
  <c r="S61"/>
  <c r="AP33" i="29"/>
  <c r="AR33"/>
  <c r="AP32"/>
  <c r="AR32"/>
  <c r="AP31"/>
  <c r="AR31"/>
  <c r="AE13"/>
  <c r="AH13"/>
  <c r="C7"/>
  <c r="AE26" i="27"/>
  <c r="AF26"/>
  <c r="AI26"/>
  <c r="AJ26"/>
  <c r="B60"/>
  <c r="D60"/>
  <c r="M60" s="1"/>
  <c r="Q60"/>
  <c r="R60"/>
  <c r="S60"/>
  <c r="AV96" i="28"/>
  <c r="AV97"/>
  <c r="AV98"/>
  <c r="AV99"/>
  <c r="P11" i="19"/>
  <c r="R11"/>
  <c r="S11"/>
  <c r="P10"/>
  <c r="R10"/>
  <c r="S10"/>
  <c r="P9"/>
  <c r="R9"/>
  <c r="S9"/>
  <c r="A27" i="28"/>
  <c r="C27"/>
  <c r="D27"/>
  <c r="AE25" i="27"/>
  <c r="AF25"/>
  <c r="AI25"/>
  <c r="AJ25"/>
  <c r="B59"/>
  <c r="D59"/>
  <c r="Y59" s="1"/>
  <c r="Q59"/>
  <c r="R59"/>
  <c r="S59"/>
  <c r="A93" i="19"/>
  <c r="B93"/>
  <c r="C93"/>
  <c r="P8"/>
  <c r="R8"/>
  <c r="S8"/>
  <c r="P7"/>
  <c r="R7"/>
  <c r="S7"/>
  <c r="A26" i="28"/>
  <c r="C26"/>
  <c r="D26"/>
  <c r="K26" s="1"/>
  <c r="AE24" i="27"/>
  <c r="AF24"/>
  <c r="AI24"/>
  <c r="AJ24"/>
  <c r="B58"/>
  <c r="D58"/>
  <c r="Q58"/>
  <c r="R58"/>
  <c r="S58"/>
  <c r="A92" i="19"/>
  <c r="B92"/>
  <c r="C92"/>
  <c r="AV95" i="28"/>
  <c r="AV94"/>
  <c r="AV93"/>
  <c r="AV92"/>
  <c r="AV91"/>
  <c r="AV90"/>
  <c r="AV89"/>
  <c r="A25"/>
  <c r="C25"/>
  <c r="D25"/>
  <c r="AV88"/>
  <c r="AE23" i="27"/>
  <c r="AF23"/>
  <c r="AI23"/>
  <c r="AJ23"/>
  <c r="B57"/>
  <c r="D57"/>
  <c r="M57" s="1"/>
  <c r="Q57"/>
  <c r="R57"/>
  <c r="S57"/>
  <c r="A91" i="19"/>
  <c r="B91"/>
  <c r="C91"/>
  <c r="AV87" i="28"/>
  <c r="AV86"/>
  <c r="AV84"/>
  <c r="A24"/>
  <c r="C24"/>
  <c r="D24"/>
  <c r="A90" i="19"/>
  <c r="B90"/>
  <c r="D90" s="1"/>
  <c r="C90"/>
  <c r="AE22" i="27"/>
  <c r="AF22"/>
  <c r="AI22"/>
  <c r="AJ22"/>
  <c r="B56"/>
  <c r="D56"/>
  <c r="M56" s="1"/>
  <c r="Q56"/>
  <c r="R56"/>
  <c r="S56"/>
  <c r="AV78" i="28"/>
  <c r="AV83"/>
  <c r="AV82"/>
  <c r="AV81"/>
  <c r="AV80"/>
  <c r="AV77"/>
  <c r="A23"/>
  <c r="C23"/>
  <c r="D23"/>
  <c r="K23" s="1"/>
  <c r="AE21" i="27"/>
  <c r="AF21"/>
  <c r="AI21"/>
  <c r="AJ21"/>
  <c r="B55"/>
  <c r="D55"/>
  <c r="M55" s="1"/>
  <c r="Q55"/>
  <c r="R55"/>
  <c r="S55"/>
  <c r="B54"/>
  <c r="D54"/>
  <c r="Y54" s="1"/>
  <c r="R54"/>
  <c r="S54"/>
  <c r="AE20"/>
  <c r="AF20"/>
  <c r="AI20"/>
  <c r="AJ20"/>
  <c r="AV76" i="28"/>
  <c r="AV75"/>
  <c r="AV74"/>
  <c r="AV73"/>
  <c r="A22"/>
  <c r="C22"/>
  <c r="D22"/>
  <c r="B53" i="27"/>
  <c r="D53"/>
  <c r="Y53" s="1"/>
  <c r="Q53"/>
  <c r="R53"/>
  <c r="S53"/>
  <c r="B52"/>
  <c r="D52"/>
  <c r="M52" s="1"/>
  <c r="R52"/>
  <c r="S52"/>
  <c r="AE19"/>
  <c r="AF19"/>
  <c r="AI19"/>
  <c r="AJ19"/>
  <c r="AV69" i="28"/>
  <c r="AV72"/>
  <c r="AV71"/>
  <c r="AV70"/>
  <c r="A21"/>
  <c r="C21"/>
  <c r="D21"/>
  <c r="K21" s="1"/>
  <c r="B51" i="27"/>
  <c r="D51"/>
  <c r="Y51" s="1"/>
  <c r="Q51"/>
  <c r="R51"/>
  <c r="S51"/>
  <c r="B50"/>
  <c r="D50"/>
  <c r="M50" s="1"/>
  <c r="R50"/>
  <c r="S50"/>
  <c r="AE18"/>
  <c r="AF18"/>
  <c r="AI18"/>
  <c r="AJ18"/>
  <c r="B49"/>
  <c r="D49"/>
  <c r="Y49" s="1"/>
  <c r="Q49"/>
  <c r="R49"/>
  <c r="S49"/>
  <c r="AV35" i="28"/>
  <c r="AP24" i="29"/>
  <c r="AR24"/>
  <c r="AE17" i="27"/>
  <c r="AF17"/>
  <c r="AI17"/>
  <c r="AJ17"/>
  <c r="B48"/>
  <c r="D48"/>
  <c r="M48" s="1"/>
  <c r="Q48"/>
  <c r="R48"/>
  <c r="S48"/>
  <c r="AP30" i="29"/>
  <c r="AR30"/>
  <c r="AP29"/>
  <c r="AR29"/>
  <c r="AP23"/>
  <c r="AR23"/>
  <c r="AP28"/>
  <c r="AR28"/>
  <c r="AP27"/>
  <c r="AR27"/>
  <c r="AP26"/>
  <c r="AR26"/>
  <c r="AP25"/>
  <c r="AR25"/>
  <c r="AE12"/>
  <c r="AH12"/>
  <c r="AE11"/>
  <c r="AH11"/>
  <c r="AE10"/>
  <c r="AH10"/>
  <c r="AE9"/>
  <c r="AH9"/>
  <c r="AE16" i="27"/>
  <c r="AF16"/>
  <c r="AI16"/>
  <c r="AJ16"/>
  <c r="B47"/>
  <c r="D47"/>
  <c r="M47" s="1"/>
  <c r="P47"/>
  <c r="Q47"/>
  <c r="R47"/>
  <c r="S47"/>
  <c r="C6" i="29"/>
  <c r="AN84" i="9" l="1"/>
  <c r="EF9"/>
  <c r="K25" i="28"/>
  <c r="K24"/>
  <c r="N90" i="19"/>
  <c r="N94"/>
  <c r="AN87" i="9"/>
  <c r="BA87"/>
  <c r="AD87"/>
  <c r="AY87"/>
  <c r="AY84"/>
  <c r="AD84"/>
  <c r="BA84"/>
  <c r="K27" i="28"/>
  <c r="AY82" i="9"/>
  <c r="AD82"/>
  <c r="BA82"/>
  <c r="AN81"/>
  <c r="AY81"/>
  <c r="AD81"/>
  <c r="AY79"/>
  <c r="AN79"/>
  <c r="BA79"/>
  <c r="AD79"/>
  <c r="AY78"/>
  <c r="AD78"/>
  <c r="BA78"/>
  <c r="K22" i="28"/>
  <c r="BA62" i="9"/>
  <c r="AY62"/>
  <c r="AD62"/>
  <c r="Y64" i="27"/>
  <c r="Y63"/>
  <c r="K61" i="3"/>
  <c r="Y62" i="27"/>
  <c r="Y61"/>
  <c r="Y60"/>
  <c r="M59"/>
  <c r="D93" i="19"/>
  <c r="G93"/>
  <c r="M58" i="27"/>
  <c r="Y58"/>
  <c r="D92" i="19"/>
  <c r="G92"/>
  <c r="Y57" i="27"/>
  <c r="G91" i="19"/>
  <c r="D91"/>
  <c r="G90"/>
  <c r="Y56" i="27"/>
  <c r="M54"/>
  <c r="Y55"/>
  <c r="M53"/>
  <c r="Y52"/>
  <c r="M51"/>
  <c r="Y50"/>
  <c r="M49"/>
  <c r="Y48"/>
  <c r="Y47"/>
  <c r="EC2" i="9"/>
  <c r="EC3"/>
  <c r="EC4"/>
  <c r="EB2"/>
  <c r="EB3"/>
  <c r="EB4"/>
  <c r="AE15" i="27"/>
  <c r="AF15"/>
  <c r="AI15"/>
  <c r="AJ15"/>
  <c r="AE14"/>
  <c r="AF14"/>
  <c r="AI14"/>
  <c r="AJ14"/>
  <c r="B46"/>
  <c r="D46"/>
  <c r="M46" s="1"/>
  <c r="Q46"/>
  <c r="R46"/>
  <c r="S46"/>
  <c r="B45"/>
  <c r="D45"/>
  <c r="M45" s="1"/>
  <c r="P45"/>
  <c r="Q45"/>
  <c r="R45"/>
  <c r="S45"/>
  <c r="AP22" i="29"/>
  <c r="AR22"/>
  <c r="AP21"/>
  <c r="AR21"/>
  <c r="AE8"/>
  <c r="AH8"/>
  <c r="C5"/>
  <c r="AP15"/>
  <c r="AR15"/>
  <c r="AE13" i="27"/>
  <c r="AF13"/>
  <c r="AI13"/>
  <c r="AJ13"/>
  <c r="AE12"/>
  <c r="AF12"/>
  <c r="AI12"/>
  <c r="AJ12"/>
  <c r="B44"/>
  <c r="D44"/>
  <c r="M44" s="1"/>
  <c r="Q44"/>
  <c r="R44"/>
  <c r="S44"/>
  <c r="B43"/>
  <c r="D43"/>
  <c r="M43" s="1"/>
  <c r="P43"/>
  <c r="Q43"/>
  <c r="R43"/>
  <c r="S43"/>
  <c r="AP11" i="29"/>
  <c r="AR11"/>
  <c r="AP12"/>
  <c r="AR12"/>
  <c r="AP20"/>
  <c r="AR20"/>
  <c r="AP19"/>
  <c r="AR19"/>
  <c r="AP18"/>
  <c r="AR18"/>
  <c r="AE7"/>
  <c r="AH7"/>
  <c r="AP17"/>
  <c r="AR17"/>
  <c r="AP16"/>
  <c r="AR16"/>
  <c r="AE6"/>
  <c r="AH6"/>
  <c r="AP14"/>
  <c r="AR14"/>
  <c r="AP13"/>
  <c r="AR13"/>
  <c r="AE5"/>
  <c r="AH5"/>
  <c r="AP10"/>
  <c r="AR10"/>
  <c r="AP9"/>
  <c r="AR9"/>
  <c r="AP8"/>
  <c r="AR8"/>
  <c r="AP7"/>
  <c r="AR7"/>
  <c r="AE4"/>
  <c r="AH4"/>
  <c r="C4"/>
  <c r="AE11" i="27"/>
  <c r="AF11"/>
  <c r="AI11"/>
  <c r="AJ11"/>
  <c r="B42"/>
  <c r="D42"/>
  <c r="M42" s="1"/>
  <c r="Q42"/>
  <c r="R42"/>
  <c r="S42"/>
  <c r="AE10"/>
  <c r="AF10"/>
  <c r="AI10"/>
  <c r="AJ10"/>
  <c r="B41"/>
  <c r="D41"/>
  <c r="M41" s="1"/>
  <c r="Q41"/>
  <c r="R41"/>
  <c r="S41"/>
  <c r="AE9"/>
  <c r="AF9"/>
  <c r="AI9"/>
  <c r="AJ9"/>
  <c r="B40"/>
  <c r="D40"/>
  <c r="Y40" s="1"/>
  <c r="Q40"/>
  <c r="R40"/>
  <c r="S40"/>
  <c r="AE8"/>
  <c r="AF8"/>
  <c r="AI8"/>
  <c r="AJ8"/>
  <c r="AP6" i="29"/>
  <c r="AR6"/>
  <c r="B39" i="27"/>
  <c r="D39"/>
  <c r="M39" s="1"/>
  <c r="Q39"/>
  <c r="R39"/>
  <c r="S39"/>
  <c r="AE7"/>
  <c r="AF7"/>
  <c r="AI7"/>
  <c r="AJ7"/>
  <c r="B38"/>
  <c r="D38"/>
  <c r="M38" s="1"/>
  <c r="P38"/>
  <c r="Q38"/>
  <c r="R38"/>
  <c r="S38"/>
  <c r="AP5" i="29"/>
  <c r="AR5"/>
  <c r="AP4"/>
  <c r="AR4"/>
  <c r="AP3"/>
  <c r="AR3"/>
  <c r="AL2"/>
  <c r="N92" i="19" l="1"/>
  <c r="N93"/>
  <c r="N91"/>
  <c r="Y46" i="27"/>
  <c r="Y44"/>
  <c r="Y45"/>
  <c r="Y43"/>
  <c r="Y42"/>
  <c r="Y41"/>
  <c r="M40"/>
  <c r="Y39"/>
  <c r="Y38"/>
  <c r="AH2" i="29"/>
  <c r="AH3"/>
  <c r="AE2" l="1"/>
  <c r="AE3"/>
  <c r="C3"/>
  <c r="BD59" i="9"/>
  <c r="BE59"/>
  <c r="BD58"/>
  <c r="BE58"/>
  <c r="BD57"/>
  <c r="BE57"/>
  <c r="O77"/>
  <c r="AE77" s="1"/>
  <c r="AB77" s="1"/>
  <c r="P77"/>
  <c r="AJ77"/>
  <c r="AT77"/>
  <c r="O76"/>
  <c r="AE76" s="1"/>
  <c r="AB76" s="1"/>
  <c r="P76"/>
  <c r="AJ76"/>
  <c r="AT76"/>
  <c r="O75"/>
  <c r="Q75" s="1"/>
  <c r="P75"/>
  <c r="AJ75"/>
  <c r="AT75"/>
  <c r="B26"/>
  <c r="AE6" i="27"/>
  <c r="AF6"/>
  <c r="AI6"/>
  <c r="AJ6"/>
  <c r="B37"/>
  <c r="D37"/>
  <c r="M37" s="1"/>
  <c r="Q37"/>
  <c r="R37"/>
  <c r="S37"/>
  <c r="AE5"/>
  <c r="AF5"/>
  <c r="AI5"/>
  <c r="AJ5"/>
  <c r="B36"/>
  <c r="D36"/>
  <c r="M36" s="1"/>
  <c r="Q36"/>
  <c r="R36"/>
  <c r="S36"/>
  <c r="AE4"/>
  <c r="AF4"/>
  <c r="AI4"/>
  <c r="AJ4"/>
  <c r="B35"/>
  <c r="D35"/>
  <c r="M35" s="1"/>
  <c r="Q35"/>
  <c r="R35"/>
  <c r="S35"/>
  <c r="A89" i="19"/>
  <c r="B89"/>
  <c r="C89"/>
  <c r="A10"/>
  <c r="B10"/>
  <c r="D10" s="1"/>
  <c r="C10"/>
  <c r="A8"/>
  <c r="B8"/>
  <c r="G8" s="1"/>
  <c r="C8"/>
  <c r="A9"/>
  <c r="B9"/>
  <c r="C9"/>
  <c r="B34" i="27"/>
  <c r="D34"/>
  <c r="M34" s="1"/>
  <c r="Q34"/>
  <c r="R34"/>
  <c r="S34"/>
  <c r="AE3"/>
  <c r="AF3"/>
  <c r="AI3"/>
  <c r="AJ3"/>
  <c r="AV68" i="28"/>
  <c r="AV67"/>
  <c r="AV66"/>
  <c r="AV65"/>
  <c r="AV63"/>
  <c r="AV62"/>
  <c r="AV61"/>
  <c r="AV60"/>
  <c r="AV59"/>
  <c r="AV58"/>
  <c r="AV57"/>
  <c r="AV56"/>
  <c r="AV54"/>
  <c r="AV51"/>
  <c r="AV50"/>
  <c r="AV49"/>
  <c r="AV48"/>
  <c r="AV47"/>
  <c r="AV45"/>
  <c r="AV44"/>
  <c r="AV43"/>
  <c r="AV42"/>
  <c r="AV41"/>
  <c r="AV39"/>
  <c r="AV38"/>
  <c r="AV37"/>
  <c r="AV36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4"/>
  <c r="AV15"/>
  <c r="AV13"/>
  <c r="AV12"/>
  <c r="AV11"/>
  <c r="AV10"/>
  <c r="AV9"/>
  <c r="AV8"/>
  <c r="AV7"/>
  <c r="AV6"/>
  <c r="AV5"/>
  <c r="AV4"/>
  <c r="AV3"/>
  <c r="B33" i="27"/>
  <c r="D33"/>
  <c r="M33" s="1"/>
  <c r="P33"/>
  <c r="Q33"/>
  <c r="R33"/>
  <c r="S33"/>
  <c r="B32"/>
  <c r="D32"/>
  <c r="M32" s="1"/>
  <c r="P32"/>
  <c r="Q32"/>
  <c r="R32"/>
  <c r="S32"/>
  <c r="B31"/>
  <c r="D31"/>
  <c r="M31" s="1"/>
  <c r="P31"/>
  <c r="Q31"/>
  <c r="R31"/>
  <c r="S31"/>
  <c r="B30"/>
  <c r="D30"/>
  <c r="Y30" s="1"/>
  <c r="P30"/>
  <c r="Q30"/>
  <c r="R30"/>
  <c r="S30"/>
  <c r="B29"/>
  <c r="D29"/>
  <c r="Y29" s="1"/>
  <c r="P29"/>
  <c r="Q29"/>
  <c r="R29"/>
  <c r="S29"/>
  <c r="B28"/>
  <c r="D28"/>
  <c r="M28" s="1"/>
  <c r="P28"/>
  <c r="Q28"/>
  <c r="R28"/>
  <c r="S28"/>
  <c r="B27"/>
  <c r="D27"/>
  <c r="M27" s="1"/>
  <c r="P27"/>
  <c r="Q27"/>
  <c r="R27"/>
  <c r="S27"/>
  <c r="B26"/>
  <c r="D26"/>
  <c r="M26" s="1"/>
  <c r="P26"/>
  <c r="Q26"/>
  <c r="R26"/>
  <c r="S26"/>
  <c r="B25"/>
  <c r="D25"/>
  <c r="M25" s="1"/>
  <c r="P25"/>
  <c r="Q25"/>
  <c r="R25"/>
  <c r="S25"/>
  <c r="B24"/>
  <c r="D24"/>
  <c r="P24"/>
  <c r="Q24"/>
  <c r="R24"/>
  <c r="S24"/>
  <c r="B23"/>
  <c r="D23"/>
  <c r="Y23" s="1"/>
  <c r="P23"/>
  <c r="Q23"/>
  <c r="R23"/>
  <c r="S23"/>
  <c r="B22"/>
  <c r="D22"/>
  <c r="P22"/>
  <c r="Q22"/>
  <c r="R22"/>
  <c r="S22"/>
  <c r="B21"/>
  <c r="D21"/>
  <c r="M21" s="1"/>
  <c r="P21"/>
  <c r="Q21"/>
  <c r="R21"/>
  <c r="S21"/>
  <c r="B20"/>
  <c r="D20"/>
  <c r="M20" s="1"/>
  <c r="P20"/>
  <c r="Q20"/>
  <c r="R20"/>
  <c r="S20"/>
  <c r="B19"/>
  <c r="D19"/>
  <c r="M19" s="1"/>
  <c r="P19"/>
  <c r="Q19"/>
  <c r="R19"/>
  <c r="S19"/>
  <c r="B18"/>
  <c r="D18"/>
  <c r="M18" s="1"/>
  <c r="P18"/>
  <c r="Q18"/>
  <c r="R18"/>
  <c r="S18"/>
  <c r="A20" i="28"/>
  <c r="C20"/>
  <c r="D20"/>
  <c r="A19"/>
  <c r="C19"/>
  <c r="D19"/>
  <c r="K19" s="1"/>
  <c r="A18"/>
  <c r="C18"/>
  <c r="D18"/>
  <c r="K18" s="1"/>
  <c r="A17"/>
  <c r="C17"/>
  <c r="D17"/>
  <c r="A16"/>
  <c r="C16"/>
  <c r="D16"/>
  <c r="A15"/>
  <c r="C15"/>
  <c r="D15"/>
  <c r="A14"/>
  <c r="C14"/>
  <c r="D14"/>
  <c r="A13"/>
  <c r="C13"/>
  <c r="D13"/>
  <c r="A12"/>
  <c r="C12"/>
  <c r="D12"/>
  <c r="A11"/>
  <c r="C11"/>
  <c r="D11"/>
  <c r="A10"/>
  <c r="C10"/>
  <c r="D10"/>
  <c r="A9"/>
  <c r="C9"/>
  <c r="D9"/>
  <c r="P6" i="19"/>
  <c r="R6"/>
  <c r="S6"/>
  <c r="A8" i="28"/>
  <c r="C8"/>
  <c r="D8"/>
  <c r="A7"/>
  <c r="C7"/>
  <c r="D7"/>
  <c r="A6"/>
  <c r="C6"/>
  <c r="D6"/>
  <c r="K6" s="1"/>
  <c r="A5"/>
  <c r="C5"/>
  <c r="D5"/>
  <c r="A4"/>
  <c r="C4"/>
  <c r="D4"/>
  <c r="K4" s="1"/>
  <c r="BD9" i="9"/>
  <c r="BD10"/>
  <c r="BD11"/>
  <c r="BE9"/>
  <c r="BE10"/>
  <c r="BE11"/>
  <c r="K7" i="28" l="1"/>
  <c r="K20"/>
  <c r="K8"/>
  <c r="K17"/>
  <c r="K12"/>
  <c r="K14"/>
  <c r="K13"/>
  <c r="K16"/>
  <c r="K15"/>
  <c r="K11"/>
  <c r="K10"/>
  <c r="K9"/>
  <c r="N10" i="19"/>
  <c r="K5" i="28"/>
  <c r="Y37" i="27"/>
  <c r="M77" i="9"/>
  <c r="Q77"/>
  <c r="Q76"/>
  <c r="M76"/>
  <c r="AN75"/>
  <c r="BA75"/>
  <c r="AY75"/>
  <c r="AD75"/>
  <c r="M75"/>
  <c r="AE75"/>
  <c r="AB75" s="1"/>
  <c r="Y36" i="27"/>
  <c r="Y35"/>
  <c r="D89" i="19"/>
  <c r="G89"/>
  <c r="G10"/>
  <c r="Y34" i="27"/>
  <c r="G9" i="19"/>
  <c r="D8"/>
  <c r="D9"/>
  <c r="N9" s="1"/>
  <c r="Y32" i="27"/>
  <c r="Y24"/>
  <c r="Y33"/>
  <c r="M24"/>
  <c r="M30"/>
  <c r="M29"/>
  <c r="Y31"/>
  <c r="Y28"/>
  <c r="Y27"/>
  <c r="Y22"/>
  <c r="M22"/>
  <c r="Y26"/>
  <c r="M23"/>
  <c r="Y25"/>
  <c r="Y20"/>
  <c r="Y21"/>
  <c r="Y19"/>
  <c r="Y18"/>
  <c r="BK2" i="9"/>
  <c r="BL2" s="1"/>
  <c r="BK3"/>
  <c r="BL3" s="1"/>
  <c r="BK4"/>
  <c r="BM4" s="1"/>
  <c r="BK5"/>
  <c r="BM5" s="1"/>
  <c r="BK6"/>
  <c r="BM6" s="1"/>
  <c r="BK7"/>
  <c r="BM7" s="1"/>
  <c r="BK8"/>
  <c r="BM8" s="1"/>
  <c r="BK9"/>
  <c r="BM9" s="1"/>
  <c r="BK10"/>
  <c r="BL10" s="1"/>
  <c r="BK11"/>
  <c r="BL11" s="1"/>
  <c r="BK12"/>
  <c r="BM12" s="1"/>
  <c r="BK13"/>
  <c r="BM13" s="1"/>
  <c r="BK14"/>
  <c r="BM14" s="1"/>
  <c r="B5" i="27"/>
  <c r="D5"/>
  <c r="M5" s="1"/>
  <c r="P5"/>
  <c r="Q5"/>
  <c r="R5"/>
  <c r="S5"/>
  <c r="CF4" i="9"/>
  <c r="CG4" s="1"/>
  <c r="O10"/>
  <c r="AE10" s="1"/>
  <c r="AB10" s="1"/>
  <c r="O11"/>
  <c r="AE11" s="1"/>
  <c r="AB11" s="1"/>
  <c r="O12"/>
  <c r="M12" s="1"/>
  <c r="P10"/>
  <c r="P11"/>
  <c r="P12"/>
  <c r="AJ10"/>
  <c r="AJ11"/>
  <c r="AJ12"/>
  <c r="AT10"/>
  <c r="AT11"/>
  <c r="AT12"/>
  <c r="B5"/>
  <c r="N89" i="19" l="1"/>
  <c r="N8"/>
  <c r="AN77" i="9"/>
  <c r="AY77"/>
  <c r="AD77"/>
  <c r="BA77"/>
  <c r="BA76"/>
  <c r="AD76"/>
  <c r="AY76"/>
  <c r="AN76"/>
  <c r="BM10"/>
  <c r="BM2"/>
  <c r="BL6"/>
  <c r="BM11"/>
  <c r="BL7"/>
  <c r="BL4"/>
  <c r="BM3"/>
  <c r="BL12"/>
  <c r="BL14"/>
  <c r="BL13"/>
  <c r="BL5"/>
  <c r="BL8"/>
  <c r="BL9"/>
  <c r="Y5" i="27"/>
  <c r="CI4" i="9"/>
  <c r="M10"/>
  <c r="AE12"/>
  <c r="AB12" s="1"/>
  <c r="Q12"/>
  <c r="AD12" s="1"/>
  <c r="M11"/>
  <c r="Q10"/>
  <c r="Q11"/>
  <c r="CF2"/>
  <c r="CG2" s="1"/>
  <c r="CF3"/>
  <c r="CG3" s="1"/>
  <c r="CF5"/>
  <c r="CG5" s="1"/>
  <c r="CF6"/>
  <c r="CG6" s="1"/>
  <c r="CF7"/>
  <c r="CG7" s="1"/>
  <c r="A5" i="19"/>
  <c r="B5"/>
  <c r="C5"/>
  <c r="BD6" i="9"/>
  <c r="BE6"/>
  <c r="O6"/>
  <c r="Q6" s="1"/>
  <c r="P6"/>
  <c r="AJ6"/>
  <c r="AT6"/>
  <c r="A7" i="19"/>
  <c r="B7"/>
  <c r="G7" s="1"/>
  <c r="C7"/>
  <c r="A3" i="28"/>
  <c r="C3"/>
  <c r="D3"/>
  <c r="K3" s="1"/>
  <c r="P3" i="19"/>
  <c r="R3"/>
  <c r="S3"/>
  <c r="A66" i="24"/>
  <c r="C66"/>
  <c r="A19"/>
  <c r="A20"/>
  <c r="A21"/>
  <c r="A22"/>
  <c r="A23"/>
  <c r="C19"/>
  <c r="C20"/>
  <c r="C21"/>
  <c r="C22"/>
  <c r="C23"/>
  <c r="A26"/>
  <c r="A27"/>
  <c r="A28"/>
  <c r="A29"/>
  <c r="A30"/>
  <c r="A31"/>
  <c r="C26"/>
  <c r="C27"/>
  <c r="C28"/>
  <c r="C29"/>
  <c r="C30"/>
  <c r="C31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A26"/>
  <c r="A27" s="1"/>
  <c r="C26"/>
  <c r="C27"/>
  <c r="E26"/>
  <c r="E27"/>
  <c r="H8" i="14"/>
  <c r="A8"/>
  <c r="B8"/>
  <c r="A5"/>
  <c r="A6"/>
  <c r="B5"/>
  <c r="B6"/>
  <c r="H5"/>
  <c r="H6"/>
  <c r="B48" i="1"/>
  <c r="F48" s="1"/>
  <c r="B49"/>
  <c r="H49" s="1"/>
  <c r="C48"/>
  <c r="E48" s="1"/>
  <c r="C49"/>
  <c r="E49" s="1"/>
  <c r="D48"/>
  <c r="D49"/>
  <c r="B46"/>
  <c r="H46" s="1"/>
  <c r="B47"/>
  <c r="F47" s="1"/>
  <c r="C46"/>
  <c r="E46" s="1"/>
  <c r="G46" s="1"/>
  <c r="C47"/>
  <c r="E47" s="1"/>
  <c r="D46"/>
  <c r="D47"/>
  <c r="F46"/>
  <c r="A11" i="24"/>
  <c r="C11"/>
  <c r="A4"/>
  <c r="A5"/>
  <c r="A6"/>
  <c r="A7"/>
  <c r="A8"/>
  <c r="C4"/>
  <c r="C5"/>
  <c r="C6"/>
  <c r="C7"/>
  <c r="C8"/>
  <c r="BD13" i="9"/>
  <c r="BD14"/>
  <c r="BD15"/>
  <c r="BE13"/>
  <c r="BE14"/>
  <c r="BE15"/>
  <c r="BD8"/>
  <c r="BD12"/>
  <c r="BE8"/>
  <c r="BE12"/>
  <c r="BD56"/>
  <c r="BE56"/>
  <c r="O73"/>
  <c r="Q73" s="1"/>
  <c r="P73"/>
  <c r="AJ73"/>
  <c r="AT73"/>
  <c r="BA12" l="1"/>
  <c r="AN12"/>
  <c r="AY12"/>
  <c r="BA11"/>
  <c r="AY11"/>
  <c r="AD11"/>
  <c r="AN11"/>
  <c r="AY10"/>
  <c r="BA10"/>
  <c r="AD10"/>
  <c r="AN10"/>
  <c r="CI3"/>
  <c r="CI5"/>
  <c r="CI7"/>
  <c r="CI6"/>
  <c r="CI2"/>
  <c r="D5" i="19"/>
  <c r="N5" s="1"/>
  <c r="G5"/>
  <c r="M6" i="9"/>
  <c r="AN6"/>
  <c r="AY6"/>
  <c r="BA6"/>
  <c r="AD6"/>
  <c r="AE6"/>
  <c r="AB6" s="1"/>
  <c r="D7" i="19"/>
  <c r="G26" i="26"/>
  <c r="H26" s="1"/>
  <c r="F26"/>
  <c r="F27"/>
  <c r="G27" s="1"/>
  <c r="H27" s="1"/>
  <c r="H47" i="1"/>
  <c r="F49"/>
  <c r="G48"/>
  <c r="I48"/>
  <c r="G49"/>
  <c r="J49"/>
  <c r="I49"/>
  <c r="H48"/>
  <c r="J48"/>
  <c r="G47"/>
  <c r="I47"/>
  <c r="J46"/>
  <c r="I46"/>
  <c r="J47"/>
  <c r="AN73" i="9"/>
  <c r="BA73"/>
  <c r="AD73"/>
  <c r="AY73"/>
  <c r="M73"/>
  <c r="AE73"/>
  <c r="AB73" s="1"/>
  <c r="O18"/>
  <c r="AE18" s="1"/>
  <c r="AB18" s="1"/>
  <c r="P18"/>
  <c r="AJ18"/>
  <c r="AT18"/>
  <c r="BU5"/>
  <c r="O31"/>
  <c r="AE31" s="1"/>
  <c r="AB31" s="1"/>
  <c r="P31"/>
  <c r="AJ31"/>
  <c r="AT31"/>
  <c r="B17" i="27"/>
  <c r="D17"/>
  <c r="M17" s="1"/>
  <c r="P17"/>
  <c r="Q17"/>
  <c r="R17"/>
  <c r="S17"/>
  <c r="B16"/>
  <c r="D16"/>
  <c r="M16" s="1"/>
  <c r="P16"/>
  <c r="Q16"/>
  <c r="R16"/>
  <c r="S16"/>
  <c r="B15"/>
  <c r="D15"/>
  <c r="M15" s="1"/>
  <c r="P15"/>
  <c r="Q15"/>
  <c r="R15"/>
  <c r="S15"/>
  <c r="B14"/>
  <c r="D14"/>
  <c r="Y14" s="1"/>
  <c r="P14"/>
  <c r="Q14"/>
  <c r="R14"/>
  <c r="S14"/>
  <c r="B13"/>
  <c r="D13"/>
  <c r="M13" s="1"/>
  <c r="P13"/>
  <c r="Q13"/>
  <c r="R13"/>
  <c r="S13"/>
  <c r="B12"/>
  <c r="D12"/>
  <c r="M12" s="1"/>
  <c r="P12"/>
  <c r="Q12"/>
  <c r="R12"/>
  <c r="S12"/>
  <c r="B11"/>
  <c r="D11"/>
  <c r="M11" s="1"/>
  <c r="P11"/>
  <c r="Q11"/>
  <c r="R11"/>
  <c r="S11"/>
  <c r="B10"/>
  <c r="D10"/>
  <c r="P10"/>
  <c r="Q10"/>
  <c r="R10"/>
  <c r="S10"/>
  <c r="B9"/>
  <c r="D9"/>
  <c r="Y9" s="1"/>
  <c r="P9"/>
  <c r="Q9"/>
  <c r="R9"/>
  <c r="S9"/>
  <c r="B8"/>
  <c r="D8"/>
  <c r="M8" s="1"/>
  <c r="P8"/>
  <c r="Q8"/>
  <c r="R8"/>
  <c r="S8"/>
  <c r="B7"/>
  <c r="D7"/>
  <c r="M7" s="1"/>
  <c r="P7"/>
  <c r="Q7"/>
  <c r="R7"/>
  <c r="S7"/>
  <c r="BD52" i="9"/>
  <c r="BE52"/>
  <c r="BD55"/>
  <c r="BE55"/>
  <c r="BD54"/>
  <c r="BE54"/>
  <c r="BD53"/>
  <c r="BE53"/>
  <c r="O74"/>
  <c r="Q74" s="1"/>
  <c r="P74"/>
  <c r="AJ74"/>
  <c r="AT74"/>
  <c r="O72"/>
  <c r="Q72" s="1"/>
  <c r="P72"/>
  <c r="AJ72"/>
  <c r="AT72"/>
  <c r="O71"/>
  <c r="AE71" s="1"/>
  <c r="AB71" s="1"/>
  <c r="P71"/>
  <c r="AJ71"/>
  <c r="AT71"/>
  <c r="B25"/>
  <c r="O70"/>
  <c r="P70"/>
  <c r="AJ70"/>
  <c r="AT70"/>
  <c r="B24"/>
  <c r="BD51"/>
  <c r="BE51"/>
  <c r="BD50"/>
  <c r="BE50"/>
  <c r="O69"/>
  <c r="AE69" s="1"/>
  <c r="AB69" s="1"/>
  <c r="P69"/>
  <c r="AJ69"/>
  <c r="AT69"/>
  <c r="O68"/>
  <c r="Q68" s="1"/>
  <c r="DE11" s="1"/>
  <c r="P68"/>
  <c r="AJ68"/>
  <c r="AT68"/>
  <c r="B23"/>
  <c r="BD49"/>
  <c r="BE49"/>
  <c r="BD48"/>
  <c r="BE48"/>
  <c r="BD47"/>
  <c r="BE47"/>
  <c r="O67"/>
  <c r="AE67" s="1"/>
  <c r="AB67" s="1"/>
  <c r="P67"/>
  <c r="AJ67"/>
  <c r="AT67"/>
  <c r="O66"/>
  <c r="Q66" s="1"/>
  <c r="P66"/>
  <c r="AJ66"/>
  <c r="AT66"/>
  <c r="O65"/>
  <c r="Q65" s="1"/>
  <c r="P65"/>
  <c r="AJ65"/>
  <c r="AT65"/>
  <c r="B22"/>
  <c r="BD46"/>
  <c r="BE46"/>
  <c r="BD45"/>
  <c r="BE45"/>
  <c r="O64"/>
  <c r="Q64" s="1"/>
  <c r="P64"/>
  <c r="AJ64"/>
  <c r="AT64"/>
  <c r="O63"/>
  <c r="Q63" s="1"/>
  <c r="P63"/>
  <c r="AJ63"/>
  <c r="AT63"/>
  <c r="BD22"/>
  <c r="BD23"/>
  <c r="BD24"/>
  <c r="BE22"/>
  <c r="BE23"/>
  <c r="BE24"/>
  <c r="O32"/>
  <c r="AE32" s="1"/>
  <c r="AB32" s="1"/>
  <c r="O33"/>
  <c r="AE33" s="1"/>
  <c r="AB33" s="1"/>
  <c r="O34"/>
  <c r="M34" s="1"/>
  <c r="P32"/>
  <c r="P33"/>
  <c r="P34"/>
  <c r="AJ32"/>
  <c r="AJ33"/>
  <c r="AJ34"/>
  <c r="AT32"/>
  <c r="AT33"/>
  <c r="AT34"/>
  <c r="B11"/>
  <c r="B21"/>
  <c r="BD40"/>
  <c r="BE40"/>
  <c r="O53"/>
  <c r="AE53" s="1"/>
  <c r="AB53" s="1"/>
  <c r="P53"/>
  <c r="AJ53"/>
  <c r="AT53"/>
  <c r="C69" i="3"/>
  <c r="D69"/>
  <c r="E69"/>
  <c r="F69"/>
  <c r="G69"/>
  <c r="H69"/>
  <c r="I69"/>
  <c r="J69"/>
  <c r="BD44" i="9"/>
  <c r="BE44"/>
  <c r="BD43"/>
  <c r="BE43"/>
  <c r="BD42"/>
  <c r="BE42"/>
  <c r="O61"/>
  <c r="Q61" s="1"/>
  <c r="P61"/>
  <c r="AJ61"/>
  <c r="AT61"/>
  <c r="O60"/>
  <c r="AE60" s="1"/>
  <c r="AB60" s="1"/>
  <c r="P60"/>
  <c r="AJ60"/>
  <c r="AT60"/>
  <c r="O59"/>
  <c r="AE59" s="1"/>
  <c r="AB59" s="1"/>
  <c r="P59"/>
  <c r="AJ59"/>
  <c r="AT59"/>
  <c r="O58"/>
  <c r="AE58" s="1"/>
  <c r="AB58" s="1"/>
  <c r="P58"/>
  <c r="AJ58"/>
  <c r="AT58"/>
  <c r="B20"/>
  <c r="O57"/>
  <c r="AE57" s="1"/>
  <c r="AB57" s="1"/>
  <c r="P57"/>
  <c r="AJ57"/>
  <c r="AT57"/>
  <c r="O56"/>
  <c r="AE56" s="1"/>
  <c r="AB56" s="1"/>
  <c r="P56"/>
  <c r="AJ56"/>
  <c r="AT56"/>
  <c r="O55"/>
  <c r="AE55" s="1"/>
  <c r="AB55" s="1"/>
  <c r="P55"/>
  <c r="AJ55"/>
  <c r="AT55"/>
  <c r="O54"/>
  <c r="AE54" s="1"/>
  <c r="AB54" s="1"/>
  <c r="P54"/>
  <c r="AJ54"/>
  <c r="AT54"/>
  <c r="B19"/>
  <c r="BD39"/>
  <c r="BE39"/>
  <c r="BD38"/>
  <c r="BE38"/>
  <c r="O52"/>
  <c r="AE52" s="1"/>
  <c r="AB52" s="1"/>
  <c r="P52"/>
  <c r="AJ52"/>
  <c r="AT52"/>
  <c r="O51"/>
  <c r="AE51" s="1"/>
  <c r="AB51" s="1"/>
  <c r="P51"/>
  <c r="AJ51"/>
  <c r="AT51"/>
  <c r="B18"/>
  <c r="BD37"/>
  <c r="BE37"/>
  <c r="BD36"/>
  <c r="BE36"/>
  <c r="BD34"/>
  <c r="BE34"/>
  <c r="BD33"/>
  <c r="BE33"/>
  <c r="BD32"/>
  <c r="BE32"/>
  <c r="BD31"/>
  <c r="BE31"/>
  <c r="BD30"/>
  <c r="BE30"/>
  <c r="BD29"/>
  <c r="BE29"/>
  <c r="BD28"/>
  <c r="BE28"/>
  <c r="BD27"/>
  <c r="BE27"/>
  <c r="BD26"/>
  <c r="BE26"/>
  <c r="BD25"/>
  <c r="BE25"/>
  <c r="O50"/>
  <c r="AE50" s="1"/>
  <c r="AB50" s="1"/>
  <c r="P50"/>
  <c r="AJ50"/>
  <c r="AT50"/>
  <c r="O49"/>
  <c r="AE49" s="1"/>
  <c r="AB49" s="1"/>
  <c r="P49"/>
  <c r="AJ49"/>
  <c r="AT49"/>
  <c r="B17"/>
  <c r="O47"/>
  <c r="AE47" s="1"/>
  <c r="AB47" s="1"/>
  <c r="P47"/>
  <c r="AJ47"/>
  <c r="AT47"/>
  <c r="O46"/>
  <c r="AE46" s="1"/>
  <c r="AB46" s="1"/>
  <c r="P46"/>
  <c r="AJ46"/>
  <c r="AT46"/>
  <c r="B16"/>
  <c r="BU4"/>
  <c r="O45"/>
  <c r="Q45" s="1"/>
  <c r="P45"/>
  <c r="AJ45"/>
  <c r="AT45"/>
  <c r="O44"/>
  <c r="AE44" s="1"/>
  <c r="AB44" s="1"/>
  <c r="P44"/>
  <c r="AJ44"/>
  <c r="AT44"/>
  <c r="O43"/>
  <c r="AE43" s="1"/>
  <c r="AB43" s="1"/>
  <c r="P43"/>
  <c r="AJ43"/>
  <c r="AT43"/>
  <c r="B15"/>
  <c r="O42"/>
  <c r="AE42" s="1"/>
  <c r="AB42" s="1"/>
  <c r="P42"/>
  <c r="AJ42"/>
  <c r="AT42"/>
  <c r="O41"/>
  <c r="AE41" s="1"/>
  <c r="AB41" s="1"/>
  <c r="P41"/>
  <c r="AJ41"/>
  <c r="AT41"/>
  <c r="O40"/>
  <c r="AE40" s="1"/>
  <c r="AB40" s="1"/>
  <c r="P40"/>
  <c r="AJ40"/>
  <c r="AT40"/>
  <c r="B14"/>
  <c r="O39"/>
  <c r="AE39" s="1"/>
  <c r="AB39" s="1"/>
  <c r="P39"/>
  <c r="AJ39"/>
  <c r="AT39"/>
  <c r="O38"/>
  <c r="AE38" s="1"/>
  <c r="AB38" s="1"/>
  <c r="P38"/>
  <c r="AJ38"/>
  <c r="AT38"/>
  <c r="B13"/>
  <c r="O37"/>
  <c r="AE37" s="1"/>
  <c r="AB37" s="1"/>
  <c r="P37"/>
  <c r="AJ37"/>
  <c r="AT37"/>
  <c r="O36"/>
  <c r="AE36" s="1"/>
  <c r="AB36" s="1"/>
  <c r="P36"/>
  <c r="AJ36"/>
  <c r="AT36"/>
  <c r="O35"/>
  <c r="AE35" s="1"/>
  <c r="AB35" s="1"/>
  <c r="P35"/>
  <c r="AJ35"/>
  <c r="AT35"/>
  <c r="B12"/>
  <c r="A6" i="19"/>
  <c r="B6"/>
  <c r="C6"/>
  <c r="BU3" i="9"/>
  <c r="O30"/>
  <c r="AE30" s="1"/>
  <c r="AB30" s="1"/>
  <c r="P30"/>
  <c r="AJ30"/>
  <c r="AT30"/>
  <c r="O29"/>
  <c r="AE29" s="1"/>
  <c r="AB29" s="1"/>
  <c r="P29"/>
  <c r="AJ29"/>
  <c r="AT29"/>
  <c r="B10"/>
  <c r="N7" i="19" l="1"/>
  <c r="M18" i="9"/>
  <c r="Q18"/>
  <c r="AN18" s="1"/>
  <c r="M31"/>
  <c r="Q31"/>
  <c r="AN31" s="1"/>
  <c r="Y17" i="27"/>
  <c r="Y16"/>
  <c r="Y15"/>
  <c r="M14"/>
  <c r="Y13"/>
  <c r="Y12"/>
  <c r="Y11"/>
  <c r="Y10"/>
  <c r="M10"/>
  <c r="M9"/>
  <c r="Y8"/>
  <c r="Y7"/>
  <c r="BA74" i="9"/>
  <c r="AD74"/>
  <c r="AY74"/>
  <c r="AN74"/>
  <c r="M71"/>
  <c r="M74"/>
  <c r="AE74"/>
  <c r="AB74" s="1"/>
  <c r="BA72"/>
  <c r="AD72"/>
  <c r="AY72"/>
  <c r="AN72"/>
  <c r="M72"/>
  <c r="AE72"/>
  <c r="AB72" s="1"/>
  <c r="Q71"/>
  <c r="M70"/>
  <c r="Q70"/>
  <c r="DE12" s="1"/>
  <c r="M69"/>
  <c r="Q69"/>
  <c r="AD68"/>
  <c r="AN68"/>
  <c r="AY68"/>
  <c r="BA68"/>
  <c r="AE68"/>
  <c r="AB68" s="1"/>
  <c r="M68"/>
  <c r="Q67"/>
  <c r="M67"/>
  <c r="BA66"/>
  <c r="AN66"/>
  <c r="AD66"/>
  <c r="AY66"/>
  <c r="M66"/>
  <c r="AE66"/>
  <c r="AB66" s="1"/>
  <c r="AN65"/>
  <c r="BA65"/>
  <c r="AD65"/>
  <c r="AY65"/>
  <c r="M65"/>
  <c r="AE65"/>
  <c r="AB65" s="1"/>
  <c r="AD64"/>
  <c r="AY64"/>
  <c r="AN64"/>
  <c r="BA64"/>
  <c r="AE64"/>
  <c r="AB64" s="1"/>
  <c r="M64"/>
  <c r="BA63"/>
  <c r="AN63"/>
  <c r="AD63"/>
  <c r="AY63"/>
  <c r="M63"/>
  <c r="AE63"/>
  <c r="AB63" s="1"/>
  <c r="M32"/>
  <c r="AE34"/>
  <c r="AB34" s="1"/>
  <c r="Q34"/>
  <c r="AD34" s="1"/>
  <c r="Q32"/>
  <c r="M33"/>
  <c r="Q33"/>
  <c r="M61"/>
  <c r="Q53"/>
  <c r="M53"/>
  <c r="K69" i="3"/>
  <c r="Q60" i="9"/>
  <c r="AN60" s="1"/>
  <c r="M59"/>
  <c r="M60"/>
  <c r="AN61"/>
  <c r="BA61"/>
  <c r="AD61"/>
  <c r="AY61"/>
  <c r="AE61"/>
  <c r="AB61" s="1"/>
  <c r="M58"/>
  <c r="Q58"/>
  <c r="AN58" s="1"/>
  <c r="Q59"/>
  <c r="M49"/>
  <c r="M57"/>
  <c r="M56"/>
  <c r="Q57"/>
  <c r="AY57" s="1"/>
  <c r="M55"/>
  <c r="Q55"/>
  <c r="AN55" s="1"/>
  <c r="Q56"/>
  <c r="Q54"/>
  <c r="AN54" s="1"/>
  <c r="M54"/>
  <c r="M52"/>
  <c r="Q52"/>
  <c r="M51"/>
  <c r="Q51"/>
  <c r="AN51" s="1"/>
  <c r="M50"/>
  <c r="Q50"/>
  <c r="AN50" s="1"/>
  <c r="Q47"/>
  <c r="AN47" s="1"/>
  <c r="Q49"/>
  <c r="M47"/>
  <c r="M44"/>
  <c r="Q44"/>
  <c r="AN44" s="1"/>
  <c r="M45"/>
  <c r="M46"/>
  <c r="Q46"/>
  <c r="AN46" s="1"/>
  <c r="AN45"/>
  <c r="BA45"/>
  <c r="AD45"/>
  <c r="AY45"/>
  <c r="AE45"/>
  <c r="AB45" s="1"/>
  <c r="M43"/>
  <c r="Q43"/>
  <c r="AN43" s="1"/>
  <c r="M42"/>
  <c r="Q39"/>
  <c r="AN39" s="1"/>
  <c r="Q42"/>
  <c r="AN42" s="1"/>
  <c r="M41"/>
  <c r="Q41"/>
  <c r="AN41" s="1"/>
  <c r="M40"/>
  <c r="Q40"/>
  <c r="M39"/>
  <c r="M38"/>
  <c r="Q38"/>
  <c r="AN38" s="1"/>
  <c r="M37"/>
  <c r="Q37"/>
  <c r="BA37" s="1"/>
  <c r="Q36"/>
  <c r="AN36" s="1"/>
  <c r="M36"/>
  <c r="Q35"/>
  <c r="AN35" s="1"/>
  <c r="M35"/>
  <c r="D6" i="19"/>
  <c r="G6"/>
  <c r="M30" i="9"/>
  <c r="Q30"/>
  <c r="AN30" s="1"/>
  <c r="M29"/>
  <c r="Q29"/>
  <c r="BA29" s="1"/>
  <c r="BD3"/>
  <c r="BD4"/>
  <c r="BD5"/>
  <c r="BD7"/>
  <c r="BE3"/>
  <c r="BE4"/>
  <c r="BE5"/>
  <c r="BE7"/>
  <c r="BD21"/>
  <c r="BE21"/>
  <c r="BD20"/>
  <c r="BE20"/>
  <c r="BD19"/>
  <c r="BE19"/>
  <c r="BD18"/>
  <c r="BE18"/>
  <c r="BD17"/>
  <c r="BE17"/>
  <c r="BD16"/>
  <c r="BE16"/>
  <c r="O28"/>
  <c r="Q28" s="1"/>
  <c r="P28"/>
  <c r="AJ28"/>
  <c r="AT28"/>
  <c r="O27"/>
  <c r="Q27" s="1"/>
  <c r="P27"/>
  <c r="AJ27"/>
  <c r="AT27"/>
  <c r="O15"/>
  <c r="Q15" s="1"/>
  <c r="P15"/>
  <c r="AJ15"/>
  <c r="AT15"/>
  <c r="O14"/>
  <c r="Q14" s="1"/>
  <c r="P14"/>
  <c r="AJ14"/>
  <c r="AT14"/>
  <c r="O25"/>
  <c r="Q25" s="1"/>
  <c r="P25"/>
  <c r="AJ25"/>
  <c r="AT25"/>
  <c r="O26"/>
  <c r="M26" s="1"/>
  <c r="P26"/>
  <c r="AJ26"/>
  <c r="AT26"/>
  <c r="B9"/>
  <c r="O24"/>
  <c r="M24" s="1"/>
  <c r="P24"/>
  <c r="AJ24"/>
  <c r="AT24"/>
  <c r="O23"/>
  <c r="Q23" s="1"/>
  <c r="AN23" s="1"/>
  <c r="P23"/>
  <c r="AJ23"/>
  <c r="AT23"/>
  <c r="B8"/>
  <c r="O22"/>
  <c r="Q22" s="1"/>
  <c r="P22"/>
  <c r="AJ22"/>
  <c r="AT22"/>
  <c r="O21"/>
  <c r="Q21" s="1"/>
  <c r="AN21" s="1"/>
  <c r="P21"/>
  <c r="AJ21"/>
  <c r="AT21"/>
  <c r="O20"/>
  <c r="Q20" s="1"/>
  <c r="P20"/>
  <c r="AJ20"/>
  <c r="AT20"/>
  <c r="O19"/>
  <c r="Q19" s="1"/>
  <c r="P19"/>
  <c r="AJ19"/>
  <c r="AT19"/>
  <c r="O17"/>
  <c r="Q17" s="1"/>
  <c r="P17"/>
  <c r="AJ17"/>
  <c r="AT17"/>
  <c r="O16"/>
  <c r="Q16" s="1"/>
  <c r="P16"/>
  <c r="AJ16"/>
  <c r="AT16"/>
  <c r="B7"/>
  <c r="A88" i="19"/>
  <c r="B88"/>
  <c r="D88" s="1"/>
  <c r="N88" s="1"/>
  <c r="C88"/>
  <c r="A25" i="26"/>
  <c r="C25"/>
  <c r="B6" i="27"/>
  <c r="D6"/>
  <c r="M6" s="1"/>
  <c r="P6"/>
  <c r="Q6"/>
  <c r="R6"/>
  <c r="S6"/>
  <c r="B4"/>
  <c r="D4"/>
  <c r="M4" s="1"/>
  <c r="P4"/>
  <c r="Q4"/>
  <c r="R4"/>
  <c r="S4"/>
  <c r="O13" i="9"/>
  <c r="Q13" s="1"/>
  <c r="P13"/>
  <c r="AJ13"/>
  <c r="AT13"/>
  <c r="A64" i="24"/>
  <c r="A65"/>
  <c r="C64"/>
  <c r="C65"/>
  <c r="J67" i="21"/>
  <c r="K67"/>
  <c r="C31" i="3"/>
  <c r="C32"/>
  <c r="C33"/>
  <c r="C34"/>
  <c r="C35"/>
  <c r="D31"/>
  <c r="D32"/>
  <c r="D33"/>
  <c r="D34"/>
  <c r="D35"/>
  <c r="E31"/>
  <c r="E32"/>
  <c r="E33"/>
  <c r="E34"/>
  <c r="E35"/>
  <c r="F31"/>
  <c r="F32"/>
  <c r="F33"/>
  <c r="F34"/>
  <c r="F35"/>
  <c r="G31"/>
  <c r="G32"/>
  <c r="G33"/>
  <c r="G34"/>
  <c r="G35"/>
  <c r="H31"/>
  <c r="H32"/>
  <c r="H33"/>
  <c r="H34"/>
  <c r="H35"/>
  <c r="I31"/>
  <c r="I32"/>
  <c r="I33"/>
  <c r="I34"/>
  <c r="I35"/>
  <c r="J31"/>
  <c r="J32"/>
  <c r="J33"/>
  <c r="J34"/>
  <c r="J35"/>
  <c r="A87" i="19"/>
  <c r="B87"/>
  <c r="C87"/>
  <c r="O9" i="9"/>
  <c r="Q9" s="1"/>
  <c r="P9"/>
  <c r="AJ9"/>
  <c r="AT9"/>
  <c r="O8"/>
  <c r="Q8" s="1"/>
  <c r="P8"/>
  <c r="AJ8"/>
  <c r="AT8"/>
  <c r="O7"/>
  <c r="Q7" s="1"/>
  <c r="P7"/>
  <c r="AJ7"/>
  <c r="AT7"/>
  <c r="A4" i="19"/>
  <c r="B4"/>
  <c r="C4"/>
  <c r="A3" i="14"/>
  <c r="B3"/>
  <c r="H3"/>
  <c r="A3" i="19"/>
  <c r="B3"/>
  <c r="C3"/>
  <c r="B3" i="27"/>
  <c r="D3"/>
  <c r="M3" s="1"/>
  <c r="P3"/>
  <c r="Q3"/>
  <c r="R3"/>
  <c r="S3"/>
  <c r="O5" i="9"/>
  <c r="M5" s="1"/>
  <c r="P5"/>
  <c r="AJ5"/>
  <c r="AT5"/>
  <c r="O4"/>
  <c r="Q4" s="1"/>
  <c r="BA4" s="1"/>
  <c r="P4"/>
  <c r="AJ4"/>
  <c r="AT4"/>
  <c r="O3"/>
  <c r="Q3" s="1"/>
  <c r="AN3" s="1"/>
  <c r="P3"/>
  <c r="AJ3"/>
  <c r="AT3"/>
  <c r="B6"/>
  <c r="B4"/>
  <c r="B3"/>
  <c r="AN52" l="1"/>
  <c r="N6" i="19"/>
  <c r="AD18" i="9"/>
  <c r="BA18"/>
  <c r="AY18"/>
  <c r="AY31"/>
  <c r="AD31"/>
  <c r="BA31"/>
  <c r="BA71"/>
  <c r="AD71"/>
  <c r="AN71"/>
  <c r="AY71"/>
  <c r="BA70"/>
  <c r="AY70"/>
  <c r="AN70"/>
  <c r="AY69"/>
  <c r="AN69"/>
  <c r="BA69"/>
  <c r="AD69"/>
  <c r="AN67"/>
  <c r="BA67"/>
  <c r="AD67"/>
  <c r="AY67"/>
  <c r="AY34"/>
  <c r="AN34"/>
  <c r="BA34"/>
  <c r="AD32"/>
  <c r="BA32"/>
  <c r="AY32"/>
  <c r="AN32"/>
  <c r="BA33"/>
  <c r="AD33"/>
  <c r="AY33"/>
  <c r="AN33"/>
  <c r="AY60"/>
  <c r="BA60"/>
  <c r="AN53"/>
  <c r="AD53"/>
  <c r="BA53"/>
  <c r="AY53"/>
  <c r="AD60"/>
  <c r="AD58"/>
  <c r="BA58"/>
  <c r="AY58"/>
  <c r="AN59"/>
  <c r="BA59"/>
  <c r="AD59"/>
  <c r="AY59"/>
  <c r="BA57"/>
  <c r="AN57"/>
  <c r="AD57"/>
  <c r="AY55"/>
  <c r="AD55"/>
  <c r="BA55"/>
  <c r="AD56"/>
  <c r="AN56"/>
  <c r="BA56"/>
  <c r="AY56"/>
  <c r="AY54"/>
  <c r="AD54"/>
  <c r="BA54"/>
  <c r="AY52"/>
  <c r="AD52"/>
  <c r="BA52"/>
  <c r="AY51"/>
  <c r="AD51"/>
  <c r="BA51"/>
  <c r="BA50"/>
  <c r="AD50"/>
  <c r="AY50"/>
  <c r="BA47"/>
  <c r="AY47"/>
  <c r="AD47"/>
  <c r="BA49"/>
  <c r="AD49"/>
  <c r="AN49"/>
  <c r="AY49"/>
  <c r="AY44"/>
  <c r="AD44"/>
  <c r="BA44"/>
  <c r="AD46"/>
  <c r="BA46"/>
  <c r="AY46"/>
  <c r="AD39"/>
  <c r="AY39"/>
  <c r="AY43"/>
  <c r="AD43"/>
  <c r="BA43"/>
  <c r="BA39"/>
  <c r="AY42"/>
  <c r="AD42"/>
  <c r="BA42"/>
  <c r="AD41"/>
  <c r="AY41"/>
  <c r="BA41"/>
  <c r="AN40"/>
  <c r="BA40"/>
  <c r="AD40"/>
  <c r="AY40"/>
  <c r="AD36"/>
  <c r="BA36"/>
  <c r="AY38"/>
  <c r="AD38"/>
  <c r="BA38"/>
  <c r="AN37"/>
  <c r="AY37"/>
  <c r="AD37"/>
  <c r="AY36"/>
  <c r="AY35"/>
  <c r="AD35"/>
  <c r="BA35"/>
  <c r="AY30"/>
  <c r="AD30"/>
  <c r="BA30"/>
  <c r="AD29"/>
  <c r="AN29"/>
  <c r="AY29"/>
  <c r="AE21"/>
  <c r="AE15"/>
  <c r="AE22"/>
  <c r="AE7"/>
  <c r="AE23"/>
  <c r="AE8"/>
  <c r="AE24"/>
  <c r="AE16"/>
  <c r="AE9"/>
  <c r="AE25"/>
  <c r="AE17"/>
  <c r="AE26"/>
  <c r="AE19"/>
  <c r="AE13"/>
  <c r="AE3"/>
  <c r="AE27"/>
  <c r="AE14"/>
  <c r="AE4"/>
  <c r="AE28"/>
  <c r="AE20"/>
  <c r="AE5"/>
  <c r="BA28"/>
  <c r="AN28"/>
  <c r="AD28"/>
  <c r="AY28"/>
  <c r="M28"/>
  <c r="AD27"/>
  <c r="AY27"/>
  <c r="AN27"/>
  <c r="BA27"/>
  <c r="M27"/>
  <c r="AD15"/>
  <c r="BA15"/>
  <c r="AY15"/>
  <c r="AN15"/>
  <c r="M15"/>
  <c r="AN14"/>
  <c r="AY14"/>
  <c r="AD14"/>
  <c r="BA14"/>
  <c r="M14"/>
  <c r="AN25"/>
  <c r="AD25"/>
  <c r="BA25"/>
  <c r="AY25"/>
  <c r="M25"/>
  <c r="Q26"/>
  <c r="Q24"/>
  <c r="M23"/>
  <c r="AY23"/>
  <c r="AD23"/>
  <c r="BA23"/>
  <c r="M19"/>
  <c r="M20"/>
  <c r="M21"/>
  <c r="AN22"/>
  <c r="BA22"/>
  <c r="AD22"/>
  <c r="AY22"/>
  <c r="M22"/>
  <c r="BA19"/>
  <c r="AN19"/>
  <c r="AY21"/>
  <c r="AD21"/>
  <c r="BA21"/>
  <c r="AY20"/>
  <c r="AD20"/>
  <c r="AN20"/>
  <c r="BA20"/>
  <c r="AY19"/>
  <c r="AD19"/>
  <c r="BA17"/>
  <c r="AN17"/>
  <c r="AD17"/>
  <c r="AY17"/>
  <c r="M17"/>
  <c r="M16"/>
  <c r="BA16"/>
  <c r="AY16"/>
  <c r="AD16"/>
  <c r="AN16"/>
  <c r="G88" i="19"/>
  <c r="K32" i="3"/>
  <c r="K34"/>
  <c r="Y6" i="27"/>
  <c r="Y4"/>
  <c r="M13" i="9"/>
  <c r="AN13"/>
  <c r="AY13"/>
  <c r="BA13"/>
  <c r="AD13"/>
  <c r="K35" i="3"/>
  <c r="K31"/>
  <c r="K33"/>
  <c r="D87" i="19"/>
  <c r="G87"/>
  <c r="M9" i="9"/>
  <c r="M8"/>
  <c r="AD9"/>
  <c r="AY9"/>
  <c r="BA9"/>
  <c r="AN9"/>
  <c r="BA8"/>
  <c r="AN8"/>
  <c r="AD8"/>
  <c r="AY8"/>
  <c r="M7"/>
  <c r="AN7"/>
  <c r="BA7"/>
  <c r="AD7"/>
  <c r="AY7"/>
  <c r="G4" i="19"/>
  <c r="D4"/>
  <c r="G3"/>
  <c r="D3"/>
  <c r="N3" s="1"/>
  <c r="Y3" i="27"/>
  <c r="Q5" i="9"/>
  <c r="AN5" s="1"/>
  <c r="M4"/>
  <c r="M3"/>
  <c r="AN4"/>
  <c r="AY4"/>
  <c r="AD4"/>
  <c r="AY3"/>
  <c r="AD3"/>
  <c r="BA3"/>
  <c r="A40" i="24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A39"/>
  <c r="C39"/>
  <c r="A38"/>
  <c r="C38"/>
  <c r="A18"/>
  <c r="C18"/>
  <c r="A17"/>
  <c r="C17"/>
  <c r="A16"/>
  <c r="C16"/>
  <c r="A15"/>
  <c r="C15"/>
  <c r="A14"/>
  <c r="C14"/>
  <c r="A13"/>
  <c r="C13"/>
  <c r="A10"/>
  <c r="C10"/>
  <c r="A12"/>
  <c r="C12"/>
  <c r="A9"/>
  <c r="C9"/>
  <c r="A3"/>
  <c r="C3"/>
  <c r="A2"/>
  <c r="C2"/>
  <c r="A86" i="19"/>
  <c r="B86"/>
  <c r="G86" s="1"/>
  <c r="C86"/>
  <c r="A85"/>
  <c r="B85"/>
  <c r="D85" s="1"/>
  <c r="N85" s="1"/>
  <c r="C85"/>
  <c r="A84"/>
  <c r="B84"/>
  <c r="D84" s="1"/>
  <c r="N84" s="1"/>
  <c r="C84"/>
  <c r="P5"/>
  <c r="R5"/>
  <c r="S5"/>
  <c r="P4"/>
  <c r="R4"/>
  <c r="S4"/>
  <c r="A7" i="14"/>
  <c r="B7"/>
  <c r="H7"/>
  <c r="A76" i="19"/>
  <c r="A77"/>
  <c r="A78"/>
  <c r="B76"/>
  <c r="B77"/>
  <c r="G77" s="1"/>
  <c r="B78"/>
  <c r="G78" s="1"/>
  <c r="C76"/>
  <c r="C77"/>
  <c r="C78"/>
  <c r="A53"/>
  <c r="B53"/>
  <c r="D53" s="1"/>
  <c r="N53" s="1"/>
  <c r="C53"/>
  <c r="A83"/>
  <c r="B83"/>
  <c r="G83" s="1"/>
  <c r="C83"/>
  <c r="A82"/>
  <c r="B82"/>
  <c r="C82"/>
  <c r="A81"/>
  <c r="B81"/>
  <c r="G81" s="1"/>
  <c r="C81"/>
  <c r="A80"/>
  <c r="B80"/>
  <c r="C80"/>
  <c r="A79"/>
  <c r="B79"/>
  <c r="D79" s="1"/>
  <c r="AZ207" i="28" s="1"/>
  <c r="C79" i="19"/>
  <c r="A75"/>
  <c r="B75"/>
  <c r="C75"/>
  <c r="A74"/>
  <c r="B74"/>
  <c r="C74"/>
  <c r="A73"/>
  <c r="B73"/>
  <c r="C73"/>
  <c r="N87" l="1"/>
  <c r="N79"/>
  <c r="AY26" i="9"/>
  <c r="AN26"/>
  <c r="BA26"/>
  <c r="AD26"/>
  <c r="BA24"/>
  <c r="AN24"/>
  <c r="AD24"/>
  <c r="AY24"/>
  <c r="N4" i="19"/>
  <c r="G85"/>
  <c r="D86"/>
  <c r="N86" s="1"/>
  <c r="AD5" i="9"/>
  <c r="BA5"/>
  <c r="AY5"/>
  <c r="G84" i="19"/>
  <c r="D77"/>
  <c r="N77" s="1"/>
  <c r="D78"/>
  <c r="N78" s="1"/>
  <c r="D76"/>
  <c r="N76" s="1"/>
  <c r="G76"/>
  <c r="G53"/>
  <c r="D83"/>
  <c r="N83" s="1"/>
  <c r="D82"/>
  <c r="N82" s="1"/>
  <c r="G82"/>
  <c r="D81"/>
  <c r="N81" s="1"/>
  <c r="D80"/>
  <c r="G80"/>
  <c r="G79"/>
  <c r="D75"/>
  <c r="N75" s="1"/>
  <c r="G75"/>
  <c r="D74"/>
  <c r="AA91" i="28" s="1"/>
  <c r="G74" i="19"/>
  <c r="D73"/>
  <c r="AZ204" i="28" s="1"/>
  <c r="G73" i="19"/>
  <c r="A72"/>
  <c r="B72"/>
  <c r="C72"/>
  <c r="A71"/>
  <c r="B71"/>
  <c r="C71"/>
  <c r="A70"/>
  <c r="B70"/>
  <c r="C70"/>
  <c r="A69"/>
  <c r="B69"/>
  <c r="C69"/>
  <c r="A68"/>
  <c r="B68"/>
  <c r="C68"/>
  <c r="A67"/>
  <c r="B67"/>
  <c r="C67"/>
  <c r="A59"/>
  <c r="A60"/>
  <c r="A61"/>
  <c r="A62"/>
  <c r="A63"/>
  <c r="A64"/>
  <c r="A65"/>
  <c r="A66"/>
  <c r="B59"/>
  <c r="G59" s="1"/>
  <c r="B60"/>
  <c r="G60" s="1"/>
  <c r="B61"/>
  <c r="D61" s="1"/>
  <c r="B62"/>
  <c r="G62" s="1"/>
  <c r="B63"/>
  <c r="G63" s="1"/>
  <c r="B64"/>
  <c r="B65"/>
  <c r="B66"/>
  <c r="C59"/>
  <c r="C60"/>
  <c r="C61"/>
  <c r="C62"/>
  <c r="C63"/>
  <c r="C64"/>
  <c r="C65"/>
  <c r="C66"/>
  <c r="C127" i="3"/>
  <c r="D127"/>
  <c r="E127"/>
  <c r="F127"/>
  <c r="G127"/>
  <c r="H127"/>
  <c r="I127"/>
  <c r="J127"/>
  <c r="A50" i="19"/>
  <c r="A51"/>
  <c r="A52"/>
  <c r="A54"/>
  <c r="A55"/>
  <c r="A56"/>
  <c r="A57"/>
  <c r="A58"/>
  <c r="B50"/>
  <c r="G50" s="1"/>
  <c r="B51"/>
  <c r="D51" s="1"/>
  <c r="N51" s="1"/>
  <c r="B52"/>
  <c r="D52" s="1"/>
  <c r="N52" s="1"/>
  <c r="B54"/>
  <c r="G54" s="1"/>
  <c r="B55"/>
  <c r="B56"/>
  <c r="B57"/>
  <c r="G57" s="1"/>
  <c r="B58"/>
  <c r="D58" s="1"/>
  <c r="C50"/>
  <c r="C51"/>
  <c r="C52"/>
  <c r="C54"/>
  <c r="C55"/>
  <c r="C56"/>
  <c r="C57"/>
  <c r="C58"/>
  <c r="A35"/>
  <c r="B35"/>
  <c r="C35"/>
  <c r="A45"/>
  <c r="A46"/>
  <c r="A47"/>
  <c r="A48"/>
  <c r="B45"/>
  <c r="B46"/>
  <c r="G46" s="1"/>
  <c r="B47"/>
  <c r="B48"/>
  <c r="C45"/>
  <c r="C46"/>
  <c r="C47"/>
  <c r="C48"/>
  <c r="A2" i="26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J66" i="21"/>
  <c r="K66"/>
  <c r="C81" i="3"/>
  <c r="D81"/>
  <c r="E81"/>
  <c r="F81"/>
  <c r="G81"/>
  <c r="H81"/>
  <c r="I81"/>
  <c r="J81"/>
  <c r="A33" i="19"/>
  <c r="A34"/>
  <c r="A36"/>
  <c r="A37"/>
  <c r="A38"/>
  <c r="A39"/>
  <c r="A40"/>
  <c r="A41"/>
  <c r="A42"/>
  <c r="A43"/>
  <c r="A44"/>
  <c r="B33"/>
  <c r="B34"/>
  <c r="G34" s="1"/>
  <c r="B36"/>
  <c r="G36" s="1"/>
  <c r="B37"/>
  <c r="D37" s="1"/>
  <c r="B38"/>
  <c r="D38" s="1"/>
  <c r="N38" s="1"/>
  <c r="B39"/>
  <c r="D39" s="1"/>
  <c r="N39" s="1"/>
  <c r="B40"/>
  <c r="D40" s="1"/>
  <c r="B41"/>
  <c r="G41" s="1"/>
  <c r="B42"/>
  <c r="B43"/>
  <c r="G43" s="1"/>
  <c r="B44"/>
  <c r="G44" s="1"/>
  <c r="C33"/>
  <c r="C34"/>
  <c r="C36"/>
  <c r="C37"/>
  <c r="C38"/>
  <c r="C39"/>
  <c r="C40"/>
  <c r="C41"/>
  <c r="C42"/>
  <c r="C43"/>
  <c r="C44"/>
  <c r="J21" i="2"/>
  <c r="A14" i="19"/>
  <c r="B14"/>
  <c r="C14"/>
  <c r="A49"/>
  <c r="B49"/>
  <c r="C49"/>
  <c r="A32"/>
  <c r="B32"/>
  <c r="D32" s="1"/>
  <c r="N32" s="1"/>
  <c r="C32"/>
  <c r="A29"/>
  <c r="A30"/>
  <c r="A31"/>
  <c r="B29"/>
  <c r="B30"/>
  <c r="G30" s="1"/>
  <c r="B31"/>
  <c r="C29"/>
  <c r="C30"/>
  <c r="C31"/>
  <c r="A28"/>
  <c r="B28"/>
  <c r="G28" s="1"/>
  <c r="C28"/>
  <c r="A27"/>
  <c r="B27"/>
  <c r="C27"/>
  <c r="A26"/>
  <c r="B26"/>
  <c r="C26"/>
  <c r="A23"/>
  <c r="B23"/>
  <c r="C23"/>
  <c r="A25"/>
  <c r="B25"/>
  <c r="C25"/>
  <c r="A24"/>
  <c r="B24"/>
  <c r="C24"/>
  <c r="A22"/>
  <c r="B22"/>
  <c r="D22" s="1"/>
  <c r="N22" s="1"/>
  <c r="C22"/>
  <c r="A21"/>
  <c r="B21"/>
  <c r="C21"/>
  <c r="A4" i="14"/>
  <c r="B4"/>
  <c r="H4"/>
  <c r="A20" i="19"/>
  <c r="B20"/>
  <c r="C20"/>
  <c r="A19"/>
  <c r="B19"/>
  <c r="G19" s="1"/>
  <c r="C19"/>
  <c r="A18"/>
  <c r="B18"/>
  <c r="C18"/>
  <c r="A11"/>
  <c r="B11"/>
  <c r="C11"/>
  <c r="A17"/>
  <c r="B17"/>
  <c r="C17"/>
  <c r="A16"/>
  <c r="B16"/>
  <c r="C16"/>
  <c r="A15"/>
  <c r="B15"/>
  <c r="C15"/>
  <c r="A13"/>
  <c r="B13"/>
  <c r="C13"/>
  <c r="A12"/>
  <c r="B12"/>
  <c r="G12" s="1"/>
  <c r="C12"/>
  <c r="H9" i="14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AZ208" i="28" l="1"/>
  <c r="AA93"/>
  <c r="N58" i="19"/>
  <c r="N61"/>
  <c r="N37"/>
  <c r="N73"/>
  <c r="N40"/>
  <c r="N80"/>
  <c r="N74"/>
  <c r="G49"/>
  <c r="D72"/>
  <c r="G72"/>
  <c r="D71"/>
  <c r="G71"/>
  <c r="D70"/>
  <c r="G70"/>
  <c r="D68"/>
  <c r="D69"/>
  <c r="G69"/>
  <c r="G68"/>
  <c r="D67"/>
  <c r="N67" s="1"/>
  <c r="G67"/>
  <c r="D57"/>
  <c r="G56"/>
  <c r="D56"/>
  <c r="D66"/>
  <c r="N66" s="1"/>
  <c r="G66"/>
  <c r="D65"/>
  <c r="N65" s="1"/>
  <c r="G65"/>
  <c r="D64"/>
  <c r="G64"/>
  <c r="D63"/>
  <c r="D62"/>
  <c r="N62" s="1"/>
  <c r="G61"/>
  <c r="D60"/>
  <c r="D59"/>
  <c r="N59" s="1"/>
  <c r="G55"/>
  <c r="G58"/>
  <c r="D55"/>
  <c r="D50"/>
  <c r="D54"/>
  <c r="N54" s="1"/>
  <c r="G52"/>
  <c r="K127" i="3"/>
  <c r="G51" i="19"/>
  <c r="D48"/>
  <c r="G47"/>
  <c r="G45"/>
  <c r="D35"/>
  <c r="G35"/>
  <c r="G48"/>
  <c r="D46"/>
  <c r="D45"/>
  <c r="D47"/>
  <c r="D41"/>
  <c r="D44"/>
  <c r="G38"/>
  <c r="D36"/>
  <c r="G37"/>
  <c r="K81" i="3"/>
  <c r="G39" i="19"/>
  <c r="D42"/>
  <c r="N42" s="1"/>
  <c r="D33"/>
  <c r="G40"/>
  <c r="D43"/>
  <c r="N43" s="1"/>
  <c r="D34"/>
  <c r="G42"/>
  <c r="G33"/>
  <c r="D14"/>
  <c r="N14" s="1"/>
  <c r="G14"/>
  <c r="D49"/>
  <c r="G32"/>
  <c r="D26"/>
  <c r="D31"/>
  <c r="N31" s="1"/>
  <c r="G31"/>
  <c r="D29"/>
  <c r="N29" s="1"/>
  <c r="D30"/>
  <c r="N30" s="1"/>
  <c r="G29"/>
  <c r="D28"/>
  <c r="N28" s="1"/>
  <c r="D27"/>
  <c r="N27" s="1"/>
  <c r="G26"/>
  <c r="G27"/>
  <c r="D23"/>
  <c r="N23" s="1"/>
  <c r="G23"/>
  <c r="D24"/>
  <c r="N24" s="1"/>
  <c r="D25"/>
  <c r="N25" s="1"/>
  <c r="G24"/>
  <c r="G25"/>
  <c r="D21"/>
  <c r="G22"/>
  <c r="G21"/>
  <c r="D20"/>
  <c r="G20"/>
  <c r="D19"/>
  <c r="D18"/>
  <c r="G18"/>
  <c r="D11"/>
  <c r="G11"/>
  <c r="D17"/>
  <c r="N17" s="1"/>
  <c r="G17"/>
  <c r="D13"/>
  <c r="D16"/>
  <c r="N16" s="1"/>
  <c r="G15"/>
  <c r="G16"/>
  <c r="D15"/>
  <c r="N15" s="1"/>
  <c r="G13"/>
  <c r="D12"/>
  <c r="E2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6"/>
  <c r="E27"/>
  <c r="E28"/>
  <c r="E29"/>
  <c r="E30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2"/>
  <c r="E63"/>
  <c r="E64"/>
  <c r="E65"/>
  <c r="E66"/>
  <c r="E67"/>
  <c r="E68"/>
  <c r="E70"/>
  <c r="E71"/>
  <c r="E72"/>
  <c r="E73"/>
  <c r="E74"/>
  <c r="E75"/>
  <c r="E76"/>
  <c r="E77"/>
  <c r="E80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AZ185" i="28" l="1"/>
  <c r="AZ178"/>
  <c r="BA200"/>
  <c r="AZ192"/>
  <c r="AA87"/>
  <c r="AA85"/>
  <c r="AZ201"/>
  <c r="AZ200"/>
  <c r="AZ182"/>
  <c r="AZ195"/>
  <c r="AZ189"/>
  <c r="AA86"/>
  <c r="AA88"/>
  <c r="AA84"/>
  <c r="N50" i="19"/>
  <c r="N60"/>
  <c r="N71"/>
  <c r="N70"/>
  <c r="N68"/>
  <c r="N69"/>
  <c r="N56"/>
  <c r="N55"/>
  <c r="N57"/>
  <c r="N33"/>
  <c r="N35"/>
  <c r="N34"/>
  <c r="N46"/>
  <c r="N41"/>
  <c r="N11"/>
  <c r="N13"/>
  <c r="N19"/>
  <c r="N36"/>
  <c r="N12"/>
  <c r="N45"/>
  <c r="N18"/>
  <c r="N20"/>
  <c r="N21"/>
  <c r="N26"/>
  <c r="N63"/>
  <c r="N72"/>
  <c r="N47"/>
  <c r="N49"/>
  <c r="N64"/>
  <c r="N48"/>
  <c r="N44"/>
  <c r="C130" i="3"/>
  <c r="D130"/>
  <c r="F130"/>
  <c r="G130"/>
  <c r="H130"/>
  <c r="I130"/>
  <c r="J130"/>
  <c r="C121"/>
  <c r="D121"/>
  <c r="F121"/>
  <c r="G121"/>
  <c r="H121"/>
  <c r="I121"/>
  <c r="J121"/>
  <c r="C146"/>
  <c r="D146"/>
  <c r="F146"/>
  <c r="G146"/>
  <c r="H146"/>
  <c r="I146"/>
  <c r="J146"/>
  <c r="C145"/>
  <c r="D145"/>
  <c r="F145"/>
  <c r="G145"/>
  <c r="H145"/>
  <c r="I145"/>
  <c r="J145"/>
  <c r="C144"/>
  <c r="D144"/>
  <c r="F144"/>
  <c r="G144"/>
  <c r="H144"/>
  <c r="I144"/>
  <c r="J144"/>
  <c r="C143"/>
  <c r="D143"/>
  <c r="F143"/>
  <c r="G143"/>
  <c r="H143"/>
  <c r="I143"/>
  <c r="J143"/>
  <c r="C142"/>
  <c r="D142"/>
  <c r="F142"/>
  <c r="G142"/>
  <c r="H142"/>
  <c r="I142"/>
  <c r="J142"/>
  <c r="C141"/>
  <c r="D141"/>
  <c r="F141"/>
  <c r="G141"/>
  <c r="H141"/>
  <c r="I141"/>
  <c r="J141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7"/>
  <c r="D137"/>
  <c r="F137"/>
  <c r="G137"/>
  <c r="H137"/>
  <c r="I137"/>
  <c r="J137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2"/>
  <c r="D132"/>
  <c r="F132"/>
  <c r="G132"/>
  <c r="H132"/>
  <c r="I132"/>
  <c r="J132"/>
  <c r="C131"/>
  <c r="D131"/>
  <c r="F131"/>
  <c r="G131"/>
  <c r="H131"/>
  <c r="I131"/>
  <c r="J131"/>
  <c r="C129"/>
  <c r="D129"/>
  <c r="F129"/>
  <c r="G129"/>
  <c r="H129"/>
  <c r="I129"/>
  <c r="J129"/>
  <c r="C128"/>
  <c r="D128"/>
  <c r="F128"/>
  <c r="G128"/>
  <c r="H128"/>
  <c r="I128"/>
  <c r="J128"/>
  <c r="C126"/>
  <c r="D126"/>
  <c r="F126"/>
  <c r="G126"/>
  <c r="H126"/>
  <c r="I126"/>
  <c r="J126"/>
  <c r="C125"/>
  <c r="D125"/>
  <c r="F125"/>
  <c r="G125"/>
  <c r="H125"/>
  <c r="I125"/>
  <c r="J125"/>
  <c r="C124"/>
  <c r="D124"/>
  <c r="F124"/>
  <c r="G124"/>
  <c r="H124"/>
  <c r="I124"/>
  <c r="J124"/>
  <c r="C116"/>
  <c r="D116"/>
  <c r="F116"/>
  <c r="G116"/>
  <c r="H116"/>
  <c r="I116"/>
  <c r="J116"/>
  <c r="C123"/>
  <c r="D123"/>
  <c r="F123"/>
  <c r="G123"/>
  <c r="H123"/>
  <c r="I123"/>
  <c r="J123"/>
  <c r="C122"/>
  <c r="D122"/>
  <c r="F122"/>
  <c r="G122"/>
  <c r="H122"/>
  <c r="I122"/>
  <c r="J122"/>
  <c r="C120"/>
  <c r="D120"/>
  <c r="F120"/>
  <c r="G120"/>
  <c r="H120"/>
  <c r="I120"/>
  <c r="J120"/>
  <c r="C119"/>
  <c r="D119"/>
  <c r="F119"/>
  <c r="G119"/>
  <c r="H119"/>
  <c r="I119"/>
  <c r="J119"/>
  <c r="C118"/>
  <c r="D118"/>
  <c r="F118"/>
  <c r="G118"/>
  <c r="H118"/>
  <c r="I118"/>
  <c r="J118"/>
  <c r="C117"/>
  <c r="D117"/>
  <c r="F117"/>
  <c r="G117"/>
  <c r="H117"/>
  <c r="I117"/>
  <c r="J117"/>
  <c r="C115"/>
  <c r="D115"/>
  <c r="F115"/>
  <c r="G115"/>
  <c r="H115"/>
  <c r="I115"/>
  <c r="J115"/>
  <c r="C114"/>
  <c r="D114"/>
  <c r="F114"/>
  <c r="G114"/>
  <c r="H114"/>
  <c r="I114"/>
  <c r="J114"/>
  <c r="C113"/>
  <c r="D113"/>
  <c r="F113"/>
  <c r="G113"/>
  <c r="H113"/>
  <c r="I113"/>
  <c r="J113"/>
  <c r="C112"/>
  <c r="D112"/>
  <c r="F112"/>
  <c r="G112"/>
  <c r="H112"/>
  <c r="I112"/>
  <c r="J112"/>
  <c r="C111"/>
  <c r="D111"/>
  <c r="F111"/>
  <c r="G111"/>
  <c r="H111"/>
  <c r="I111"/>
  <c r="J111"/>
  <c r="C110"/>
  <c r="D110"/>
  <c r="F110"/>
  <c r="G110"/>
  <c r="H110"/>
  <c r="I110"/>
  <c r="J110"/>
  <c r="J66" i="2"/>
  <c r="J65"/>
  <c r="J64"/>
  <c r="J63"/>
  <c r="C76" i="3"/>
  <c r="C77"/>
  <c r="C80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D76"/>
  <c r="D77"/>
  <c r="D80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F76"/>
  <c r="F77"/>
  <c r="F80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G76"/>
  <c r="G77"/>
  <c r="G80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H76"/>
  <c r="H77"/>
  <c r="H80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I76"/>
  <c r="I77"/>
  <c r="I80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J76"/>
  <c r="J77"/>
  <c r="J80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C74"/>
  <c r="C75"/>
  <c r="C104"/>
  <c r="C105"/>
  <c r="D74"/>
  <c r="D75"/>
  <c r="D104"/>
  <c r="D105"/>
  <c r="F74"/>
  <c r="F75"/>
  <c r="F104"/>
  <c r="F105"/>
  <c r="G74"/>
  <c r="G75"/>
  <c r="G104"/>
  <c r="G105"/>
  <c r="H74"/>
  <c r="H75"/>
  <c r="H104"/>
  <c r="H105"/>
  <c r="I74"/>
  <c r="I75"/>
  <c r="I104"/>
  <c r="I105"/>
  <c r="J74"/>
  <c r="J75"/>
  <c r="J104"/>
  <c r="J105"/>
  <c r="C49"/>
  <c r="C50"/>
  <c r="C51"/>
  <c r="C52"/>
  <c r="C53"/>
  <c r="C54"/>
  <c r="C55"/>
  <c r="C56"/>
  <c r="C57"/>
  <c r="C58"/>
  <c r="C59"/>
  <c r="C60"/>
  <c r="C62"/>
  <c r="C63"/>
  <c r="C64"/>
  <c r="C65"/>
  <c r="C66"/>
  <c r="C67"/>
  <c r="C68"/>
  <c r="C70"/>
  <c r="C71"/>
  <c r="C72"/>
  <c r="C73"/>
  <c r="D49"/>
  <c r="D50"/>
  <c r="D51"/>
  <c r="D52"/>
  <c r="D53"/>
  <c r="D54"/>
  <c r="D55"/>
  <c r="D56"/>
  <c r="D57"/>
  <c r="D58"/>
  <c r="D59"/>
  <c r="D60"/>
  <c r="D62"/>
  <c r="D63"/>
  <c r="D64"/>
  <c r="D65"/>
  <c r="D66"/>
  <c r="D67"/>
  <c r="D68"/>
  <c r="D70"/>
  <c r="D71"/>
  <c r="D72"/>
  <c r="D73"/>
  <c r="F49"/>
  <c r="F50"/>
  <c r="F51"/>
  <c r="F52"/>
  <c r="F53"/>
  <c r="F54"/>
  <c r="F55"/>
  <c r="F56"/>
  <c r="F57"/>
  <c r="F58"/>
  <c r="F59"/>
  <c r="F60"/>
  <c r="F62"/>
  <c r="F63"/>
  <c r="F64"/>
  <c r="F65"/>
  <c r="F66"/>
  <c r="F67"/>
  <c r="F68"/>
  <c r="F70"/>
  <c r="F71"/>
  <c r="F72"/>
  <c r="F73"/>
  <c r="G49"/>
  <c r="G50"/>
  <c r="G51"/>
  <c r="G52"/>
  <c r="G53"/>
  <c r="G54"/>
  <c r="G55"/>
  <c r="G56"/>
  <c r="G57"/>
  <c r="G58"/>
  <c r="G59"/>
  <c r="G60"/>
  <c r="G62"/>
  <c r="G63"/>
  <c r="G64"/>
  <c r="G65"/>
  <c r="G66"/>
  <c r="G67"/>
  <c r="G68"/>
  <c r="G70"/>
  <c r="G71"/>
  <c r="G72"/>
  <c r="G73"/>
  <c r="H49"/>
  <c r="H50"/>
  <c r="H51"/>
  <c r="H52"/>
  <c r="H53"/>
  <c r="H54"/>
  <c r="H55"/>
  <c r="H56"/>
  <c r="H57"/>
  <c r="H58"/>
  <c r="H59"/>
  <c r="H60"/>
  <c r="H62"/>
  <c r="H63"/>
  <c r="H64"/>
  <c r="H65"/>
  <c r="H66"/>
  <c r="H67"/>
  <c r="H68"/>
  <c r="H70"/>
  <c r="H71"/>
  <c r="H72"/>
  <c r="H73"/>
  <c r="I49"/>
  <c r="I50"/>
  <c r="I51"/>
  <c r="I52"/>
  <c r="I53"/>
  <c r="I54"/>
  <c r="I55"/>
  <c r="I56"/>
  <c r="I57"/>
  <c r="I58"/>
  <c r="I59"/>
  <c r="I60"/>
  <c r="I62"/>
  <c r="I63"/>
  <c r="I64"/>
  <c r="I65"/>
  <c r="I66"/>
  <c r="I67"/>
  <c r="I68"/>
  <c r="I70"/>
  <c r="I71"/>
  <c r="I72"/>
  <c r="I73"/>
  <c r="J49"/>
  <c r="J50"/>
  <c r="J51"/>
  <c r="J52"/>
  <c r="J53"/>
  <c r="J54"/>
  <c r="J55"/>
  <c r="J56"/>
  <c r="J57"/>
  <c r="J58"/>
  <c r="J59"/>
  <c r="J60"/>
  <c r="J62"/>
  <c r="J63"/>
  <c r="J64"/>
  <c r="J65"/>
  <c r="J66"/>
  <c r="J67"/>
  <c r="J68"/>
  <c r="J70"/>
  <c r="J71"/>
  <c r="J72"/>
  <c r="J73"/>
  <c r="C109"/>
  <c r="D109"/>
  <c r="F109"/>
  <c r="G109"/>
  <c r="H109"/>
  <c r="I109"/>
  <c r="J109"/>
  <c r="C108"/>
  <c r="D108"/>
  <c r="F108"/>
  <c r="G108"/>
  <c r="H108"/>
  <c r="I108"/>
  <c r="J108"/>
  <c r="C107"/>
  <c r="D107"/>
  <c r="F107"/>
  <c r="G107"/>
  <c r="H107"/>
  <c r="I107"/>
  <c r="J107"/>
  <c r="C106"/>
  <c r="D106"/>
  <c r="F106"/>
  <c r="G106"/>
  <c r="H106"/>
  <c r="I106"/>
  <c r="J106"/>
  <c r="C48"/>
  <c r="D48"/>
  <c r="F48"/>
  <c r="G48"/>
  <c r="H48"/>
  <c r="I48"/>
  <c r="J48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7"/>
  <c r="D37"/>
  <c r="F37"/>
  <c r="G37"/>
  <c r="H37"/>
  <c r="I37"/>
  <c r="J37"/>
  <c r="C36"/>
  <c r="D36"/>
  <c r="F36"/>
  <c r="G36"/>
  <c r="H36"/>
  <c r="I36"/>
  <c r="J36"/>
  <c r="C30"/>
  <c r="D30"/>
  <c r="F30"/>
  <c r="G30"/>
  <c r="H30"/>
  <c r="I30"/>
  <c r="J30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6"/>
  <c r="D26"/>
  <c r="F26"/>
  <c r="G26"/>
  <c r="H26"/>
  <c r="I26"/>
  <c r="J26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J59" i="2"/>
  <c r="J60"/>
  <c r="J26"/>
  <c r="J27"/>
  <c r="J57"/>
  <c r="J58"/>
  <c r="B69" i="1"/>
  <c r="H69" s="1"/>
  <c r="C69"/>
  <c r="E69" s="1"/>
  <c r="D69"/>
  <c r="J19" i="2"/>
  <c r="K130" i="3" l="1"/>
  <c r="K121"/>
  <c r="K146"/>
  <c r="K145"/>
  <c r="K144"/>
  <c r="K143"/>
  <c r="K142"/>
  <c r="K141"/>
  <c r="K140"/>
  <c r="K139"/>
  <c r="K138"/>
  <c r="K137"/>
  <c r="K136"/>
  <c r="K135"/>
  <c r="K134"/>
  <c r="K133"/>
  <c r="K132"/>
  <c r="K131"/>
  <c r="K129"/>
  <c r="K125"/>
  <c r="K128"/>
  <c r="K126"/>
  <c r="K124"/>
  <c r="K116"/>
  <c r="K123"/>
  <c r="K122"/>
  <c r="K120"/>
  <c r="K119"/>
  <c r="K118"/>
  <c r="K117"/>
  <c r="K115"/>
  <c r="K114"/>
  <c r="K112"/>
  <c r="K113"/>
  <c r="K111"/>
  <c r="K110"/>
  <c r="K80"/>
  <c r="K82"/>
  <c r="K94"/>
  <c r="K93"/>
  <c r="K76"/>
  <c r="K99"/>
  <c r="K87"/>
  <c r="K96"/>
  <c r="K84"/>
  <c r="K101"/>
  <c r="K89"/>
  <c r="K102"/>
  <c r="K90"/>
  <c r="K85"/>
  <c r="K100"/>
  <c r="K92"/>
  <c r="K88"/>
  <c r="K77"/>
  <c r="K91"/>
  <c r="K97"/>
  <c r="K95"/>
  <c r="K83"/>
  <c r="K98"/>
  <c r="K86"/>
  <c r="K74"/>
  <c r="K105"/>
  <c r="K75"/>
  <c r="K104"/>
  <c r="K54"/>
  <c r="K63"/>
  <c r="K67"/>
  <c r="K58"/>
  <c r="K50"/>
  <c r="K72"/>
  <c r="K71"/>
  <c r="K70"/>
  <c r="K60"/>
  <c r="K59"/>
  <c r="K51"/>
  <c r="K62"/>
  <c r="K68"/>
  <c r="K73"/>
  <c r="K64"/>
  <c r="K55"/>
  <c r="K65"/>
  <c r="K56"/>
  <c r="K53"/>
  <c r="K52"/>
  <c r="K66"/>
  <c r="K57"/>
  <c r="K49"/>
  <c r="K109"/>
  <c r="K108"/>
  <c r="K107"/>
  <c r="K106"/>
  <c r="K48"/>
  <c r="K47"/>
  <c r="K46"/>
  <c r="K45"/>
  <c r="K44"/>
  <c r="K43"/>
  <c r="K42"/>
  <c r="K41"/>
  <c r="K40"/>
  <c r="K39"/>
  <c r="K38"/>
  <c r="K37"/>
  <c r="K36"/>
  <c r="K30"/>
  <c r="K28"/>
  <c r="K29"/>
  <c r="K27"/>
  <c r="K26"/>
  <c r="K23"/>
  <c r="K24"/>
  <c r="K22"/>
  <c r="K20"/>
  <c r="K21"/>
  <c r="K18"/>
  <c r="K19"/>
  <c r="K17"/>
  <c r="K16"/>
  <c r="K14"/>
  <c r="K15"/>
  <c r="K13"/>
  <c r="K12"/>
  <c r="K11"/>
  <c r="K10"/>
  <c r="K9"/>
  <c r="K8"/>
  <c r="K6"/>
  <c r="K7"/>
  <c r="K5"/>
  <c r="K4"/>
  <c r="F69" i="1"/>
  <c r="J69"/>
  <c r="I69"/>
  <c r="G69"/>
  <c r="J20" i="2"/>
  <c r="J22"/>
  <c r="J23"/>
  <c r="J24"/>
  <c r="J25"/>
  <c r="J28"/>
  <c r="J29"/>
  <c r="J30"/>
  <c r="J55"/>
  <c r="J56"/>
  <c r="J16"/>
  <c r="J32"/>
  <c r="J31"/>
  <c r="J17"/>
  <c r="J6"/>
  <c r="J18"/>
  <c r="J53"/>
  <c r="J54"/>
  <c r="J51"/>
  <c r="J52"/>
  <c r="J61"/>
  <c r="J62"/>
  <c r="J47"/>
  <c r="J48"/>
  <c r="J50"/>
  <c r="J49"/>
  <c r="J14"/>
  <c r="J35"/>
  <c r="J36"/>
  <c r="J15"/>
  <c r="J45"/>
  <c r="J46"/>
  <c r="J43"/>
  <c r="J44"/>
  <c r="J41"/>
  <c r="J42"/>
  <c r="J39"/>
  <c r="J40"/>
  <c r="J37"/>
  <c r="J38"/>
  <c r="J34"/>
  <c r="J33" l="1"/>
  <c r="J13"/>
  <c r="J12"/>
  <c r="J11"/>
  <c r="J10"/>
  <c r="J9"/>
  <c r="J8"/>
  <c r="J7"/>
  <c r="C3" i="3"/>
  <c r="D3"/>
  <c r="F3"/>
  <c r="G3"/>
  <c r="H3"/>
  <c r="I3"/>
  <c r="J3"/>
  <c r="C2"/>
  <c r="D2"/>
  <c r="F2"/>
  <c r="G2"/>
  <c r="H2"/>
  <c r="I2"/>
  <c r="J2"/>
  <c r="J5" i="2"/>
  <c r="J44" i="2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B71" i="1"/>
  <c r="H71" s="1"/>
  <c r="C71"/>
  <c r="E71" s="1"/>
  <c r="D67" i="21" s="1"/>
  <c r="D71" i="1"/>
  <c r="C67" i="21" s="1"/>
  <c r="B70" i="1"/>
  <c r="H70" s="1"/>
  <c r="C70"/>
  <c r="E70" s="1"/>
  <c r="D70"/>
  <c r="C64" i="21" s="1"/>
  <c r="B68" i="1"/>
  <c r="H68" s="1"/>
  <c r="C68"/>
  <c r="E68" s="1"/>
  <c r="D68"/>
  <c r="B67"/>
  <c r="H67" s="1"/>
  <c r="C67"/>
  <c r="E67" s="1"/>
  <c r="D67"/>
  <c r="B66"/>
  <c r="H66" s="1"/>
  <c r="C66"/>
  <c r="E66" s="1"/>
  <c r="D61" i="21" s="1"/>
  <c r="D66" i="1"/>
  <c r="C61" i="21" s="1"/>
  <c r="B57" i="1"/>
  <c r="F57" s="1"/>
  <c r="C57"/>
  <c r="E57" s="1"/>
  <c r="D51" i="21" s="1"/>
  <c r="D57" i="1"/>
  <c r="C51" i="21" s="1"/>
  <c r="B56" i="1"/>
  <c r="F56" s="1"/>
  <c r="C56"/>
  <c r="E56" s="1"/>
  <c r="D50" i="21" s="1"/>
  <c r="D56" i="1"/>
  <c r="C50" i="21" s="1"/>
  <c r="B65" i="1"/>
  <c r="H65" s="1"/>
  <c r="C65"/>
  <c r="E65" s="1"/>
  <c r="D60" i="21" s="1"/>
  <c r="D65" i="1"/>
  <c r="B64"/>
  <c r="H64" s="1"/>
  <c r="C64"/>
  <c r="E64" s="1"/>
  <c r="D64"/>
  <c r="B63"/>
  <c r="F63" s="1"/>
  <c r="C63"/>
  <c r="E63" s="1"/>
  <c r="D63"/>
  <c r="C58" i="21" s="1"/>
  <c r="B62" i="1"/>
  <c r="H62" s="1"/>
  <c r="C62"/>
  <c r="E62" s="1"/>
  <c r="D62"/>
  <c r="B61"/>
  <c r="F61" s="1"/>
  <c r="C61"/>
  <c r="E61" s="1"/>
  <c r="D61"/>
  <c r="B60"/>
  <c r="H60" s="1"/>
  <c r="C60"/>
  <c r="E60" s="1"/>
  <c r="D55" i="21" s="1"/>
  <c r="D60" i="1"/>
  <c r="C55" i="21" s="1"/>
  <c r="B59" i="1"/>
  <c r="F59" s="1"/>
  <c r="C59"/>
  <c r="E59" s="1"/>
  <c r="D53" i="21" s="1"/>
  <c r="D54"/>
  <c r="D59" i="1"/>
  <c r="C53" i="21" s="1"/>
  <c r="C54"/>
  <c r="B58" i="1"/>
  <c r="H58" s="1"/>
  <c r="C58"/>
  <c r="E58" s="1"/>
  <c r="D52" i="21" s="1"/>
  <c r="D58" i="1"/>
  <c r="C52" i="21" s="1"/>
  <c r="B55" i="1"/>
  <c r="H55" s="1"/>
  <c r="C55"/>
  <c r="E55" s="1"/>
  <c r="D49" i="21" s="1"/>
  <c r="D55" i="1"/>
  <c r="C49" i="21" s="1"/>
  <c r="B54" i="1"/>
  <c r="F54" s="1"/>
  <c r="C54"/>
  <c r="E54" s="1"/>
  <c r="D48" i="21" s="1"/>
  <c r="D54" i="1"/>
  <c r="C48" i="21" s="1"/>
  <c r="B53" i="1"/>
  <c r="H53" s="1"/>
  <c r="C53"/>
  <c r="E53" s="1"/>
  <c r="D47" i="21" s="1"/>
  <c r="D53" i="1"/>
  <c r="C47" i="21" s="1"/>
  <c r="B52" i="1"/>
  <c r="H52" s="1"/>
  <c r="C52"/>
  <c r="E52" s="1"/>
  <c r="D46" i="21" s="1"/>
  <c r="D52" i="1"/>
  <c r="C46" i="21" s="1"/>
  <c r="B51" i="1"/>
  <c r="H51" s="1"/>
  <c r="C51"/>
  <c r="E51" s="1"/>
  <c r="D45" i="21" s="1"/>
  <c r="D51" i="1"/>
  <c r="C45" i="21" s="1"/>
  <c r="D50" i="1"/>
  <c r="C44" i="21" s="1"/>
  <c r="C56" l="1"/>
  <c r="C62"/>
  <c r="D58"/>
  <c r="D64"/>
  <c r="D59"/>
  <c r="D57"/>
  <c r="D63"/>
  <c r="C57"/>
  <c r="C63"/>
  <c r="D56"/>
  <c r="C59"/>
  <c r="D62"/>
  <c r="C60"/>
  <c r="C65"/>
  <c r="C66"/>
  <c r="D65"/>
  <c r="D66"/>
  <c r="F71" i="1"/>
  <c r="K3" i="3"/>
  <c r="K2"/>
  <c r="I71" i="1"/>
  <c r="G71"/>
  <c r="J71"/>
  <c r="F70"/>
  <c r="I70"/>
  <c r="G70"/>
  <c r="J70"/>
  <c r="F68"/>
  <c r="I68"/>
  <c r="G68"/>
  <c r="J68"/>
  <c r="F67"/>
  <c r="I67"/>
  <c r="G67"/>
  <c r="J67"/>
  <c r="F66"/>
  <c r="I66"/>
  <c r="G66"/>
  <c r="J66"/>
  <c r="H57"/>
  <c r="I57"/>
  <c r="G57"/>
  <c r="J57"/>
  <c r="H56"/>
  <c r="I56"/>
  <c r="G56"/>
  <c r="J56"/>
  <c r="F65"/>
  <c r="I65"/>
  <c r="G65"/>
  <c r="J65"/>
  <c r="F64"/>
  <c r="I64"/>
  <c r="G64"/>
  <c r="J64"/>
  <c r="H63"/>
  <c r="I63"/>
  <c r="G63"/>
  <c r="J63"/>
  <c r="F62"/>
  <c r="G62"/>
  <c r="J62"/>
  <c r="I62"/>
  <c r="H61"/>
  <c r="I61"/>
  <c r="G61"/>
  <c r="J61"/>
  <c r="F60"/>
  <c r="I60"/>
  <c r="G60"/>
  <c r="J60"/>
  <c r="H59"/>
  <c r="I59"/>
  <c r="G59"/>
  <c r="J59"/>
  <c r="F58"/>
  <c r="I58"/>
  <c r="G58"/>
  <c r="J58"/>
  <c r="F55"/>
  <c r="G55"/>
  <c r="J55"/>
  <c r="I55"/>
  <c r="H54"/>
  <c r="G54"/>
  <c r="J54"/>
  <c r="I54"/>
  <c r="F53"/>
  <c r="J53"/>
  <c r="I53"/>
  <c r="G53"/>
  <c r="I52"/>
  <c r="G52"/>
  <c r="J52"/>
  <c r="F51"/>
  <c r="F52"/>
  <c r="J51"/>
  <c r="I51"/>
  <c r="G51"/>
  <c r="BE2" i="9"/>
  <c r="BD2"/>
  <c r="S2" i="19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2"/>
  <c r="C4"/>
  <c r="D4"/>
  <c r="J4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AH2" i="28"/>
  <c r="AR2" i="29"/>
  <c r="AP2"/>
  <c r="V2" i="14"/>
  <c r="AJ2" i="27"/>
  <c r="AI2"/>
  <c r="AF2"/>
  <c r="AE2"/>
  <c r="O2" i="9"/>
  <c r="J2" i="2"/>
  <c r="J3"/>
  <c r="J4"/>
  <c r="B50" i="1"/>
  <c r="E25" i="26" s="1"/>
  <c r="F25" s="1"/>
  <c r="G25" s="1"/>
  <c r="H25" s="1"/>
  <c r="C50" i="1"/>
  <c r="E50" s="1"/>
  <c r="D44" i="21" s="1"/>
  <c r="D2" i="27"/>
  <c r="L2" s="1"/>
  <c r="U2" i="14"/>
  <c r="T2"/>
  <c r="C39" i="21"/>
  <c r="Z2" i="14"/>
  <c r="Y2"/>
  <c r="X2"/>
  <c r="W2"/>
  <c r="D20" i="21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AT204" i="28" l="1"/>
  <c r="AT206"/>
  <c r="AT208"/>
  <c r="AT207"/>
  <c r="AT205"/>
  <c r="AT202"/>
  <c r="AT203"/>
  <c r="AT197"/>
  <c r="AT201"/>
  <c r="AT198"/>
  <c r="AT200"/>
  <c r="AT199"/>
  <c r="AT191"/>
  <c r="AT195"/>
  <c r="AT192"/>
  <c r="AT196"/>
  <c r="AT194"/>
  <c r="AT193"/>
  <c r="AT184"/>
  <c r="AT188"/>
  <c r="AT190"/>
  <c r="AT189"/>
  <c r="AT187"/>
  <c r="AT186"/>
  <c r="AT185"/>
  <c r="AT177"/>
  <c r="AT182"/>
  <c r="AT183"/>
  <c r="AT181"/>
  <c r="AT180"/>
  <c r="AT179"/>
  <c r="AT178"/>
  <c r="AT171"/>
  <c r="AT176"/>
  <c r="AT175"/>
  <c r="AT172"/>
  <c r="AT174"/>
  <c r="AT173"/>
  <c r="AT170"/>
  <c r="AT169"/>
  <c r="AT168"/>
  <c r="AT167"/>
  <c r="AT166"/>
  <c r="AT165"/>
  <c r="AT164"/>
  <c r="AT64"/>
  <c r="AT163"/>
  <c r="AT160"/>
  <c r="AT162"/>
  <c r="AT161"/>
  <c r="AT157"/>
  <c r="AT158"/>
  <c r="AT159"/>
  <c r="AT154"/>
  <c r="AT155"/>
  <c r="AT156"/>
  <c r="AT152"/>
  <c r="AT153"/>
  <c r="AT150"/>
  <c r="AT151"/>
  <c r="AT148"/>
  <c r="AT149"/>
  <c r="AT146"/>
  <c r="AT147"/>
  <c r="AT144"/>
  <c r="AT145"/>
  <c r="AT142"/>
  <c r="AT143"/>
  <c r="AT140"/>
  <c r="AT141"/>
  <c r="AT139"/>
  <c r="AT138"/>
  <c r="AT136"/>
  <c r="AT137"/>
  <c r="AT134"/>
  <c r="AT135"/>
  <c r="AT132"/>
  <c r="AT133"/>
  <c r="AT130"/>
  <c r="AT131"/>
  <c r="AT128"/>
  <c r="AT129"/>
  <c r="AT124"/>
  <c r="AT125"/>
  <c r="AT127"/>
  <c r="AT126"/>
  <c r="AT119"/>
  <c r="AT120"/>
  <c r="AT123"/>
  <c r="AT122"/>
  <c r="AT121"/>
  <c r="AT117"/>
  <c r="AT118"/>
  <c r="AT115"/>
  <c r="AT116"/>
  <c r="AT85"/>
  <c r="AT114"/>
  <c r="AT46"/>
  <c r="AT79"/>
  <c r="AT113"/>
  <c r="AT111"/>
  <c r="AT112"/>
  <c r="AT110"/>
  <c r="AT109"/>
  <c r="AT53"/>
  <c r="AT108"/>
  <c r="AT55"/>
  <c r="AT104"/>
  <c r="AT107"/>
  <c r="AT106"/>
  <c r="AT105"/>
  <c r="AT52"/>
  <c r="AT103"/>
  <c r="AT101"/>
  <c r="AT102"/>
  <c r="AT40"/>
  <c r="AT100"/>
  <c r="AT95"/>
  <c r="AT99"/>
  <c r="AT98"/>
  <c r="AT97"/>
  <c r="AT96"/>
  <c r="AT93"/>
  <c r="AT94"/>
  <c r="AT91"/>
  <c r="AT92"/>
  <c r="AT89"/>
  <c r="AT90"/>
  <c r="AT87"/>
  <c r="AT88"/>
  <c r="AT84"/>
  <c r="AT86"/>
  <c r="AT83"/>
  <c r="AT78"/>
  <c r="AT81"/>
  <c r="AT82"/>
  <c r="AT77"/>
  <c r="AT80"/>
  <c r="AT75"/>
  <c r="AT76"/>
  <c r="AT73"/>
  <c r="AT74"/>
  <c r="AT72"/>
  <c r="AT69"/>
  <c r="AT70"/>
  <c r="AT71"/>
  <c r="AT68"/>
  <c r="AT35"/>
  <c r="AT66"/>
  <c r="AT67"/>
  <c r="AT65"/>
  <c r="AT62"/>
  <c r="AT63"/>
  <c r="AT60"/>
  <c r="AT61"/>
  <c r="AT58"/>
  <c r="AT59"/>
  <c r="AT56"/>
  <c r="AT57"/>
  <c r="AT51"/>
  <c r="AT54"/>
  <c r="AT49"/>
  <c r="AT50"/>
  <c r="AT48"/>
  <c r="AT45"/>
  <c r="AT47"/>
  <c r="AT43"/>
  <c r="AT44"/>
  <c r="AT41"/>
  <c r="AT42"/>
  <c r="AT38"/>
  <c r="AT39"/>
  <c r="AT36"/>
  <c r="AT37"/>
  <c r="AT33"/>
  <c r="AT34"/>
  <c r="AT31"/>
  <c r="AT32"/>
  <c r="AT30"/>
  <c r="AT28"/>
  <c r="AT29"/>
  <c r="AT26"/>
  <c r="AT27"/>
  <c r="AT24"/>
  <c r="AT25"/>
  <c r="AT22"/>
  <c r="AT23"/>
  <c r="AT20"/>
  <c r="AT21"/>
  <c r="AT18"/>
  <c r="AT19"/>
  <c r="AT16"/>
  <c r="AT17"/>
  <c r="AT14"/>
  <c r="AT15"/>
  <c r="AT12"/>
  <c r="AT13"/>
  <c r="AT11"/>
  <c r="AT9"/>
  <c r="AT10"/>
  <c r="AT8"/>
  <c r="AT7"/>
  <c r="AT5"/>
  <c r="AT6"/>
  <c r="AT3"/>
  <c r="AT4"/>
  <c r="M2" i="9"/>
  <c r="AE2"/>
  <c r="E8" i="26"/>
  <c r="E20"/>
  <c r="E4"/>
  <c r="E7"/>
  <c r="E19"/>
  <c r="E5"/>
  <c r="E14"/>
  <c r="E21"/>
  <c r="E6"/>
  <c r="E16"/>
  <c r="E15"/>
  <c r="E24"/>
  <c r="E11"/>
  <c r="F11" s="1"/>
  <c r="G11" s="1"/>
  <c r="H11" s="1"/>
  <c r="E3"/>
  <c r="F3" s="1"/>
  <c r="G3" s="1"/>
  <c r="H3" s="1"/>
  <c r="E13"/>
  <c r="E23"/>
  <c r="F23" s="1"/>
  <c r="G23" s="1"/>
  <c r="H23" s="1"/>
  <c r="E12"/>
  <c r="E22"/>
  <c r="E18"/>
  <c r="E10"/>
  <c r="E2"/>
  <c r="E17"/>
  <c r="F17" s="1"/>
  <c r="G17" s="1"/>
  <c r="H17" s="1"/>
  <c r="E9"/>
  <c r="F9" s="1"/>
  <c r="G9" s="1"/>
  <c r="H9" s="1"/>
  <c r="H50" i="1"/>
  <c r="M2" i="27"/>
  <c r="Q2" i="9"/>
  <c r="I50" i="1"/>
  <c r="J50"/>
  <c r="F50"/>
  <c r="G50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N2"/>
  <c r="AM2"/>
  <c r="AL2"/>
  <c r="AK2"/>
  <c r="Y2"/>
  <c r="Z2"/>
  <c r="U2"/>
  <c r="V2"/>
  <c r="R2" i="19"/>
  <c r="W78" i="28" s="1"/>
  <c r="A2"/>
  <c r="C2"/>
  <c r="BU2" i="9"/>
  <c r="BZ2"/>
  <c r="BZ3" s="1"/>
  <c r="BZ4" s="1"/>
  <c r="BZ5" s="1"/>
  <c r="P2" i="19"/>
  <c r="AG2" i="27"/>
  <c r="AK2"/>
  <c r="B2"/>
  <c r="AT2" i="9"/>
  <c r="AJ2"/>
  <c r="P2"/>
  <c r="B2"/>
  <c r="C2" i="19"/>
  <c r="A2" i="14"/>
  <c r="C8" s="1"/>
  <c r="D8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E6"/>
  <c r="AW206" i="28" l="1"/>
  <c r="AW205"/>
  <c r="AW207"/>
  <c r="AW208"/>
  <c r="N92"/>
  <c r="AB92" s="1"/>
  <c r="N93"/>
  <c r="AA92"/>
  <c r="AW203"/>
  <c r="AW204"/>
  <c r="N90"/>
  <c r="AD90" s="1"/>
  <c r="N91"/>
  <c r="AW202"/>
  <c r="AA90"/>
  <c r="AW201"/>
  <c r="AW200"/>
  <c r="AW199"/>
  <c r="AW198"/>
  <c r="N89"/>
  <c r="AC89" s="1"/>
  <c r="AW197"/>
  <c r="AB89"/>
  <c r="AA89"/>
  <c r="AW194"/>
  <c r="AW188"/>
  <c r="AW178"/>
  <c r="AW183"/>
  <c r="AW195"/>
  <c r="AW179"/>
  <c r="AW193"/>
  <c r="AW187"/>
  <c r="AW185"/>
  <c r="AW182"/>
  <c r="AW189"/>
  <c r="AW192"/>
  <c r="AW186"/>
  <c r="AW184"/>
  <c r="AW191"/>
  <c r="AW181"/>
  <c r="AW196"/>
  <c r="AW190"/>
  <c r="AW180"/>
  <c r="N86"/>
  <c r="N87"/>
  <c r="N85"/>
  <c r="N88"/>
  <c r="AW177"/>
  <c r="N83"/>
  <c r="AB83" s="1"/>
  <c r="N84"/>
  <c r="AA83"/>
  <c r="BA174"/>
  <c r="BB169"/>
  <c r="BB172"/>
  <c r="BB170"/>
  <c r="BA173"/>
  <c r="BB176"/>
  <c r="BB168"/>
  <c r="BB167"/>
  <c r="AZ175"/>
  <c r="BB173"/>
  <c r="BA168"/>
  <c r="AZ167"/>
  <c r="BB171"/>
  <c r="BA172"/>
  <c r="BB175"/>
  <c r="BA170"/>
  <c r="AZ176"/>
  <c r="BB174"/>
  <c r="BA169"/>
  <c r="BA167"/>
  <c r="AZ170"/>
  <c r="BA176"/>
  <c r="AZ169"/>
  <c r="BA175"/>
  <c r="BA171"/>
  <c r="AA82"/>
  <c r="AZ174"/>
  <c r="AA79"/>
  <c r="AZ173"/>
  <c r="AA81"/>
  <c r="AZ171"/>
  <c r="AZ168"/>
  <c r="AZ172"/>
  <c r="AA80"/>
  <c r="AW171"/>
  <c r="AW174"/>
  <c r="AW173"/>
  <c r="AW175"/>
  <c r="AW172"/>
  <c r="AW176"/>
  <c r="N78"/>
  <c r="V78" s="1"/>
  <c r="N79"/>
  <c r="N82"/>
  <c r="N80"/>
  <c r="N81"/>
  <c r="AA78"/>
  <c r="W76"/>
  <c r="W77"/>
  <c r="AW167"/>
  <c r="AW169"/>
  <c r="AW170"/>
  <c r="AW168"/>
  <c r="N77"/>
  <c r="N76"/>
  <c r="EK9" i="9"/>
  <c r="BB166" i="28"/>
  <c r="EJ9" i="9"/>
  <c r="BB164" i="28"/>
  <c r="BA166"/>
  <c r="BB165"/>
  <c r="EI9" i="9"/>
  <c r="BA165" i="28"/>
  <c r="BB64"/>
  <c r="BA164"/>
  <c r="BB163"/>
  <c r="BA64"/>
  <c r="EM9" i="9"/>
  <c r="AZ166" i="28"/>
  <c r="BA163"/>
  <c r="EL9" i="9"/>
  <c r="AA75" i="28"/>
  <c r="AZ165"/>
  <c r="AZ64"/>
  <c r="AZ164"/>
  <c r="EH9" i="9"/>
  <c r="AZ163" i="28"/>
  <c r="W72"/>
  <c r="W73"/>
  <c r="W74"/>
  <c r="AW166"/>
  <c r="AW165"/>
  <c r="AW164"/>
  <c r="AW163"/>
  <c r="N75"/>
  <c r="AW64"/>
  <c r="N73"/>
  <c r="N74"/>
  <c r="N71"/>
  <c r="AD71" s="1"/>
  <c r="N72"/>
  <c r="W71"/>
  <c r="W69"/>
  <c r="W62"/>
  <c r="W68"/>
  <c r="W70"/>
  <c r="W63"/>
  <c r="W64"/>
  <c r="W65"/>
  <c r="W66"/>
  <c r="W67"/>
  <c r="AH58" i="27"/>
  <c r="AH65"/>
  <c r="AH66"/>
  <c r="AH57"/>
  <c r="BA161" i="28"/>
  <c r="BA155"/>
  <c r="BB139"/>
  <c r="BB136"/>
  <c r="BB134"/>
  <c r="BA132"/>
  <c r="BA130"/>
  <c r="BA128"/>
  <c r="BA124"/>
  <c r="AZ120"/>
  <c r="BB121"/>
  <c r="AZ132"/>
  <c r="AZ128"/>
  <c r="BB127"/>
  <c r="BB120"/>
  <c r="BA159"/>
  <c r="AZ150"/>
  <c r="AZ146"/>
  <c r="AZ142"/>
  <c r="BB133"/>
  <c r="BA122"/>
  <c r="AZ140"/>
  <c r="BA133"/>
  <c r="BB124"/>
  <c r="BA156"/>
  <c r="AZ147"/>
  <c r="BB132"/>
  <c r="AZ122"/>
  <c r="AZ162"/>
  <c r="BB160"/>
  <c r="BB159"/>
  <c r="AZ156"/>
  <c r="BB154"/>
  <c r="BB150"/>
  <c r="BB148"/>
  <c r="BB146"/>
  <c r="BB144"/>
  <c r="BB142"/>
  <c r="BB138"/>
  <c r="BA136"/>
  <c r="BA134"/>
  <c r="AZ130"/>
  <c r="AZ127"/>
  <c r="AZ152"/>
  <c r="BB131"/>
  <c r="BB125"/>
  <c r="BB137"/>
  <c r="BA129"/>
  <c r="AZ157"/>
  <c r="AZ143"/>
  <c r="BA125"/>
  <c r="AZ161"/>
  <c r="BA160"/>
  <c r="BB158"/>
  <c r="AZ155"/>
  <c r="BA154"/>
  <c r="BA150"/>
  <c r="BA148"/>
  <c r="BA146"/>
  <c r="BA144"/>
  <c r="BA142"/>
  <c r="BB140"/>
  <c r="BA139"/>
  <c r="AZ136"/>
  <c r="AZ134"/>
  <c r="BB126"/>
  <c r="BA123"/>
  <c r="AZ160"/>
  <c r="AZ154"/>
  <c r="AZ148"/>
  <c r="AZ144"/>
  <c r="BA140"/>
  <c r="BA138"/>
  <c r="BB129"/>
  <c r="BA158"/>
  <c r="BA152"/>
  <c r="AZ139"/>
  <c r="BB135"/>
  <c r="BA131"/>
  <c r="BA121"/>
  <c r="AZ151"/>
  <c r="AZ145"/>
  <c r="BB130"/>
  <c r="BB122"/>
  <c r="BB162"/>
  <c r="AZ159"/>
  <c r="BB157"/>
  <c r="BB156"/>
  <c r="BB152"/>
  <c r="BB151"/>
  <c r="BB149"/>
  <c r="BB147"/>
  <c r="BB145"/>
  <c r="BB143"/>
  <c r="AZ138"/>
  <c r="BA137"/>
  <c r="BA135"/>
  <c r="AZ133"/>
  <c r="AZ131"/>
  <c r="AZ129"/>
  <c r="BA127"/>
  <c r="BA120"/>
  <c r="BB161"/>
  <c r="AZ158"/>
  <c r="BA157"/>
  <c r="BB155"/>
  <c r="BA153"/>
  <c r="BA151"/>
  <c r="BA149"/>
  <c r="BA147"/>
  <c r="BA145"/>
  <c r="BA143"/>
  <c r="BB141"/>
  <c r="AZ137"/>
  <c r="AZ135"/>
  <c r="BA126"/>
  <c r="AZ123"/>
  <c r="BB123"/>
  <c r="BA162"/>
  <c r="BB153"/>
  <c r="AZ149"/>
  <c r="BA141"/>
  <c r="BB128"/>
  <c r="AZ153"/>
  <c r="AZ141"/>
  <c r="AA59"/>
  <c r="AZ126"/>
  <c r="AA62"/>
  <c r="AA65"/>
  <c r="AA58"/>
  <c r="AZ125"/>
  <c r="AA57"/>
  <c r="AA64"/>
  <c r="AA63"/>
  <c r="AA56"/>
  <c r="AZ121"/>
  <c r="AZ124"/>
  <c r="AA61"/>
  <c r="AB65" i="27"/>
  <c r="AB66"/>
  <c r="AB57"/>
  <c r="AB58"/>
  <c r="AB63"/>
  <c r="AB59"/>
  <c r="AB64"/>
  <c r="AB61"/>
  <c r="AB60"/>
  <c r="AB62"/>
  <c r="AH60"/>
  <c r="AH64"/>
  <c r="AH63"/>
  <c r="AH62"/>
  <c r="AH59"/>
  <c r="AH61"/>
  <c r="N69" i="28"/>
  <c r="N68"/>
  <c r="N70"/>
  <c r="AL55" i="27"/>
  <c r="AL47"/>
  <c r="AL49"/>
  <c r="AL52"/>
  <c r="AL56"/>
  <c r="AL53"/>
  <c r="AL54"/>
  <c r="AL50"/>
  <c r="AL51"/>
  <c r="AL48"/>
  <c r="BF64" i="9"/>
  <c r="BF65"/>
  <c r="AL88"/>
  <c r="AK88" s="1"/>
  <c r="AL89"/>
  <c r="AV88"/>
  <c r="AU88" s="1"/>
  <c r="AV89"/>
  <c r="M8" i="14"/>
  <c r="N66" i="28"/>
  <c r="AW155"/>
  <c r="N67"/>
  <c r="AW162"/>
  <c r="AW159"/>
  <c r="AW153"/>
  <c r="AW157"/>
  <c r="AW160"/>
  <c r="AW152"/>
  <c r="AW158"/>
  <c r="N65"/>
  <c r="AW156"/>
  <c r="AW161"/>
  <c r="AW154"/>
  <c r="AW146"/>
  <c r="AW151"/>
  <c r="AW143"/>
  <c r="AW148"/>
  <c r="AW140"/>
  <c r="AW147"/>
  <c r="N63"/>
  <c r="N64"/>
  <c r="AW149"/>
  <c r="AW141"/>
  <c r="AW145"/>
  <c r="AW150"/>
  <c r="AW142"/>
  <c r="N62"/>
  <c r="AW144"/>
  <c r="N61"/>
  <c r="AB61" s="1"/>
  <c r="AW135"/>
  <c r="AW139"/>
  <c r="AW137"/>
  <c r="AW138"/>
  <c r="AW134"/>
  <c r="AW136"/>
  <c r="W57"/>
  <c r="W60"/>
  <c r="W61"/>
  <c r="AW132"/>
  <c r="AW131"/>
  <c r="AW129"/>
  <c r="AW133"/>
  <c r="AW130"/>
  <c r="N60"/>
  <c r="AB60" s="1"/>
  <c r="AW128"/>
  <c r="AA60"/>
  <c r="AH55" i="27"/>
  <c r="AH54"/>
  <c r="AH56"/>
  <c r="AB54"/>
  <c r="AK54" s="1"/>
  <c r="AB55"/>
  <c r="AB56"/>
  <c r="AW127" i="28"/>
  <c r="AW126"/>
  <c r="AW125"/>
  <c r="AW124"/>
  <c r="N58"/>
  <c r="N57"/>
  <c r="AB57" s="1"/>
  <c r="N59"/>
  <c r="AH53" i="27"/>
  <c r="AH52"/>
  <c r="AB51"/>
  <c r="AG51" s="1"/>
  <c r="AB52"/>
  <c r="AB53"/>
  <c r="AW123" i="28"/>
  <c r="AW122"/>
  <c r="AW121"/>
  <c r="AW120"/>
  <c r="N56"/>
  <c r="W56"/>
  <c r="AW119"/>
  <c r="AW115"/>
  <c r="AW118"/>
  <c r="AW117"/>
  <c r="AW114"/>
  <c r="AW116"/>
  <c r="AH51" i="27"/>
  <c r="AH49"/>
  <c r="AH50"/>
  <c r="AH48"/>
  <c r="AB48"/>
  <c r="AK48" s="1"/>
  <c r="AB50"/>
  <c r="AB49"/>
  <c r="W50" i="28"/>
  <c r="W51"/>
  <c r="AA53"/>
  <c r="AZ118"/>
  <c r="BA115"/>
  <c r="AA54"/>
  <c r="BA117"/>
  <c r="BB114"/>
  <c r="BB116"/>
  <c r="BB79"/>
  <c r="BB119"/>
  <c r="AZ117"/>
  <c r="BA114"/>
  <c r="BA119"/>
  <c r="AZ114"/>
  <c r="AZ119"/>
  <c r="BA116"/>
  <c r="BA79"/>
  <c r="BB118"/>
  <c r="AZ116"/>
  <c r="AA52"/>
  <c r="BA118"/>
  <c r="BB115"/>
  <c r="BB85"/>
  <c r="BB117"/>
  <c r="AZ115"/>
  <c r="AA55"/>
  <c r="AA51"/>
  <c r="AZ79"/>
  <c r="Z23" i="29"/>
  <c r="AA47" i="28"/>
  <c r="BA85"/>
  <c r="AV37" i="29"/>
  <c r="AA46" i="28"/>
  <c r="AA49"/>
  <c r="AZ85"/>
  <c r="AB46" i="27"/>
  <c r="AK46" s="1"/>
  <c r="AB47"/>
  <c r="N52" i="28"/>
  <c r="N51"/>
  <c r="N53"/>
  <c r="N55"/>
  <c r="N54"/>
  <c r="AH47" i="27"/>
  <c r="N50" i="28"/>
  <c r="W37"/>
  <c r="W43"/>
  <c r="W41"/>
  <c r="DE7" i="9"/>
  <c r="DE8"/>
  <c r="N48" i="28"/>
  <c r="AB48" s="1"/>
  <c r="N49"/>
  <c r="W49" s="1"/>
  <c r="BF41" i="9"/>
  <c r="AL86"/>
  <c r="AK86" s="1"/>
  <c r="AL87"/>
  <c r="DE5"/>
  <c r="DE6"/>
  <c r="DE4"/>
  <c r="AL46" i="27"/>
  <c r="AL41"/>
  <c r="AL44"/>
  <c r="AL45"/>
  <c r="AL40"/>
  <c r="AL39"/>
  <c r="AL36"/>
  <c r="AL43"/>
  <c r="AL38"/>
  <c r="AL37"/>
  <c r="AL42"/>
  <c r="AA48" i="28"/>
  <c r="W48"/>
  <c r="AW79"/>
  <c r="AW85"/>
  <c r="N46"/>
  <c r="AC46" s="1"/>
  <c r="N47"/>
  <c r="AZ9"/>
  <c r="AZ16"/>
  <c r="AZ12"/>
  <c r="AZ15"/>
  <c r="BB46"/>
  <c r="BA112"/>
  <c r="AZ30"/>
  <c r="AZ34"/>
  <c r="AZ20"/>
  <c r="BA107"/>
  <c r="AZ106"/>
  <c r="AZ99"/>
  <c r="AZ58"/>
  <c r="AZ27"/>
  <c r="AZ3"/>
  <c r="AZ22"/>
  <c r="AZ10"/>
  <c r="BA113"/>
  <c r="AZ28"/>
  <c r="AZ47"/>
  <c r="BA53"/>
  <c r="AZ39"/>
  <c r="BA106"/>
  <c r="AZ82"/>
  <c r="AZ112"/>
  <c r="AZ29"/>
  <c r="AZ5"/>
  <c r="AZ36"/>
  <c r="BA111"/>
  <c r="BB111"/>
  <c r="AZ21"/>
  <c r="BA104"/>
  <c r="AZ6"/>
  <c r="BB108"/>
  <c r="AZ31"/>
  <c r="AZ88"/>
  <c r="AZ13"/>
  <c r="AZ17"/>
  <c r="BA103"/>
  <c r="AZ72"/>
  <c r="AZ67"/>
  <c r="AZ65"/>
  <c r="AZ95"/>
  <c r="AZ110"/>
  <c r="AZ44"/>
  <c r="AZ52"/>
  <c r="AZ57"/>
  <c r="AZ11"/>
  <c r="AZ109"/>
  <c r="BB107"/>
  <c r="BB112"/>
  <c r="AZ7"/>
  <c r="BB104"/>
  <c r="AZ93"/>
  <c r="AZ103"/>
  <c r="BB106"/>
  <c r="AZ96"/>
  <c r="AZ4"/>
  <c r="BA105"/>
  <c r="AZ33"/>
  <c r="AZ8"/>
  <c r="AZ94"/>
  <c r="BA46"/>
  <c r="BB55"/>
  <c r="AZ62"/>
  <c r="AZ113"/>
  <c r="AZ55"/>
  <c r="AZ61"/>
  <c r="AZ23"/>
  <c r="BB105"/>
  <c r="AZ19"/>
  <c r="BA55"/>
  <c r="AZ25"/>
  <c r="BA108"/>
  <c r="AZ56"/>
  <c r="BB109"/>
  <c r="AZ53"/>
  <c r="BB110"/>
  <c r="AZ105"/>
  <c r="AZ43"/>
  <c r="AZ91"/>
  <c r="AZ73"/>
  <c r="AZ51"/>
  <c r="AZ48"/>
  <c r="AZ71"/>
  <c r="AZ98"/>
  <c r="AZ102"/>
  <c r="AZ87"/>
  <c r="BB53"/>
  <c r="BB113"/>
  <c r="BA109"/>
  <c r="AZ92"/>
  <c r="AZ24"/>
  <c r="AZ38"/>
  <c r="AZ14"/>
  <c r="AZ83"/>
  <c r="AZ40"/>
  <c r="AZ66"/>
  <c r="BB103"/>
  <c r="AZ78"/>
  <c r="BA110"/>
  <c r="AZ18"/>
  <c r="AZ49"/>
  <c r="AZ41"/>
  <c r="AZ37"/>
  <c r="AZ68"/>
  <c r="AZ63"/>
  <c r="AZ32"/>
  <c r="AZ86"/>
  <c r="AZ74"/>
  <c r="AZ46"/>
  <c r="AZ45"/>
  <c r="AZ84"/>
  <c r="AZ107"/>
  <c r="AZ75"/>
  <c r="AA42"/>
  <c r="AZ59"/>
  <c r="AZ97"/>
  <c r="AZ101"/>
  <c r="AZ111"/>
  <c r="AA41"/>
  <c r="AZ42"/>
  <c r="AZ104"/>
  <c r="AZ70"/>
  <c r="AA43"/>
  <c r="AZ60"/>
  <c r="AZ54"/>
  <c r="AZ80"/>
  <c r="AZ26"/>
  <c r="AZ69"/>
  <c r="AA44"/>
  <c r="AZ89"/>
  <c r="AZ50"/>
  <c r="AZ81"/>
  <c r="AZ76"/>
  <c r="AZ108"/>
  <c r="AZ100"/>
  <c r="AZ35"/>
  <c r="AZ77"/>
  <c r="AA45"/>
  <c r="AZ90"/>
  <c r="N45"/>
  <c r="AB45" s="1"/>
  <c r="AW46"/>
  <c r="AW111"/>
  <c r="AH46" i="27"/>
  <c r="AW110" i="28"/>
  <c r="AW113"/>
  <c r="AW112"/>
  <c r="N43"/>
  <c r="N44"/>
  <c r="AB44" i="27"/>
  <c r="AB45"/>
  <c r="AW109" i="28"/>
  <c r="AW53"/>
  <c r="AH44" i="27"/>
  <c r="AH43"/>
  <c r="AH45"/>
  <c r="AB42"/>
  <c r="AG42" s="1"/>
  <c r="AB43"/>
  <c r="AW55" i="28"/>
  <c r="AH42" i="27"/>
  <c r="AH41"/>
  <c r="AB40"/>
  <c r="AK40" s="1"/>
  <c r="AB41"/>
  <c r="AW108" i="28"/>
  <c r="AW103"/>
  <c r="AW107"/>
  <c r="AW106"/>
  <c r="AW105"/>
  <c r="AW104"/>
  <c r="N41"/>
  <c r="N42"/>
  <c r="BB102"/>
  <c r="BB100"/>
  <c r="BB52"/>
  <c r="BA102"/>
  <c r="BA100"/>
  <c r="BA52"/>
  <c r="BA101"/>
  <c r="BB101"/>
  <c r="AA40"/>
  <c r="AA39"/>
  <c r="AH39" i="27"/>
  <c r="AW101" i="28"/>
  <c r="N39"/>
  <c r="N40"/>
  <c r="AW52"/>
  <c r="AW102"/>
  <c r="AH40" i="27"/>
  <c r="AW100" i="28"/>
  <c r="AB39" i="27"/>
  <c r="AB37"/>
  <c r="AB38"/>
  <c r="AH38"/>
  <c r="AH37"/>
  <c r="N38" i="28"/>
  <c r="AB38" s="1"/>
  <c r="AH36" i="27"/>
  <c r="AB35"/>
  <c r="AG35" s="1"/>
  <c r="AB36"/>
  <c r="AA38" i="28"/>
  <c r="AV86" i="9"/>
  <c r="AW86" s="1"/>
  <c r="AV87"/>
  <c r="AV84"/>
  <c r="AU84" s="1"/>
  <c r="AV85"/>
  <c r="AL84"/>
  <c r="AK84" s="1"/>
  <c r="AL85"/>
  <c r="AL34" i="27"/>
  <c r="AL35"/>
  <c r="EI7" i="9"/>
  <c r="BA40" i="28"/>
  <c r="EM8" i="9"/>
  <c r="BB40" i="28"/>
  <c r="EL8" i="9"/>
  <c r="EM7"/>
  <c r="EL7"/>
  <c r="EJ8"/>
  <c r="EK7"/>
  <c r="EI8"/>
  <c r="EJ7"/>
  <c r="EK8"/>
  <c r="AV41" i="29"/>
  <c r="EK5" i="9"/>
  <c r="AV38" i="29"/>
  <c r="EJ5" i="9"/>
  <c r="EM5"/>
  <c r="EI5"/>
  <c r="EM6"/>
  <c r="EJ6"/>
  <c r="AL14" i="29"/>
  <c r="EI6" i="9"/>
  <c r="EL5"/>
  <c r="EL6"/>
  <c r="EK6"/>
  <c r="Z21" i="29"/>
  <c r="AV36"/>
  <c r="EH6" i="9"/>
  <c r="AV40" i="29"/>
  <c r="AV33"/>
  <c r="BA97" i="28"/>
  <c r="BA98"/>
  <c r="BB98"/>
  <c r="BA96"/>
  <c r="BB97"/>
  <c r="BB96"/>
  <c r="BA99"/>
  <c r="BB99"/>
  <c r="AL13" i="29"/>
  <c r="AV39"/>
  <c r="Z22"/>
  <c r="EH5" i="9"/>
  <c r="AA22" i="29"/>
  <c r="AV31"/>
  <c r="AL15"/>
  <c r="Z19"/>
  <c r="Z18"/>
  <c r="AV35"/>
  <c r="AV34"/>
  <c r="EH7" i="9"/>
  <c r="Z20" i="29"/>
  <c r="Z17"/>
  <c r="AA37" i="28"/>
  <c r="EH8" i="9"/>
  <c r="AV32" i="29"/>
  <c r="AW40" i="28"/>
  <c r="AH32" i="27"/>
  <c r="AW98" i="28"/>
  <c r="N37"/>
  <c r="AW97"/>
  <c r="AW96"/>
  <c r="AH31" i="27"/>
  <c r="AH30"/>
  <c r="AW99" i="28"/>
  <c r="AH34" i="27"/>
  <c r="AH26"/>
  <c r="AH33"/>
  <c r="AH35"/>
  <c r="AH29"/>
  <c r="AH28"/>
  <c r="AH27"/>
  <c r="AB33"/>
  <c r="AK33" s="1"/>
  <c r="AB34"/>
  <c r="AV82" i="9"/>
  <c r="AU82" s="1"/>
  <c r="AV83"/>
  <c r="AL82"/>
  <c r="AM82" s="1"/>
  <c r="AL83"/>
  <c r="BF35"/>
  <c r="BF61"/>
  <c r="BF62"/>
  <c r="BF63"/>
  <c r="AV80"/>
  <c r="AW80" s="1"/>
  <c r="AV81"/>
  <c r="AL80"/>
  <c r="AM80" s="1"/>
  <c r="AL81"/>
  <c r="AL32" i="27"/>
  <c r="AL33"/>
  <c r="AV78" i="9"/>
  <c r="AU78" s="1"/>
  <c r="AV79"/>
  <c r="AL78"/>
  <c r="AK78" s="1"/>
  <c r="AL79"/>
  <c r="AB31" i="27"/>
  <c r="AG31" s="1"/>
  <c r="AB32"/>
  <c r="AV48" i="9"/>
  <c r="AW48" s="1"/>
  <c r="AV62"/>
  <c r="AL48"/>
  <c r="AK48" s="1"/>
  <c r="AL62"/>
  <c r="EF7"/>
  <c r="EF8"/>
  <c r="EF6"/>
  <c r="AL31" i="27"/>
  <c r="BF60" i="9"/>
  <c r="EF5"/>
  <c r="AB30" i="27"/>
  <c r="AG30" s="1"/>
  <c r="AL29"/>
  <c r="AL30"/>
  <c r="AV77" i="9"/>
  <c r="AU77" s="1"/>
  <c r="DE3"/>
  <c r="BF57"/>
  <c r="BF59"/>
  <c r="BF58"/>
  <c r="EF4"/>
  <c r="EF3"/>
  <c r="AL77"/>
  <c r="AM77" s="1"/>
  <c r="AB28" i="27"/>
  <c r="AG28" s="1"/>
  <c r="AB29"/>
  <c r="Z16" i="29"/>
  <c r="AL27" i="27"/>
  <c r="AL28"/>
  <c r="AB26"/>
  <c r="AG26" s="1"/>
  <c r="AB27"/>
  <c r="AL17"/>
  <c r="AL26"/>
  <c r="AL20"/>
  <c r="AL24"/>
  <c r="AL22"/>
  <c r="AL19"/>
  <c r="AL21"/>
  <c r="AL25"/>
  <c r="AL23"/>
  <c r="AL18"/>
  <c r="AB24"/>
  <c r="AG24" s="1"/>
  <c r="AB25"/>
  <c r="AH24"/>
  <c r="AH25"/>
  <c r="N35" i="28"/>
  <c r="AC35" s="1"/>
  <c r="N36"/>
  <c r="AD36" s="1"/>
  <c r="W35"/>
  <c r="W36"/>
  <c r="AB22" i="27"/>
  <c r="AK22" s="1"/>
  <c r="AB23"/>
  <c r="AW94" i="28"/>
  <c r="AW90"/>
  <c r="AW89"/>
  <c r="AW93"/>
  <c r="AW95"/>
  <c r="AW91"/>
  <c r="AW92"/>
  <c r="N33"/>
  <c r="AD33" s="1"/>
  <c r="N34"/>
  <c r="AD34" s="1"/>
  <c r="BA93"/>
  <c r="BB90"/>
  <c r="BA92"/>
  <c r="BB94"/>
  <c r="BA89"/>
  <c r="BB95"/>
  <c r="BA90"/>
  <c r="AA34"/>
  <c r="BB89"/>
  <c r="BB93"/>
  <c r="BA95"/>
  <c r="BB92"/>
  <c r="BA94"/>
  <c r="BB91"/>
  <c r="BA91"/>
  <c r="AA31"/>
  <c r="AA33"/>
  <c r="AA32"/>
  <c r="BA88"/>
  <c r="BB88"/>
  <c r="AH22" i="27"/>
  <c r="N32" i="28"/>
  <c r="AH23" i="27"/>
  <c r="N30" i="28"/>
  <c r="AD30" s="1"/>
  <c r="AW88"/>
  <c r="AW86"/>
  <c r="AW87"/>
  <c r="AW84"/>
  <c r="N31"/>
  <c r="AA30"/>
  <c r="BB87"/>
  <c r="BB86"/>
  <c r="BA87"/>
  <c r="BB84"/>
  <c r="BA86"/>
  <c r="BA84"/>
  <c r="AA29"/>
  <c r="AA28"/>
  <c r="AA27"/>
  <c r="Z6" i="29"/>
  <c r="AL5"/>
  <c r="AV5"/>
  <c r="Z5"/>
  <c r="AV6"/>
  <c r="AV4"/>
  <c r="AV15"/>
  <c r="EH4" i="9"/>
  <c r="BA75" i="28"/>
  <c r="BA73"/>
  <c r="BB74"/>
  <c r="EL3" i="9"/>
  <c r="AV13" i="29"/>
  <c r="BA80" i="28"/>
  <c r="EJ4" i="9"/>
  <c r="BB76" i="28"/>
  <c r="AV19" i="29"/>
  <c r="BB73" i="28"/>
  <c r="EI3" i="9"/>
  <c r="BB77" i="28"/>
  <c r="BA77"/>
  <c r="BA76"/>
  <c r="BA35"/>
  <c r="AV24" i="29"/>
  <c r="AV18"/>
  <c r="EM4" i="9"/>
  <c r="EI4"/>
  <c r="BA83" i="28"/>
  <c r="BB80"/>
  <c r="EJ3" i="9"/>
  <c r="AL9" i="29"/>
  <c r="BB82" i="28"/>
  <c r="AV10" i="29"/>
  <c r="BA72" i="28"/>
  <c r="AV27" i="29"/>
  <c r="AV16"/>
  <c r="BB81" i="28"/>
  <c r="BA81"/>
  <c r="AV28" i="29"/>
  <c r="BB75" i="28"/>
  <c r="BA69"/>
  <c r="BA74"/>
  <c r="AV12" i="29"/>
  <c r="EM3" i="9"/>
  <c r="AV14" i="29"/>
  <c r="BB83" i="28"/>
  <c r="AV7" i="29"/>
  <c r="Z11"/>
  <c r="BA71" i="28"/>
  <c r="BA82"/>
  <c r="EK4" i="9"/>
  <c r="AV21" i="29"/>
  <c r="EK3" i="9"/>
  <c r="AV22" i="29"/>
  <c r="BB35" i="28"/>
  <c r="AV25" i="29"/>
  <c r="AV26"/>
  <c r="BB78" i="28"/>
  <c r="BA78"/>
  <c r="AL3" i="29"/>
  <c r="AV3"/>
  <c r="AL8"/>
  <c r="EH3" i="9"/>
  <c r="BB72" i="28"/>
  <c r="BB70"/>
  <c r="BB71"/>
  <c r="BA70"/>
  <c r="AV30" i="29"/>
  <c r="AV8"/>
  <c r="AL4"/>
  <c r="EL4" i="9"/>
  <c r="BB69" i="28"/>
  <c r="AV9" i="29"/>
  <c r="AA21" i="28"/>
  <c r="AA7" i="29"/>
  <c r="Z12"/>
  <c r="AL6"/>
  <c r="AA22" i="28"/>
  <c r="Z15" i="29"/>
  <c r="AV17"/>
  <c r="AL10"/>
  <c r="AV29"/>
  <c r="Z13"/>
  <c r="AL12"/>
  <c r="AA23" i="28"/>
  <c r="AL11" i="29"/>
  <c r="AA24" i="28"/>
  <c r="Z7" i="29"/>
  <c r="Z9"/>
  <c r="AV23"/>
  <c r="AA26" i="28"/>
  <c r="AA25"/>
  <c r="AV20" i="29"/>
  <c r="AV11"/>
  <c r="AL7"/>
  <c r="Z14"/>
  <c r="Z10"/>
  <c r="AB20" i="27"/>
  <c r="AK20" s="1"/>
  <c r="AB21"/>
  <c r="AW83" i="28"/>
  <c r="AW77"/>
  <c r="AW80"/>
  <c r="AW82"/>
  <c r="AW78"/>
  <c r="AW81"/>
  <c r="N26"/>
  <c r="AC26" s="1"/>
  <c r="N28"/>
  <c r="N29"/>
  <c r="N27"/>
  <c r="AH21" i="27"/>
  <c r="AH20"/>
  <c r="N25" i="28"/>
  <c r="AW76"/>
  <c r="AW75"/>
  <c r="AW74"/>
  <c r="AW73"/>
  <c r="N23"/>
  <c r="N24"/>
  <c r="N22"/>
  <c r="AH19" i="27"/>
  <c r="AB18"/>
  <c r="AG18" s="1"/>
  <c r="AB19"/>
  <c r="AH18"/>
  <c r="AW72" i="28"/>
  <c r="N21"/>
  <c r="AW71"/>
  <c r="AW69"/>
  <c r="AW70"/>
  <c r="AB16" i="27"/>
  <c r="AG16" s="1"/>
  <c r="AB17"/>
  <c r="AW35" i="28"/>
  <c r="AH6" i="27"/>
  <c r="AH13"/>
  <c r="AH9"/>
  <c r="AH8"/>
  <c r="AH10"/>
  <c r="AH14"/>
  <c r="AH16"/>
  <c r="AH15"/>
  <c r="AH17"/>
  <c r="AH7"/>
  <c r="AH11"/>
  <c r="AH12"/>
  <c r="AH5"/>
  <c r="AL16"/>
  <c r="AB14"/>
  <c r="AB15"/>
  <c r="AL15"/>
  <c r="AL14"/>
  <c r="AB11"/>
  <c r="AK11" s="1"/>
  <c r="AB13"/>
  <c r="AB12"/>
  <c r="AA8" i="29"/>
  <c r="Z8"/>
  <c r="AL13" i="27"/>
  <c r="AL12"/>
  <c r="AL10"/>
  <c r="AL8"/>
  <c r="AL11"/>
  <c r="AL9"/>
  <c r="AL7"/>
  <c r="AB9"/>
  <c r="AK9" s="1"/>
  <c r="AB10"/>
  <c r="AB7"/>
  <c r="AK7" s="1"/>
  <c r="AB8"/>
  <c r="AB5"/>
  <c r="AG5" s="1"/>
  <c r="AB6"/>
  <c r="AI2" i="29"/>
  <c r="Z4"/>
  <c r="Z3"/>
  <c r="W7" i="28"/>
  <c r="AL3" i="27"/>
  <c r="AL5"/>
  <c r="AL6"/>
  <c r="AL4"/>
  <c r="AV75" i="9"/>
  <c r="AW75" s="1"/>
  <c r="AV76"/>
  <c r="AL75"/>
  <c r="AM75" s="1"/>
  <c r="AL76"/>
  <c r="AB3" i="27"/>
  <c r="AG3" s="1"/>
  <c r="AB4"/>
  <c r="N5" i="28"/>
  <c r="AD5" s="1"/>
  <c r="AH4" i="27"/>
  <c r="N8" i="28"/>
  <c r="AA5"/>
  <c r="BA63"/>
  <c r="BA61"/>
  <c r="BA51"/>
  <c r="BB49"/>
  <c r="BB47"/>
  <c r="BA31"/>
  <c r="BA66"/>
  <c r="BB62"/>
  <c r="BA57"/>
  <c r="BA42"/>
  <c r="BA39"/>
  <c r="BA34"/>
  <c r="BA62"/>
  <c r="BB48"/>
  <c r="BB31"/>
  <c r="BB68"/>
  <c r="BA49"/>
  <c r="BA47"/>
  <c r="BB44"/>
  <c r="BB54"/>
  <c r="BA54"/>
  <c r="BA32"/>
  <c r="BA68"/>
  <c r="BB66"/>
  <c r="BB59"/>
  <c r="BB57"/>
  <c r="BA44"/>
  <c r="BB42"/>
  <c r="BB39"/>
  <c r="BB37"/>
  <c r="BB34"/>
  <c r="BA37"/>
  <c r="BB32"/>
  <c r="BB60"/>
  <c r="BB50"/>
  <c r="BA60"/>
  <c r="BA50"/>
  <c r="BA48"/>
  <c r="BB45"/>
  <c r="BB43"/>
  <c r="BB67"/>
  <c r="BB65"/>
  <c r="BB58"/>
  <c r="BB56"/>
  <c r="BA45"/>
  <c r="BA43"/>
  <c r="BB41"/>
  <c r="BB38"/>
  <c r="BB36"/>
  <c r="BB33"/>
  <c r="BA67"/>
  <c r="BA65"/>
  <c r="BB63"/>
  <c r="BB61"/>
  <c r="BA58"/>
  <c r="BA56"/>
  <c r="BB51"/>
  <c r="BA41"/>
  <c r="BA38"/>
  <c r="BA36"/>
  <c r="BA33"/>
  <c r="AA19"/>
  <c r="AA18"/>
  <c r="AA20"/>
  <c r="AA11"/>
  <c r="AA17"/>
  <c r="AA14"/>
  <c r="AA15"/>
  <c r="AB16"/>
  <c r="AA16"/>
  <c r="BA59"/>
  <c r="AA9"/>
  <c r="AA13"/>
  <c r="AA10"/>
  <c r="AH3" i="27"/>
  <c r="N4" i="28"/>
  <c r="N17"/>
  <c r="N20"/>
  <c r="N18"/>
  <c r="N19"/>
  <c r="N10"/>
  <c r="AW67"/>
  <c r="AW59"/>
  <c r="AW63"/>
  <c r="N16"/>
  <c r="N11"/>
  <c r="AW56"/>
  <c r="AW51"/>
  <c r="N12"/>
  <c r="AW61"/>
  <c r="AW50"/>
  <c r="AW66"/>
  <c r="AW58"/>
  <c r="N13"/>
  <c r="AW54"/>
  <c r="AW62"/>
  <c r="N14"/>
  <c r="AW68"/>
  <c r="AW60"/>
  <c r="AW49"/>
  <c r="N15"/>
  <c r="AW65"/>
  <c r="AW57"/>
  <c r="N9"/>
  <c r="AW41"/>
  <c r="AW31"/>
  <c r="AW19"/>
  <c r="AW45"/>
  <c r="AW24"/>
  <c r="AW48"/>
  <c r="AW38"/>
  <c r="AW44"/>
  <c r="AW29"/>
  <c r="AW25"/>
  <c r="AW17"/>
  <c r="AW13"/>
  <c r="AW47"/>
  <c r="AW37"/>
  <c r="AW26"/>
  <c r="AW22"/>
  <c r="AW18"/>
  <c r="AW15"/>
  <c r="AW32"/>
  <c r="AW43"/>
  <c r="AW33"/>
  <c r="AW14"/>
  <c r="AW39"/>
  <c r="AW30"/>
  <c r="AW27"/>
  <c r="AW23"/>
  <c r="AW36"/>
  <c r="AW42"/>
  <c r="AW28"/>
  <c r="AW20"/>
  <c r="AW16"/>
  <c r="AW34"/>
  <c r="AW21"/>
  <c r="BA27"/>
  <c r="BB24"/>
  <c r="BA19"/>
  <c r="BB16"/>
  <c r="BA15"/>
  <c r="BB9"/>
  <c r="BB5"/>
  <c r="BB29"/>
  <c r="BA24"/>
  <c r="BB21"/>
  <c r="BA16"/>
  <c r="BA14"/>
  <c r="BB13"/>
  <c r="BB7"/>
  <c r="BB3"/>
  <c r="BB28"/>
  <c r="BA23"/>
  <c r="BB19"/>
  <c r="BA9"/>
  <c r="BA29"/>
  <c r="BB26"/>
  <c r="BA21"/>
  <c r="BB18"/>
  <c r="BA13"/>
  <c r="BB12"/>
  <c r="BB10"/>
  <c r="BA7"/>
  <c r="BA5"/>
  <c r="BA3"/>
  <c r="BB30"/>
  <c r="BA26"/>
  <c r="BB23"/>
  <c r="BA18"/>
  <c r="BA12"/>
  <c r="BA10"/>
  <c r="BA30"/>
  <c r="BB20"/>
  <c r="BB27"/>
  <c r="BA22"/>
  <c r="BB14"/>
  <c r="BA28"/>
  <c r="BB25"/>
  <c r="BA20"/>
  <c r="BB17"/>
  <c r="BB8"/>
  <c r="BB6"/>
  <c r="BB4"/>
  <c r="BA25"/>
  <c r="BB22"/>
  <c r="BA17"/>
  <c r="BB15"/>
  <c r="BB11"/>
  <c r="BA8"/>
  <c r="BA6"/>
  <c r="BA4"/>
  <c r="BA11"/>
  <c r="AW8"/>
  <c r="AW10"/>
  <c r="AW11"/>
  <c r="AW9"/>
  <c r="AW12"/>
  <c r="AW7"/>
  <c r="AW3"/>
  <c r="AW4"/>
  <c r="AW6"/>
  <c r="AW5"/>
  <c r="N7"/>
  <c r="W3"/>
  <c r="W6"/>
  <c r="CQ4" i="9"/>
  <c r="CP4"/>
  <c r="CO4"/>
  <c r="CM4"/>
  <c r="N3" i="28"/>
  <c r="AC3" s="1"/>
  <c r="N6"/>
  <c r="BF10" i="9"/>
  <c r="BF9"/>
  <c r="BF11"/>
  <c r="BN8"/>
  <c r="BN7"/>
  <c r="AL11"/>
  <c r="AL12"/>
  <c r="AL10"/>
  <c r="AV12"/>
  <c r="AV11"/>
  <c r="AV10"/>
  <c r="BN6"/>
  <c r="BN11"/>
  <c r="BN9"/>
  <c r="BN14"/>
  <c r="BN12"/>
  <c r="BN5"/>
  <c r="BN10"/>
  <c r="BN13"/>
  <c r="CP6"/>
  <c r="CO6"/>
  <c r="CP7"/>
  <c r="CM5"/>
  <c r="CO7"/>
  <c r="CM6"/>
  <c r="CQ5"/>
  <c r="CO3"/>
  <c r="CM3"/>
  <c r="CQ3"/>
  <c r="CP5"/>
  <c r="CP3"/>
  <c r="CQ7"/>
  <c r="CO5"/>
  <c r="CM7"/>
  <c r="CQ6"/>
  <c r="BN3"/>
  <c r="BN4"/>
  <c r="BF6"/>
  <c r="AL6"/>
  <c r="AM6" s="1"/>
  <c r="AV6"/>
  <c r="AW6" s="1"/>
  <c r="CC3"/>
  <c r="CC4"/>
  <c r="CC5"/>
  <c r="C6" i="14"/>
  <c r="D6" s="1"/>
  <c r="E83" i="27" s="1"/>
  <c r="C5" i="14"/>
  <c r="D5" s="1"/>
  <c r="BF14" i="9"/>
  <c r="BF15"/>
  <c r="BF13"/>
  <c r="BF56"/>
  <c r="BF12"/>
  <c r="BF8"/>
  <c r="AV18"/>
  <c r="AU18" s="1"/>
  <c r="AV73"/>
  <c r="AL18"/>
  <c r="AM18" s="1"/>
  <c r="AL73"/>
  <c r="AV31"/>
  <c r="AW31" s="1"/>
  <c r="AL31"/>
  <c r="AK31" s="1"/>
  <c r="BF52"/>
  <c r="CD5"/>
  <c r="BF55"/>
  <c r="BF53"/>
  <c r="BF54"/>
  <c r="AL72"/>
  <c r="AK72" s="1"/>
  <c r="AL74"/>
  <c r="AV74"/>
  <c r="AV72"/>
  <c r="AL70"/>
  <c r="AM70" s="1"/>
  <c r="AL71"/>
  <c r="AV70"/>
  <c r="AU70" s="1"/>
  <c r="AV71"/>
  <c r="AL69"/>
  <c r="AM69" s="1"/>
  <c r="BF51"/>
  <c r="BF50"/>
  <c r="AV69"/>
  <c r="AU69" s="1"/>
  <c r="BF49"/>
  <c r="BF47"/>
  <c r="BF48"/>
  <c r="AL67"/>
  <c r="AK67" s="1"/>
  <c r="AL68"/>
  <c r="AV67"/>
  <c r="AU67" s="1"/>
  <c r="AV68"/>
  <c r="AL65"/>
  <c r="AK65" s="1"/>
  <c r="AL66"/>
  <c r="AV65"/>
  <c r="AW65" s="1"/>
  <c r="AV66"/>
  <c r="BF46"/>
  <c r="BF45"/>
  <c r="AL63"/>
  <c r="AM63" s="1"/>
  <c r="AL64"/>
  <c r="AV63"/>
  <c r="AU63" s="1"/>
  <c r="AV64"/>
  <c r="BF40"/>
  <c r="BF23"/>
  <c r="BF22"/>
  <c r="BF24"/>
  <c r="AL53"/>
  <c r="AM53" s="1"/>
  <c r="AL33"/>
  <c r="AL32"/>
  <c r="AL34"/>
  <c r="AV53"/>
  <c r="AU53" s="1"/>
  <c r="AV33"/>
  <c r="AV34"/>
  <c r="AV32"/>
  <c r="BF42"/>
  <c r="BF44"/>
  <c r="BF43"/>
  <c r="AL60"/>
  <c r="AM60" s="1"/>
  <c r="AL61"/>
  <c r="AV60"/>
  <c r="AU60" s="1"/>
  <c r="AV61"/>
  <c r="AV58"/>
  <c r="AU58" s="1"/>
  <c r="AV59"/>
  <c r="AL58"/>
  <c r="AK58" s="1"/>
  <c r="AL59"/>
  <c r="AL57"/>
  <c r="AK57" s="1"/>
  <c r="AV57"/>
  <c r="AW57" s="1"/>
  <c r="AL55"/>
  <c r="AK55" s="1"/>
  <c r="AL56"/>
  <c r="AV55"/>
  <c r="AU55" s="1"/>
  <c r="AV56"/>
  <c r="BF39"/>
  <c r="BF38"/>
  <c r="AL52"/>
  <c r="AK52" s="1"/>
  <c r="AL54"/>
  <c r="AV52"/>
  <c r="AU52" s="1"/>
  <c r="AV54"/>
  <c r="AL50"/>
  <c r="AM50" s="1"/>
  <c r="AL51"/>
  <c r="AV50"/>
  <c r="AW50" s="1"/>
  <c r="AV51"/>
  <c r="CD4"/>
  <c r="BF29"/>
  <c r="BF32"/>
  <c r="BF36"/>
  <c r="BF27"/>
  <c r="BF30"/>
  <c r="BF33"/>
  <c r="BF25"/>
  <c r="BF37"/>
  <c r="BF28"/>
  <c r="BF31"/>
  <c r="BF34"/>
  <c r="BF26"/>
  <c r="AV47"/>
  <c r="AU47" s="1"/>
  <c r="AV49"/>
  <c r="AL47"/>
  <c r="AK47" s="1"/>
  <c r="AL49"/>
  <c r="AL45"/>
  <c r="AK45" s="1"/>
  <c r="AL46"/>
  <c r="AV45"/>
  <c r="AU45" s="1"/>
  <c r="AV46"/>
  <c r="AL43"/>
  <c r="AK43" s="1"/>
  <c r="AL44"/>
  <c r="AV43"/>
  <c r="AW43" s="1"/>
  <c r="AV44"/>
  <c r="AV41"/>
  <c r="AU41" s="1"/>
  <c r="AV42"/>
  <c r="AL41"/>
  <c r="AK41" s="1"/>
  <c r="AL42"/>
  <c r="AL39"/>
  <c r="AM39" s="1"/>
  <c r="AL40"/>
  <c r="AV40"/>
  <c r="AV39"/>
  <c r="AL37"/>
  <c r="AM37" s="1"/>
  <c r="AL38"/>
  <c r="AV38"/>
  <c r="AV37"/>
  <c r="AL35"/>
  <c r="AM35" s="1"/>
  <c r="AL36"/>
  <c r="AV35"/>
  <c r="AU35" s="1"/>
  <c r="AV36"/>
  <c r="CD3"/>
  <c r="AV30"/>
  <c r="AU30" s="1"/>
  <c r="AL30"/>
  <c r="AV29"/>
  <c r="AW29" s="1"/>
  <c r="AL28"/>
  <c r="AK28" s="1"/>
  <c r="AL29"/>
  <c r="BF7"/>
  <c r="BF3"/>
  <c r="BF5"/>
  <c r="BF4"/>
  <c r="AV27"/>
  <c r="AV28"/>
  <c r="BF2"/>
  <c r="BF18"/>
  <c r="BF17"/>
  <c r="BF20"/>
  <c r="BF16"/>
  <c r="BF19"/>
  <c r="BF21"/>
  <c r="AL27"/>
  <c r="AV15"/>
  <c r="AW15" s="1"/>
  <c r="AL15"/>
  <c r="AV14"/>
  <c r="AU14" s="1"/>
  <c r="AL25"/>
  <c r="AM25" s="1"/>
  <c r="AL14"/>
  <c r="AV25"/>
  <c r="AV26"/>
  <c r="AU26" s="1"/>
  <c r="AL24"/>
  <c r="AK24" s="1"/>
  <c r="AL26"/>
  <c r="AV23"/>
  <c r="AW23" s="1"/>
  <c r="AV24"/>
  <c r="AL22"/>
  <c r="AK22" s="1"/>
  <c r="AL23"/>
  <c r="AV21"/>
  <c r="AU21" s="1"/>
  <c r="AV22"/>
  <c r="AL19"/>
  <c r="AM19" s="1"/>
  <c r="AL21"/>
  <c r="AL20"/>
  <c r="AV19"/>
  <c r="AW19" s="1"/>
  <c r="AV20"/>
  <c r="AV16"/>
  <c r="AU16" s="1"/>
  <c r="AV17"/>
  <c r="AL16"/>
  <c r="AM16" s="1"/>
  <c r="AL17"/>
  <c r="AL13"/>
  <c r="AV13"/>
  <c r="C3" i="14"/>
  <c r="D3" s="1"/>
  <c r="F8" i="26"/>
  <c r="G8" s="1"/>
  <c r="H8" s="1"/>
  <c r="F16"/>
  <c r="G16" s="1"/>
  <c r="H16" s="1"/>
  <c r="F20"/>
  <c r="G20" s="1"/>
  <c r="H20" s="1"/>
  <c r="F18"/>
  <c r="G18" s="1"/>
  <c r="H18" s="1"/>
  <c r="F15"/>
  <c r="G15" s="1"/>
  <c r="H15" s="1"/>
  <c r="F4"/>
  <c r="G4" s="1"/>
  <c r="H4" s="1"/>
  <c r="F10"/>
  <c r="G10" s="1"/>
  <c r="H10" s="1"/>
  <c r="F5"/>
  <c r="G5" s="1"/>
  <c r="H5" s="1"/>
  <c r="F6"/>
  <c r="G6" s="1"/>
  <c r="H6" s="1"/>
  <c r="F22"/>
  <c r="G22" s="1"/>
  <c r="H22" s="1"/>
  <c r="F24"/>
  <c r="G24" s="1"/>
  <c r="H24" s="1"/>
  <c r="F19"/>
  <c r="G19" s="1"/>
  <c r="H19" s="1"/>
  <c r="F13"/>
  <c r="G13" s="1"/>
  <c r="H13" s="1"/>
  <c r="F14"/>
  <c r="G14" s="1"/>
  <c r="H14" s="1"/>
  <c r="F12"/>
  <c r="G12" s="1"/>
  <c r="H12" s="1"/>
  <c r="F7"/>
  <c r="G7" s="1"/>
  <c r="H7" s="1"/>
  <c r="F2"/>
  <c r="G2" s="1"/>
  <c r="H2" s="1"/>
  <c r="F21"/>
  <c r="G21" s="1"/>
  <c r="H21" s="1"/>
  <c r="AL9" i="9"/>
  <c r="AK9" s="1"/>
  <c r="AV9"/>
  <c r="AW9" s="1"/>
  <c r="AV7"/>
  <c r="AW7" s="1"/>
  <c r="AV8"/>
  <c r="AL7"/>
  <c r="AL8"/>
  <c r="R2"/>
  <c r="AX2" s="1"/>
  <c r="AV4"/>
  <c r="AW4" s="1"/>
  <c r="AV5"/>
  <c r="AL4"/>
  <c r="AK4" s="1"/>
  <c r="AL5"/>
  <c r="AL2"/>
  <c r="AK2" s="1"/>
  <c r="AL3"/>
  <c r="AV2"/>
  <c r="AU2" s="1"/>
  <c r="AV3"/>
  <c r="C4" i="14"/>
  <c r="D4" s="1"/>
  <c r="C7"/>
  <c r="D7" s="1"/>
  <c r="C12"/>
  <c r="D12" s="1"/>
  <c r="C19"/>
  <c r="D19" s="1"/>
  <c r="C26"/>
  <c r="D26" s="1"/>
  <c r="C16"/>
  <c r="D16" s="1"/>
  <c r="C15"/>
  <c r="D15" s="1"/>
  <c r="C14"/>
  <c r="D14" s="1"/>
  <c r="M14" s="1"/>
  <c r="C20"/>
  <c r="D20" s="1"/>
  <c r="C11"/>
  <c r="D11" s="1"/>
  <c r="C25"/>
  <c r="D25" s="1"/>
  <c r="C29"/>
  <c r="D29" s="1"/>
  <c r="C28"/>
  <c r="D28" s="1"/>
  <c r="C13"/>
  <c r="D13" s="1"/>
  <c r="M13" s="1"/>
  <c r="C10"/>
  <c r="D10" s="1"/>
  <c r="E55" i="27" s="1"/>
  <c r="C18" i="14"/>
  <c r="D18" s="1"/>
  <c r="E21" i="28" s="1"/>
  <c r="C24" i="14"/>
  <c r="D24" s="1"/>
  <c r="C21"/>
  <c r="D21" s="1"/>
  <c r="C27"/>
  <c r="D27" s="1"/>
  <c r="C9"/>
  <c r="D9" s="1"/>
  <c r="C17"/>
  <c r="D17" s="1"/>
  <c r="C23"/>
  <c r="D23" s="1"/>
  <c r="C30"/>
  <c r="D30" s="1"/>
  <c r="M30" s="1"/>
  <c r="C22"/>
  <c r="D22" s="1"/>
  <c r="E44" i="28" s="1"/>
  <c r="AY2" i="9"/>
  <c r="BA2"/>
  <c r="E2" i="27"/>
  <c r="AD2" i="9"/>
  <c r="AN2"/>
  <c r="C2" i="14"/>
  <c r="DQ2" i="9"/>
  <c r="DE2"/>
  <c r="J6" i="31"/>
  <c r="Y2" i="27"/>
  <c r="AA2" i="28"/>
  <c r="AD2"/>
  <c r="AC2"/>
  <c r="AB2"/>
  <c r="K2"/>
  <c r="CA2" i="9"/>
  <c r="CB2"/>
  <c r="V2" i="29"/>
  <c r="Z2"/>
  <c r="AC2"/>
  <c r="AB2"/>
  <c r="AA2"/>
  <c r="AT2" i="28"/>
  <c r="AW2"/>
  <c r="AF2"/>
  <c r="AI2"/>
  <c r="W2"/>
  <c r="CJ2" i="9"/>
  <c r="D2" i="19"/>
  <c r="N2" s="1"/>
  <c r="B4" i="25"/>
  <c r="E3"/>
  <c r="E2"/>
  <c r="E102" i="27" l="1"/>
  <c r="E51" i="28"/>
  <c r="E98" i="27"/>
  <c r="E100"/>
  <c r="E49" i="28"/>
  <c r="E48"/>
  <c r="E99" i="27"/>
  <c r="E47" i="28"/>
  <c r="E52"/>
  <c r="E103" i="27"/>
  <c r="E50" i="28"/>
  <c r="E101" i="27"/>
  <c r="Z93" i="28"/>
  <c r="V93"/>
  <c r="W93"/>
  <c r="U93" s="1"/>
  <c r="AD93"/>
  <c r="AC93"/>
  <c r="AB93"/>
  <c r="Z92"/>
  <c r="AD92"/>
  <c r="AC92"/>
  <c r="V92"/>
  <c r="Z91"/>
  <c r="V91"/>
  <c r="W91"/>
  <c r="U91" s="1"/>
  <c r="AC91"/>
  <c r="AB91"/>
  <c r="AD91"/>
  <c r="AB90"/>
  <c r="Z90"/>
  <c r="AC90"/>
  <c r="V90"/>
  <c r="Z89"/>
  <c r="V89"/>
  <c r="AD89"/>
  <c r="Z87"/>
  <c r="AB87"/>
  <c r="AC87"/>
  <c r="V87"/>
  <c r="AD87"/>
  <c r="Z85"/>
  <c r="V85"/>
  <c r="AD85"/>
  <c r="AC85"/>
  <c r="AB85"/>
  <c r="Z88"/>
  <c r="V88"/>
  <c r="AD88"/>
  <c r="AC88"/>
  <c r="AB88"/>
  <c r="Z86"/>
  <c r="V86"/>
  <c r="AD86"/>
  <c r="AC86"/>
  <c r="AB86"/>
  <c r="Z84"/>
  <c r="W84"/>
  <c r="U84" s="1"/>
  <c r="AB84"/>
  <c r="V84"/>
  <c r="AD84"/>
  <c r="AC84"/>
  <c r="Z83"/>
  <c r="V83"/>
  <c r="AD83"/>
  <c r="AC83"/>
  <c r="E32"/>
  <c r="E46"/>
  <c r="E43"/>
  <c r="E45"/>
  <c r="E97" i="27"/>
  <c r="V79" i="28"/>
  <c r="AB79"/>
  <c r="W79"/>
  <c r="U79" s="1"/>
  <c r="Z79"/>
  <c r="AC79"/>
  <c r="AD79"/>
  <c r="V82"/>
  <c r="W82"/>
  <c r="U82" s="1"/>
  <c r="AD82"/>
  <c r="Z82"/>
  <c r="AB82"/>
  <c r="AC82"/>
  <c r="AD78"/>
  <c r="AC78"/>
  <c r="V80"/>
  <c r="Z80"/>
  <c r="W80"/>
  <c r="U80" s="1"/>
  <c r="AB80"/>
  <c r="AD80"/>
  <c r="AC80"/>
  <c r="Z78"/>
  <c r="AB78"/>
  <c r="AC81"/>
  <c r="AB81"/>
  <c r="W81"/>
  <c r="U81" s="1"/>
  <c r="AD81"/>
  <c r="Z81"/>
  <c r="V81"/>
  <c r="Z76"/>
  <c r="AC76"/>
  <c r="AB76"/>
  <c r="V76"/>
  <c r="AA76"/>
  <c r="AD76"/>
  <c r="Z77"/>
  <c r="AA77"/>
  <c r="Y77" s="1"/>
  <c r="V77"/>
  <c r="AD77"/>
  <c r="AC77"/>
  <c r="AB77"/>
  <c r="Z75"/>
  <c r="V75"/>
  <c r="AD75"/>
  <c r="AC75"/>
  <c r="AB75"/>
  <c r="W75"/>
  <c r="U75" s="1"/>
  <c r="Z73"/>
  <c r="AB73"/>
  <c r="AA73"/>
  <c r="AD73"/>
  <c r="V73"/>
  <c r="AC73"/>
  <c r="Z74"/>
  <c r="AD74"/>
  <c r="AA74"/>
  <c r="V74"/>
  <c r="AC74"/>
  <c r="AB74"/>
  <c r="Z71"/>
  <c r="AB71"/>
  <c r="V71"/>
  <c r="AC71"/>
  <c r="AA71"/>
  <c r="Y71" s="1"/>
  <c r="Z72"/>
  <c r="AB72"/>
  <c r="AA72"/>
  <c r="Y72" s="1"/>
  <c r="AD72"/>
  <c r="V72"/>
  <c r="AC72"/>
  <c r="E95" i="27"/>
  <c r="E15" i="29"/>
  <c r="F31" i="9"/>
  <c r="F30"/>
  <c r="E96" i="27"/>
  <c r="AK65"/>
  <c r="AG65"/>
  <c r="AK66"/>
  <c r="AG66"/>
  <c r="AG57"/>
  <c r="AK57"/>
  <c r="AG58"/>
  <c r="AK58"/>
  <c r="AK63"/>
  <c r="AG63"/>
  <c r="AK59"/>
  <c r="AG59"/>
  <c r="AK64"/>
  <c r="AG64"/>
  <c r="AK61"/>
  <c r="AG61"/>
  <c r="AK60"/>
  <c r="AG60"/>
  <c r="AK62"/>
  <c r="AG62"/>
  <c r="Z69" i="28"/>
  <c r="AC69"/>
  <c r="AB69"/>
  <c r="V69"/>
  <c r="AA69"/>
  <c r="Y69" s="1"/>
  <c r="AD69"/>
  <c r="Z70"/>
  <c r="AB70"/>
  <c r="AA70"/>
  <c r="Y70" s="1"/>
  <c r="AC70"/>
  <c r="AD70"/>
  <c r="V70"/>
  <c r="Z68"/>
  <c r="V68"/>
  <c r="AD68"/>
  <c r="AB68"/>
  <c r="AA68"/>
  <c r="Y68" s="1"/>
  <c r="AC68"/>
  <c r="AW89" i="9"/>
  <c r="AU89"/>
  <c r="AW88"/>
  <c r="AM89"/>
  <c r="AK89"/>
  <c r="AM88"/>
  <c r="E90" i="27"/>
  <c r="E89"/>
  <c r="E91"/>
  <c r="E25" i="28"/>
  <c r="E41"/>
  <c r="E87" i="27"/>
  <c r="E42" i="28"/>
  <c r="E93" i="27"/>
  <c r="E94"/>
  <c r="E39" i="28"/>
  <c r="E37"/>
  <c r="E36"/>
  <c r="E92" i="27"/>
  <c r="E35" i="28"/>
  <c r="E40"/>
  <c r="E38"/>
  <c r="E88" i="27"/>
  <c r="Z66" i="28"/>
  <c r="V66"/>
  <c r="AB66"/>
  <c r="AD66"/>
  <c r="AC66"/>
  <c r="AA66"/>
  <c r="Y66" s="1"/>
  <c r="Z65"/>
  <c r="AB65"/>
  <c r="AC65"/>
  <c r="V65"/>
  <c r="AD65"/>
  <c r="Z67"/>
  <c r="V67"/>
  <c r="AA67"/>
  <c r="Y67" s="1"/>
  <c r="AC67"/>
  <c r="AB67"/>
  <c r="AD67"/>
  <c r="Z62"/>
  <c r="AD62"/>
  <c r="AC62"/>
  <c r="AB62"/>
  <c r="V62"/>
  <c r="Z63"/>
  <c r="AC63"/>
  <c r="AB63"/>
  <c r="V63"/>
  <c r="AD63"/>
  <c r="Z64"/>
  <c r="AB64"/>
  <c r="AC64"/>
  <c r="AD64"/>
  <c r="V64"/>
  <c r="Z61"/>
  <c r="V61"/>
  <c r="AD61"/>
  <c r="AC61"/>
  <c r="Z60"/>
  <c r="AC60"/>
  <c r="AD60"/>
  <c r="V60"/>
  <c r="E71" i="27"/>
  <c r="E85"/>
  <c r="E33" i="28"/>
  <c r="E84" i="27"/>
  <c r="E34" i="28"/>
  <c r="E86" i="27"/>
  <c r="AK55"/>
  <c r="AG55"/>
  <c r="AK56"/>
  <c r="AG56"/>
  <c r="AG54"/>
  <c r="V58" i="28"/>
  <c r="Z58"/>
  <c r="W58"/>
  <c r="U58" s="1"/>
  <c r="AC58"/>
  <c r="AB58"/>
  <c r="AD58"/>
  <c r="AD57"/>
  <c r="V57"/>
  <c r="Z57"/>
  <c r="AC57"/>
  <c r="V59"/>
  <c r="W59"/>
  <c r="U59" s="1"/>
  <c r="AC59"/>
  <c r="Z59"/>
  <c r="AB59"/>
  <c r="AD59"/>
  <c r="AK51" i="27"/>
  <c r="AK53"/>
  <c r="AG53"/>
  <c r="AK52"/>
  <c r="AG52"/>
  <c r="Z56" i="28"/>
  <c r="V56"/>
  <c r="AD56"/>
  <c r="AC56"/>
  <c r="AB56"/>
  <c r="AK50" i="27"/>
  <c r="AG50"/>
  <c r="AK49"/>
  <c r="AG49"/>
  <c r="AG48"/>
  <c r="E82"/>
  <c r="E81"/>
  <c r="E14" i="29"/>
  <c r="E60" i="27"/>
  <c r="E31" i="28"/>
  <c r="AG46" i="27"/>
  <c r="AK47"/>
  <c r="AG47"/>
  <c r="Z52" i="28"/>
  <c r="AB52"/>
  <c r="W52"/>
  <c r="U52" s="1"/>
  <c r="AD52"/>
  <c r="AC52"/>
  <c r="V52"/>
  <c r="Z54"/>
  <c r="AB54"/>
  <c r="AC54"/>
  <c r="W54"/>
  <c r="U54" s="1"/>
  <c r="AD54"/>
  <c r="V54"/>
  <c r="Z51"/>
  <c r="V51"/>
  <c r="AD51"/>
  <c r="AB51"/>
  <c r="AC51"/>
  <c r="Z55"/>
  <c r="AC55"/>
  <c r="AD55"/>
  <c r="AB55"/>
  <c r="W55"/>
  <c r="U55" s="1"/>
  <c r="V55"/>
  <c r="Z53"/>
  <c r="AB53"/>
  <c r="W53"/>
  <c r="U53" s="1"/>
  <c r="V53"/>
  <c r="AC53"/>
  <c r="AD53"/>
  <c r="Z50"/>
  <c r="AC50"/>
  <c r="V50"/>
  <c r="AD50"/>
  <c r="AA50"/>
  <c r="Y50" s="1"/>
  <c r="AB50"/>
  <c r="AD48"/>
  <c r="AC48"/>
  <c r="V48"/>
  <c r="Z48"/>
  <c r="V49"/>
  <c r="Z49"/>
  <c r="AB49"/>
  <c r="AD49"/>
  <c r="AC49"/>
  <c r="AM86" i="9"/>
  <c r="AM87"/>
  <c r="AK87"/>
  <c r="W23" i="29"/>
  <c r="E78" i="27"/>
  <c r="E80"/>
  <c r="E79"/>
  <c r="E30" i="28"/>
  <c r="Z47"/>
  <c r="AD47"/>
  <c r="AC47"/>
  <c r="AB47"/>
  <c r="W47"/>
  <c r="U47" s="1"/>
  <c r="V47"/>
  <c r="Z46"/>
  <c r="V46"/>
  <c r="AB46"/>
  <c r="AD46"/>
  <c r="W46"/>
  <c r="U46" s="1"/>
  <c r="Z45"/>
  <c r="AC45"/>
  <c r="AD45"/>
  <c r="V45"/>
  <c r="W45"/>
  <c r="U45" s="1"/>
  <c r="Z43"/>
  <c r="AC43"/>
  <c r="AB43"/>
  <c r="AD43"/>
  <c r="V43"/>
  <c r="Z44"/>
  <c r="AD44"/>
  <c r="W44"/>
  <c r="U44" s="1"/>
  <c r="AB44"/>
  <c r="V44"/>
  <c r="AC44"/>
  <c r="AK44" i="27"/>
  <c r="AG44"/>
  <c r="AK45"/>
  <c r="AG45"/>
  <c r="E75"/>
  <c r="E72"/>
  <c r="E76"/>
  <c r="E73"/>
  <c r="E74"/>
  <c r="E77"/>
  <c r="E29" i="28"/>
  <c r="M24" i="14"/>
  <c r="E28" i="28"/>
  <c r="AK43" i="27"/>
  <c r="AG43"/>
  <c r="AK42"/>
  <c r="AK41"/>
  <c r="AG41"/>
  <c r="AG40"/>
  <c r="Z42" i="28"/>
  <c r="W42"/>
  <c r="U42" s="1"/>
  <c r="AC42"/>
  <c r="V42"/>
  <c r="AD42"/>
  <c r="AB42"/>
  <c r="Z41"/>
  <c r="AB41"/>
  <c r="AC41"/>
  <c r="V41"/>
  <c r="AD41"/>
  <c r="Z40"/>
  <c r="W40"/>
  <c r="U40" s="1"/>
  <c r="AB40"/>
  <c r="AD40"/>
  <c r="V40"/>
  <c r="AC40"/>
  <c r="Z39"/>
  <c r="AC39"/>
  <c r="AB39"/>
  <c r="W39"/>
  <c r="U39" s="1"/>
  <c r="V39"/>
  <c r="AD39"/>
  <c r="AK39" i="27"/>
  <c r="AG39"/>
  <c r="AG37"/>
  <c r="AK37"/>
  <c r="AK38"/>
  <c r="AG38"/>
  <c r="AC38" i="28"/>
  <c r="AD38"/>
  <c r="Z38"/>
  <c r="V38"/>
  <c r="W38"/>
  <c r="U38" s="1"/>
  <c r="AK36" i="27"/>
  <c r="AG36"/>
  <c r="AK35"/>
  <c r="E13" i="29"/>
  <c r="F29" i="9"/>
  <c r="E70" i="27"/>
  <c r="AU86" i="9"/>
  <c r="AW87"/>
  <c r="AU87"/>
  <c r="AM84"/>
  <c r="AW85"/>
  <c r="AU85"/>
  <c r="AW84"/>
  <c r="AK85"/>
  <c r="AM85"/>
  <c r="Z37" i="28"/>
  <c r="V37"/>
  <c r="AD37"/>
  <c r="AB37"/>
  <c r="AC37"/>
  <c r="E11" i="29"/>
  <c r="F27" i="9"/>
  <c r="E68" i="27"/>
  <c r="E12" i="29"/>
  <c r="F28" i="9"/>
  <c r="E69" i="27"/>
  <c r="AD35" i="28"/>
  <c r="AK82" i="9"/>
  <c r="AK34" i="27"/>
  <c r="AG34"/>
  <c r="AG33"/>
  <c r="AW83" i="9"/>
  <c r="AU83"/>
  <c r="AM83"/>
  <c r="AK83"/>
  <c r="AW82"/>
  <c r="AU80"/>
  <c r="AK80"/>
  <c r="AW81"/>
  <c r="AU81"/>
  <c r="AM81"/>
  <c r="AK81"/>
  <c r="AM79"/>
  <c r="AK79"/>
  <c r="AW79"/>
  <c r="AU79"/>
  <c r="AW78"/>
  <c r="AM78"/>
  <c r="E62" i="27"/>
  <c r="E61"/>
  <c r="E7" i="29"/>
  <c r="AM48" i="9"/>
  <c r="E22" i="28"/>
  <c r="E66" i="27"/>
  <c r="E9" i="29"/>
  <c r="E56" i="27"/>
  <c r="E27" i="28"/>
  <c r="E64" i="27"/>
  <c r="E8" i="29"/>
  <c r="E42" i="27"/>
  <c r="E59"/>
  <c r="E65"/>
  <c r="E63"/>
  <c r="E26" i="28"/>
  <c r="E10" i="29"/>
  <c r="E67" i="27"/>
  <c r="AK31"/>
  <c r="AK32"/>
  <c r="AG32"/>
  <c r="AW62" i="9"/>
  <c r="AU62"/>
  <c r="AU48"/>
  <c r="AM62"/>
  <c r="AK62"/>
  <c r="AK30" i="27"/>
  <c r="W22" i="29"/>
  <c r="W21"/>
  <c r="W20"/>
  <c r="W19"/>
  <c r="W18"/>
  <c r="AW77" i="9"/>
  <c r="AK77"/>
  <c r="AK29" i="27"/>
  <c r="AG29"/>
  <c r="AK28"/>
  <c r="W16" i="29"/>
  <c r="AK27" i="27"/>
  <c r="AG27"/>
  <c r="AK26"/>
  <c r="W17" i="29"/>
  <c r="AK25" i="27"/>
  <c r="AG25"/>
  <c r="AK24"/>
  <c r="AC36" i="28"/>
  <c r="AB35"/>
  <c r="AA35"/>
  <c r="Y35" s="1"/>
  <c r="Z35"/>
  <c r="V35"/>
  <c r="AB36"/>
  <c r="Z36"/>
  <c r="V36"/>
  <c r="AA36"/>
  <c r="Y36" s="1"/>
  <c r="AC33"/>
  <c r="AB33"/>
  <c r="M22" i="14"/>
  <c r="E24" i="28"/>
  <c r="E58" i="27"/>
  <c r="E23" i="28"/>
  <c r="E57" i="27"/>
  <c r="AG22"/>
  <c r="AK23"/>
  <c r="AG23"/>
  <c r="AC34" i="28"/>
  <c r="AB34"/>
  <c r="Z34"/>
  <c r="V34"/>
  <c r="W34"/>
  <c r="U34" s="1"/>
  <c r="Z33"/>
  <c r="W33"/>
  <c r="U33" s="1"/>
  <c r="V33"/>
  <c r="Z31"/>
  <c r="AD31"/>
  <c r="AC31"/>
  <c r="AB31"/>
  <c r="W31"/>
  <c r="U31" s="1"/>
  <c r="V31"/>
  <c r="Z32"/>
  <c r="AC32"/>
  <c r="AB32"/>
  <c r="W32"/>
  <c r="U32" s="1"/>
  <c r="V32"/>
  <c r="AD32"/>
  <c r="Z30"/>
  <c r="V30"/>
  <c r="W30"/>
  <c r="U30" s="1"/>
  <c r="AB30"/>
  <c r="AC30"/>
  <c r="AG20" i="27"/>
  <c r="AK21"/>
  <c r="AG21"/>
  <c r="Z29" i="28"/>
  <c r="AD29"/>
  <c r="AC29"/>
  <c r="W29"/>
  <c r="U29" s="1"/>
  <c r="V29"/>
  <c r="AB29"/>
  <c r="Z27"/>
  <c r="V27"/>
  <c r="AD27"/>
  <c r="W27"/>
  <c r="U27" s="1"/>
  <c r="AC27"/>
  <c r="AB27"/>
  <c r="AB26"/>
  <c r="W26"/>
  <c r="U26" s="1"/>
  <c r="AD26"/>
  <c r="V26"/>
  <c r="Z26"/>
  <c r="Z28"/>
  <c r="AC28"/>
  <c r="V28"/>
  <c r="W28"/>
  <c r="U28" s="1"/>
  <c r="AD28"/>
  <c r="AB28"/>
  <c r="E54" i="27"/>
  <c r="E53"/>
  <c r="E52"/>
  <c r="E51"/>
  <c r="E49"/>
  <c r="E50"/>
  <c r="Z24" i="28"/>
  <c r="V24"/>
  <c r="W24"/>
  <c r="U24" s="1"/>
  <c r="AD24"/>
  <c r="AC24"/>
  <c r="AB24"/>
  <c r="Z25"/>
  <c r="W25"/>
  <c r="U25" s="1"/>
  <c r="V25"/>
  <c r="AC25"/>
  <c r="AB25"/>
  <c r="AD25"/>
  <c r="Z23"/>
  <c r="W23"/>
  <c r="U23" s="1"/>
  <c r="AD23"/>
  <c r="AB23"/>
  <c r="V23"/>
  <c r="AC23"/>
  <c r="Z22"/>
  <c r="V22"/>
  <c r="AD22"/>
  <c r="W22"/>
  <c r="U22" s="1"/>
  <c r="AC22"/>
  <c r="AB22"/>
  <c r="AK18" i="27"/>
  <c r="AK19"/>
  <c r="AG19"/>
  <c r="Z21" i="28"/>
  <c r="V21"/>
  <c r="W21"/>
  <c r="U21" s="1"/>
  <c r="AD21"/>
  <c r="AB21"/>
  <c r="AC21"/>
  <c r="AK16" i="27"/>
  <c r="AK17"/>
  <c r="AG17"/>
  <c r="E46"/>
  <c r="E45"/>
  <c r="E5" i="29"/>
  <c r="E34" i="27"/>
  <c r="E4" i="29"/>
  <c r="E44" i="27"/>
  <c r="E40"/>
  <c r="E43"/>
  <c r="E6" i="29"/>
  <c r="E47" i="27"/>
  <c r="E48"/>
  <c r="E41"/>
  <c r="E39"/>
  <c r="W15" i="29"/>
  <c r="W14"/>
  <c r="W12"/>
  <c r="W13"/>
  <c r="AK15" i="27"/>
  <c r="AG15"/>
  <c r="AK14"/>
  <c r="AG14"/>
  <c r="W11" i="29"/>
  <c r="AG11" i="27"/>
  <c r="AK12"/>
  <c r="AG12"/>
  <c r="AK13"/>
  <c r="AG13"/>
  <c r="W8" i="29"/>
  <c r="AG2"/>
  <c r="W9"/>
  <c r="W10"/>
  <c r="W7"/>
  <c r="W5"/>
  <c r="W6"/>
  <c r="AK10" i="27"/>
  <c r="AG10"/>
  <c r="AG9"/>
  <c r="AG7"/>
  <c r="AK8"/>
  <c r="AG8"/>
  <c r="AU75" i="9"/>
  <c r="E38" i="27"/>
  <c r="F26" i="9"/>
  <c r="E37" i="27"/>
  <c r="E3" i="29"/>
  <c r="E35" i="27"/>
  <c r="E36"/>
  <c r="AK6"/>
  <c r="AG6"/>
  <c r="AK5"/>
  <c r="W4" i="29"/>
  <c r="W3"/>
  <c r="AW76" i="9"/>
  <c r="AU76"/>
  <c r="AK75"/>
  <c r="AM76"/>
  <c r="AK76"/>
  <c r="AK4" i="27"/>
  <c r="AG4"/>
  <c r="AK3"/>
  <c r="AC5" i="28"/>
  <c r="Z5"/>
  <c r="AB5"/>
  <c r="V5"/>
  <c r="Z8"/>
  <c r="W8"/>
  <c r="U8" s="1"/>
  <c r="V8"/>
  <c r="AD8"/>
  <c r="AB8"/>
  <c r="AA8"/>
  <c r="AC8"/>
  <c r="W5"/>
  <c r="U5" s="1"/>
  <c r="V4"/>
  <c r="AD4"/>
  <c r="AC4"/>
  <c r="AB4"/>
  <c r="Z4"/>
  <c r="AA4"/>
  <c r="W4"/>
  <c r="Z17"/>
  <c r="AD17"/>
  <c r="AB17"/>
  <c r="V17"/>
  <c r="AC17"/>
  <c r="W17"/>
  <c r="Z19"/>
  <c r="AD19"/>
  <c r="AC19"/>
  <c r="W19"/>
  <c r="U19" s="1"/>
  <c r="V19"/>
  <c r="AB19"/>
  <c r="Z20"/>
  <c r="V20"/>
  <c r="AB20"/>
  <c r="AD20"/>
  <c r="AC20"/>
  <c r="W20"/>
  <c r="U20" s="1"/>
  <c r="Z18"/>
  <c r="AD18"/>
  <c r="W18"/>
  <c r="U18" s="1"/>
  <c r="AB18"/>
  <c r="V18"/>
  <c r="AC18"/>
  <c r="V9"/>
  <c r="W9"/>
  <c r="U9" s="1"/>
  <c r="AD9"/>
  <c r="AC9"/>
  <c r="AB9"/>
  <c r="Z9"/>
  <c r="Z12"/>
  <c r="AC12"/>
  <c r="V12"/>
  <c r="AD12"/>
  <c r="AB12"/>
  <c r="AA12"/>
  <c r="W12"/>
  <c r="U12" s="1"/>
  <c r="Z14"/>
  <c r="V14"/>
  <c r="AB14"/>
  <c r="AC14"/>
  <c r="W14"/>
  <c r="U14" s="1"/>
  <c r="AD14"/>
  <c r="Z11"/>
  <c r="AB11"/>
  <c r="W11"/>
  <c r="U11" s="1"/>
  <c r="AD11"/>
  <c r="AC11"/>
  <c r="V11"/>
  <c r="Z10"/>
  <c r="W10"/>
  <c r="U10" s="1"/>
  <c r="AC10"/>
  <c r="AB10"/>
  <c r="V10"/>
  <c r="AD10"/>
  <c r="Z15"/>
  <c r="AB15"/>
  <c r="W15"/>
  <c r="U15" s="1"/>
  <c r="V15"/>
  <c r="AD15"/>
  <c r="AC15"/>
  <c r="Z16"/>
  <c r="V16"/>
  <c r="W16"/>
  <c r="U16" s="1"/>
  <c r="AD16"/>
  <c r="AC16"/>
  <c r="Z13"/>
  <c r="AC13"/>
  <c r="V13"/>
  <c r="AB13"/>
  <c r="W13"/>
  <c r="AD13"/>
  <c r="V7"/>
  <c r="AC7"/>
  <c r="Z7"/>
  <c r="AA7"/>
  <c r="AD7"/>
  <c r="AB7"/>
  <c r="E22" i="27"/>
  <c r="E9" i="28"/>
  <c r="E7" i="27"/>
  <c r="E10" i="28"/>
  <c r="E23" i="27"/>
  <c r="E20" i="28"/>
  <c r="E33" i="27"/>
  <c r="E28"/>
  <c r="E15" i="28"/>
  <c r="E16"/>
  <c r="E29" i="27"/>
  <c r="E14" i="28"/>
  <c r="E27" i="27"/>
  <c r="E18" i="28"/>
  <c r="E31" i="27"/>
  <c r="E8" i="28"/>
  <c r="E6"/>
  <c r="E20" i="27"/>
  <c r="E19"/>
  <c r="E7" i="28"/>
  <c r="E5"/>
  <c r="E21" i="27"/>
  <c r="M5" i="14"/>
  <c r="E18" i="27"/>
  <c r="E4" i="28"/>
  <c r="E32" i="27"/>
  <c r="E19" i="28"/>
  <c r="E8" i="27"/>
  <c r="E24"/>
  <c r="E11" i="28"/>
  <c r="E12"/>
  <c r="E25" i="27"/>
  <c r="M23" i="14"/>
  <c r="E30" i="27"/>
  <c r="E17" i="28"/>
  <c r="E26" i="27"/>
  <c r="E13" i="28"/>
  <c r="Z6"/>
  <c r="AA6"/>
  <c r="AB6"/>
  <c r="V6"/>
  <c r="AD6"/>
  <c r="AC6"/>
  <c r="V3"/>
  <c r="AB3"/>
  <c r="Z3"/>
  <c r="AD3"/>
  <c r="AA3"/>
  <c r="T3"/>
  <c r="M6" i="14"/>
  <c r="E5" i="27"/>
  <c r="F5" i="9"/>
  <c r="AM12"/>
  <c r="AK12"/>
  <c r="AK10"/>
  <c r="AM10"/>
  <c r="AU10"/>
  <c r="AW10"/>
  <c r="AM11"/>
  <c r="AK11"/>
  <c r="AW12"/>
  <c r="AU12"/>
  <c r="AW11"/>
  <c r="AU11"/>
  <c r="AK6"/>
  <c r="AU6"/>
  <c r="U3" i="28"/>
  <c r="M3" i="14"/>
  <c r="E3" i="28"/>
  <c r="M25" i="14"/>
  <c r="F21" i="9"/>
  <c r="M26" i="14"/>
  <c r="E15" i="27"/>
  <c r="F22" i="9"/>
  <c r="M16" i="14"/>
  <c r="F13" i="9"/>
  <c r="E11" i="27"/>
  <c r="M15" i="14"/>
  <c r="F12" i="9"/>
  <c r="E10" i="27"/>
  <c r="M29" i="14"/>
  <c r="F25" i="9"/>
  <c r="E17" i="27"/>
  <c r="AW18" i="9"/>
  <c r="M12" i="14"/>
  <c r="F10" i="9"/>
  <c r="F11"/>
  <c r="M27" i="14"/>
  <c r="F23" i="9"/>
  <c r="E16" i="27"/>
  <c r="M28" i="14"/>
  <c r="F24" i="9"/>
  <c r="M18" i="14"/>
  <c r="F16" i="9"/>
  <c r="F15"/>
  <c r="M20" i="14"/>
  <c r="E14" i="27"/>
  <c r="F18" i="9"/>
  <c r="M21" i="14"/>
  <c r="F20" i="9"/>
  <c r="F19"/>
  <c r="M19" i="14"/>
  <c r="E13" i="27"/>
  <c r="F17" i="9"/>
  <c r="M17" i="14"/>
  <c r="E12" i="27"/>
  <c r="F14" i="9"/>
  <c r="F9"/>
  <c r="E9" i="27"/>
  <c r="AW73" i="9"/>
  <c r="AU73"/>
  <c r="AM73"/>
  <c r="AK73"/>
  <c r="AK18"/>
  <c r="AM31"/>
  <c r="AK70"/>
  <c r="AU31"/>
  <c r="AM74"/>
  <c r="AK74"/>
  <c r="AM72"/>
  <c r="AW72"/>
  <c r="AU72"/>
  <c r="AW74"/>
  <c r="AU74"/>
  <c r="AK69"/>
  <c r="AK71"/>
  <c r="AM71"/>
  <c r="AW70"/>
  <c r="AW71"/>
  <c r="AU71"/>
  <c r="AU65"/>
  <c r="AW69"/>
  <c r="AW67"/>
  <c r="AK68"/>
  <c r="AM68"/>
  <c r="AM67"/>
  <c r="AW68"/>
  <c r="AU68"/>
  <c r="AM66"/>
  <c r="AK66"/>
  <c r="AW63"/>
  <c r="AM65"/>
  <c r="AW66"/>
  <c r="AU66"/>
  <c r="AK64"/>
  <c r="AM64"/>
  <c r="AW64"/>
  <c r="AU64"/>
  <c r="AK63"/>
  <c r="AW53"/>
  <c r="AW34"/>
  <c r="AU34"/>
  <c r="AU32"/>
  <c r="AW32"/>
  <c r="AU33"/>
  <c r="AW33"/>
  <c r="AM33"/>
  <c r="AK33"/>
  <c r="AM32"/>
  <c r="AK32"/>
  <c r="AK53"/>
  <c r="AK34"/>
  <c r="AM34"/>
  <c r="AM58"/>
  <c r="AK61"/>
  <c r="AM61"/>
  <c r="AW61"/>
  <c r="AU61"/>
  <c r="AK60"/>
  <c r="AW60"/>
  <c r="AU57"/>
  <c r="AW59"/>
  <c r="AU59"/>
  <c r="AW58"/>
  <c r="AK59"/>
  <c r="AM59"/>
  <c r="AM57"/>
  <c r="AW56"/>
  <c r="AU56"/>
  <c r="AU50"/>
  <c r="AM55"/>
  <c r="AW55"/>
  <c r="AK56"/>
  <c r="AM56"/>
  <c r="AW52"/>
  <c r="AM54"/>
  <c r="AK54"/>
  <c r="AW54"/>
  <c r="AU54"/>
  <c r="AM52"/>
  <c r="AM51"/>
  <c r="AK51"/>
  <c r="AK50"/>
  <c r="AW45"/>
  <c r="AW51"/>
  <c r="AU51"/>
  <c r="AM47"/>
  <c r="AW49"/>
  <c r="AU49"/>
  <c r="AU43"/>
  <c r="AM45"/>
  <c r="AM49"/>
  <c r="AK49"/>
  <c r="AW47"/>
  <c r="AK46"/>
  <c r="AM46"/>
  <c r="AW46"/>
  <c r="AU46"/>
  <c r="AM41"/>
  <c r="AM44"/>
  <c r="AK44"/>
  <c r="AW44"/>
  <c r="AU44"/>
  <c r="AM43"/>
  <c r="AW42"/>
  <c r="AU42"/>
  <c r="AW41"/>
  <c r="AM42"/>
  <c r="AK42"/>
  <c r="AM40"/>
  <c r="AK40"/>
  <c r="AW40"/>
  <c r="AU40"/>
  <c r="AW39"/>
  <c r="AU39"/>
  <c r="AK39"/>
  <c r="AM38"/>
  <c r="AK38"/>
  <c r="AW38"/>
  <c r="AU38"/>
  <c r="AK37"/>
  <c r="AU37"/>
  <c r="AW37"/>
  <c r="AM36"/>
  <c r="AK36"/>
  <c r="AK35"/>
  <c r="AW35"/>
  <c r="AW36"/>
  <c r="AU36"/>
  <c r="AW30"/>
  <c r="AU29"/>
  <c r="AM30"/>
  <c r="AK30"/>
  <c r="AM29"/>
  <c r="AK29"/>
  <c r="AM28"/>
  <c r="M10" i="14"/>
  <c r="F8" i="9"/>
  <c r="M9" i="14"/>
  <c r="F7" i="9"/>
  <c r="AW28"/>
  <c r="AU28"/>
  <c r="AW27"/>
  <c r="AU27"/>
  <c r="AM27"/>
  <c r="AK27"/>
  <c r="AU15"/>
  <c r="AK25"/>
  <c r="AW14"/>
  <c r="AK15"/>
  <c r="AM15"/>
  <c r="AM14"/>
  <c r="AK14"/>
  <c r="AW25"/>
  <c r="AU25"/>
  <c r="AM24"/>
  <c r="AK19"/>
  <c r="AW26"/>
  <c r="AM26"/>
  <c r="AK26"/>
  <c r="AW24"/>
  <c r="AU24"/>
  <c r="AU23"/>
  <c r="AK23"/>
  <c r="AM23"/>
  <c r="AM22"/>
  <c r="AW21"/>
  <c r="AW22"/>
  <c r="AU22"/>
  <c r="AK21"/>
  <c r="AM21"/>
  <c r="AM20"/>
  <c r="AK20"/>
  <c r="AK16"/>
  <c r="AU19"/>
  <c r="AW20"/>
  <c r="AU20"/>
  <c r="AW17"/>
  <c r="AU17"/>
  <c r="AW16"/>
  <c r="AM17"/>
  <c r="AK17"/>
  <c r="M4" i="14"/>
  <c r="E4" i="27"/>
  <c r="M7" i="14"/>
  <c r="E6" i="27"/>
  <c r="AK13" i="9"/>
  <c r="AM13"/>
  <c r="AW13"/>
  <c r="AU13"/>
  <c r="F2"/>
  <c r="E2" i="29"/>
  <c r="AU9" i="9"/>
  <c r="AU7"/>
  <c r="AM9"/>
  <c r="AK8"/>
  <c r="AM8"/>
  <c r="AW8"/>
  <c r="AU8"/>
  <c r="AM7"/>
  <c r="AK7"/>
  <c r="F4"/>
  <c r="E3" i="27"/>
  <c r="F6" i="9"/>
  <c r="F3"/>
  <c r="AW5"/>
  <c r="AU5"/>
  <c r="AU4"/>
  <c r="AM4"/>
  <c r="AM5"/>
  <c r="AK5"/>
  <c r="AM2"/>
  <c r="AW3"/>
  <c r="AU3"/>
  <c r="AM3"/>
  <c r="AK3"/>
  <c r="AW2"/>
  <c r="E2" i="28"/>
  <c r="M11" i="14"/>
  <c r="K2" i="27"/>
  <c r="A2"/>
  <c r="D2" i="14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T26" i="19" l="1"/>
  <c r="T29"/>
  <c r="T27"/>
  <c r="T30"/>
  <c r="T28"/>
  <c r="K103" i="27"/>
  <c r="L103"/>
  <c r="A103"/>
  <c r="Y92" i="28"/>
  <c r="Y93"/>
  <c r="X93"/>
  <c r="T93"/>
  <c r="U92"/>
  <c r="X92"/>
  <c r="T92"/>
  <c r="K102" i="27"/>
  <c r="L102"/>
  <c r="A102"/>
  <c r="Y90" i="28"/>
  <c r="T91"/>
  <c r="Y91"/>
  <c r="X91"/>
  <c r="U90"/>
  <c r="T90"/>
  <c r="X90"/>
  <c r="L101" i="27"/>
  <c r="K101"/>
  <c r="A101"/>
  <c r="Y89" i="28"/>
  <c r="U89"/>
  <c r="T89"/>
  <c r="X89"/>
  <c r="L100" i="27"/>
  <c r="K100"/>
  <c r="A100"/>
  <c r="A99"/>
  <c r="L99"/>
  <c r="K99"/>
  <c r="K98"/>
  <c r="A98"/>
  <c r="L98"/>
  <c r="Y87" i="28"/>
  <c r="T88"/>
  <c r="U86"/>
  <c r="U88"/>
  <c r="Y88"/>
  <c r="U85"/>
  <c r="Y86"/>
  <c r="Y85"/>
  <c r="U87"/>
  <c r="T87"/>
  <c r="X88"/>
  <c r="X87"/>
  <c r="T86"/>
  <c r="X86"/>
  <c r="T85"/>
  <c r="X85"/>
  <c r="Y83"/>
  <c r="Y84"/>
  <c r="T84"/>
  <c r="X84"/>
  <c r="U83"/>
  <c r="X83"/>
  <c r="T83"/>
  <c r="L97" i="27"/>
  <c r="A97"/>
  <c r="Y79" i="28"/>
  <c r="Y81"/>
  <c r="Y82"/>
  <c r="Y80"/>
  <c r="X80"/>
  <c r="T82"/>
  <c r="T79"/>
  <c r="Y78"/>
  <c r="X79"/>
  <c r="X82"/>
  <c r="T81"/>
  <c r="X81"/>
  <c r="T80"/>
  <c r="X78"/>
  <c r="U78"/>
  <c r="T78"/>
  <c r="K97" i="27"/>
  <c r="Y76" i="28"/>
  <c r="U77"/>
  <c r="X77"/>
  <c r="U76"/>
  <c r="T77"/>
  <c r="X76"/>
  <c r="T76"/>
  <c r="T25" i="19"/>
  <c r="T24"/>
  <c r="Y75" i="28"/>
  <c r="X75"/>
  <c r="T75"/>
  <c r="Y73"/>
  <c r="Y74"/>
  <c r="U73"/>
  <c r="U74"/>
  <c r="X74"/>
  <c r="X73"/>
  <c r="T74"/>
  <c r="T73"/>
  <c r="X72"/>
  <c r="U72"/>
  <c r="T72"/>
  <c r="U71"/>
  <c r="X71"/>
  <c r="T71"/>
  <c r="T21" i="19"/>
  <c r="M101"/>
  <c r="H101"/>
  <c r="T22"/>
  <c r="L96" i="27"/>
  <c r="A96"/>
  <c r="K96"/>
  <c r="A95"/>
  <c r="L95"/>
  <c r="D15" i="29"/>
  <c r="J15" s="1"/>
  <c r="A15"/>
  <c r="A31" i="9"/>
  <c r="A30"/>
  <c r="L89" i="27"/>
  <c r="L91"/>
  <c r="K95"/>
  <c r="L90"/>
  <c r="U70" i="28"/>
  <c r="T20" i="19"/>
  <c r="K90" i="27"/>
  <c r="T19" i="19"/>
  <c r="T23"/>
  <c r="L93" i="27"/>
  <c r="A90"/>
  <c r="K89"/>
  <c r="A91"/>
  <c r="A89"/>
  <c r="K91"/>
  <c r="L94"/>
  <c r="U68" i="28"/>
  <c r="U69"/>
  <c r="X70"/>
  <c r="K94" i="27"/>
  <c r="T70" i="28"/>
  <c r="X69"/>
  <c r="T69"/>
  <c r="X68"/>
  <c r="T68"/>
  <c r="U67"/>
  <c r="U66"/>
  <c r="X67"/>
  <c r="Y65"/>
  <c r="L92" i="27"/>
  <c r="A94"/>
  <c r="A92"/>
  <c r="K93"/>
  <c r="A93"/>
  <c r="K92"/>
  <c r="A88"/>
  <c r="T67" i="28"/>
  <c r="U65"/>
  <c r="X66"/>
  <c r="T66"/>
  <c r="X65"/>
  <c r="T65"/>
  <c r="Y64"/>
  <c r="Y62"/>
  <c r="X64"/>
  <c r="U64"/>
  <c r="Y63"/>
  <c r="U63"/>
  <c r="U62"/>
  <c r="T64"/>
  <c r="X63"/>
  <c r="T62"/>
  <c r="T63"/>
  <c r="X62"/>
  <c r="Y61"/>
  <c r="U61"/>
  <c r="X61"/>
  <c r="T61"/>
  <c r="L88" i="27"/>
  <c r="A87"/>
  <c r="K88"/>
  <c r="Y60" i="28"/>
  <c r="U60"/>
  <c r="X60"/>
  <c r="T60"/>
  <c r="L87" i="27"/>
  <c r="K87"/>
  <c r="T18" i="19"/>
  <c r="T17"/>
  <c r="K85" i="27"/>
  <c r="K86"/>
  <c r="L86"/>
  <c r="A86"/>
  <c r="Y58" i="28"/>
  <c r="Y59"/>
  <c r="U57"/>
  <c r="X57"/>
  <c r="Y57"/>
  <c r="T59"/>
  <c r="T58"/>
  <c r="T57"/>
  <c r="X59"/>
  <c r="X58"/>
  <c r="A85" i="27"/>
  <c r="L85"/>
  <c r="L84"/>
  <c r="Y56" i="28"/>
  <c r="U56"/>
  <c r="X56"/>
  <c r="T56"/>
  <c r="M100" i="19"/>
  <c r="M99"/>
  <c r="H100"/>
  <c r="H99"/>
  <c r="K83" i="27"/>
  <c r="L83"/>
  <c r="K84"/>
  <c r="A84"/>
  <c r="A83"/>
  <c r="L82"/>
  <c r="T16" i="19"/>
  <c r="T15"/>
  <c r="M98"/>
  <c r="H98"/>
  <c r="Y52" i="28"/>
  <c r="K82" i="27"/>
  <c r="A82"/>
  <c r="L81"/>
  <c r="A81"/>
  <c r="Y53" i="28"/>
  <c r="Y55"/>
  <c r="X55"/>
  <c r="T55"/>
  <c r="Y54"/>
  <c r="X54"/>
  <c r="X53"/>
  <c r="T54"/>
  <c r="T51"/>
  <c r="Y51"/>
  <c r="T53"/>
  <c r="T52"/>
  <c r="X52"/>
  <c r="X51"/>
  <c r="U51"/>
  <c r="X50"/>
  <c r="U50"/>
  <c r="K81" i="27"/>
  <c r="D14" i="29"/>
  <c r="J14" s="1"/>
  <c r="A14"/>
  <c r="T50" i="28"/>
  <c r="Y49"/>
  <c r="T49"/>
  <c r="U49"/>
  <c r="Y48"/>
  <c r="X49"/>
  <c r="U48"/>
  <c r="T48"/>
  <c r="X48"/>
  <c r="K79" i="27"/>
  <c r="A80"/>
  <c r="T13" i="19"/>
  <c r="T14"/>
  <c r="M97"/>
  <c r="M96"/>
  <c r="H96"/>
  <c r="H97"/>
  <c r="Y47" i="28"/>
  <c r="X47"/>
  <c r="U17"/>
  <c r="T47"/>
  <c r="Y46"/>
  <c r="X46"/>
  <c r="T46"/>
  <c r="Y45"/>
  <c r="X45"/>
  <c r="U13"/>
  <c r="T45"/>
  <c r="U43"/>
  <c r="K80" i="27"/>
  <c r="L80"/>
  <c r="L78"/>
  <c r="A79"/>
  <c r="L79"/>
  <c r="A78"/>
  <c r="Y44" i="28"/>
  <c r="X44"/>
  <c r="T44"/>
  <c r="X43"/>
  <c r="Y43"/>
  <c r="T43"/>
  <c r="K78" i="27"/>
  <c r="A77"/>
  <c r="L76"/>
  <c r="K77"/>
  <c r="L77"/>
  <c r="A76"/>
  <c r="K76"/>
  <c r="K74"/>
  <c r="A75"/>
  <c r="L75"/>
  <c r="A74"/>
  <c r="L74"/>
  <c r="K75"/>
  <c r="U41" i="28"/>
  <c r="X42"/>
  <c r="Y41"/>
  <c r="T42"/>
  <c r="Y42"/>
  <c r="X41"/>
  <c r="T41"/>
  <c r="X40"/>
  <c r="L71" i="27"/>
  <c r="Y40" i="28"/>
  <c r="X39"/>
  <c r="T40"/>
  <c r="Y39"/>
  <c r="T39"/>
  <c r="L73" i="27"/>
  <c r="A73"/>
  <c r="K73"/>
  <c r="A71"/>
  <c r="A72"/>
  <c r="K72"/>
  <c r="L72"/>
  <c r="K71"/>
  <c r="M95" i="19"/>
  <c r="H95"/>
  <c r="X38" i="28"/>
  <c r="K70" i="27"/>
  <c r="A70"/>
  <c r="L70"/>
  <c r="Y38" i="28"/>
  <c r="T12" i="19"/>
  <c r="M94"/>
  <c r="H94"/>
  <c r="A29" i="9"/>
  <c r="D13" i="29"/>
  <c r="J13" s="1"/>
  <c r="EE9" i="9" s="1"/>
  <c r="A13" i="29"/>
  <c r="T38" i="28"/>
  <c r="L69" i="27"/>
  <c r="A69"/>
  <c r="L68"/>
  <c r="K69"/>
  <c r="A28" i="9"/>
  <c r="D12" i="29"/>
  <c r="J12" s="1"/>
  <c r="A12"/>
  <c r="K67" i="27"/>
  <c r="A68"/>
  <c r="K68"/>
  <c r="A11" i="29"/>
  <c r="D11"/>
  <c r="J11" s="1"/>
  <c r="A27" i="9"/>
  <c r="T10" i="19"/>
  <c r="M93"/>
  <c r="T11"/>
  <c r="T9"/>
  <c r="H93"/>
  <c r="X37" i="28"/>
  <c r="T37"/>
  <c r="Y37"/>
  <c r="U37"/>
  <c r="A66" i="27"/>
  <c r="A67"/>
  <c r="L66"/>
  <c r="L67"/>
  <c r="D10" i="29"/>
  <c r="J10" s="1"/>
  <c r="A10"/>
  <c r="D9"/>
  <c r="J9" s="1"/>
  <c r="A9"/>
  <c r="K66" i="27"/>
  <c r="A65"/>
  <c r="L65"/>
  <c r="K65"/>
  <c r="A64"/>
  <c r="K64"/>
  <c r="L64"/>
  <c r="A8" i="29"/>
  <c r="D8"/>
  <c r="M23" s="1"/>
  <c r="L62" i="27"/>
  <c r="K63"/>
  <c r="A63"/>
  <c r="L63"/>
  <c r="K62"/>
  <c r="A62"/>
  <c r="A59"/>
  <c r="L60"/>
  <c r="A61"/>
  <c r="K61"/>
  <c r="L61"/>
  <c r="D7" i="29"/>
  <c r="M16" s="1"/>
  <c r="A7"/>
  <c r="K60" i="27"/>
  <c r="A60"/>
  <c r="K59"/>
  <c r="L59"/>
  <c r="U36" i="28"/>
  <c r="T8" i="19"/>
  <c r="T7"/>
  <c r="A57" i="27"/>
  <c r="L58"/>
  <c r="U35" i="28"/>
  <c r="X36"/>
  <c r="T36"/>
  <c r="X35"/>
  <c r="T35"/>
  <c r="A58" i="27"/>
  <c r="K58"/>
  <c r="M91" i="19"/>
  <c r="M92"/>
  <c r="H91"/>
  <c r="H92"/>
  <c r="K57" i="27"/>
  <c r="T34" i="28"/>
  <c r="Y34"/>
  <c r="Y33"/>
  <c r="X34"/>
  <c r="X33"/>
  <c r="T33"/>
  <c r="Y32"/>
  <c r="L57" i="27"/>
  <c r="T32" i="28"/>
  <c r="Y31"/>
  <c r="X32"/>
  <c r="X31"/>
  <c r="T31"/>
  <c r="Y30"/>
  <c r="X30"/>
  <c r="T30"/>
  <c r="A56" i="27"/>
  <c r="M90" i="19"/>
  <c r="H90"/>
  <c r="L56" i="27"/>
  <c r="K55"/>
  <c r="K56"/>
  <c r="Y29" i="28"/>
  <c r="Y27"/>
  <c r="Y28"/>
  <c r="X29"/>
  <c r="X28"/>
  <c r="T29"/>
  <c r="T28"/>
  <c r="X27"/>
  <c r="T27"/>
  <c r="T26"/>
  <c r="Y26"/>
  <c r="X26"/>
  <c r="L55" i="27"/>
  <c r="A55"/>
  <c r="Y25" i="28"/>
  <c r="Y24"/>
  <c r="X25"/>
  <c r="K54" i="27"/>
  <c r="L54"/>
  <c r="K53"/>
  <c r="A54"/>
  <c r="A53"/>
  <c r="T25" i="28"/>
  <c r="T24"/>
  <c r="X23"/>
  <c r="X24"/>
  <c r="Y23"/>
  <c r="T23"/>
  <c r="T22"/>
  <c r="X22"/>
  <c r="Y22"/>
  <c r="L53" i="27"/>
  <c r="K52"/>
  <c r="L52"/>
  <c r="A52"/>
  <c r="L51"/>
  <c r="K51"/>
  <c r="A51"/>
  <c r="X21" i="28"/>
  <c r="Y21"/>
  <c r="T21"/>
  <c r="Y7"/>
  <c r="A50" i="27"/>
  <c r="L50"/>
  <c r="K50"/>
  <c r="L49"/>
  <c r="K49"/>
  <c r="A49"/>
  <c r="Y12" i="28"/>
  <c r="K48" i="27"/>
  <c r="A48"/>
  <c r="L48"/>
  <c r="L47"/>
  <c r="L46"/>
  <c r="K47"/>
  <c r="A47"/>
  <c r="L44"/>
  <c r="D6" i="29"/>
  <c r="A6"/>
  <c r="A46" i="27"/>
  <c r="K46"/>
  <c r="K44"/>
  <c r="K45"/>
  <c r="A45"/>
  <c r="L45"/>
  <c r="D5" i="29"/>
  <c r="A5"/>
  <c r="A43" i="27"/>
  <c r="A44"/>
  <c r="L43"/>
  <c r="K43"/>
  <c r="L42"/>
  <c r="A4" i="29"/>
  <c r="D4"/>
  <c r="M8" s="1"/>
  <c r="A42" i="27"/>
  <c r="K42"/>
  <c r="A41"/>
  <c r="L41"/>
  <c r="A40"/>
  <c r="L40"/>
  <c r="K41"/>
  <c r="A39"/>
  <c r="K39"/>
  <c r="K40"/>
  <c r="L39"/>
  <c r="A38"/>
  <c r="L37"/>
  <c r="L38"/>
  <c r="A37"/>
  <c r="K38"/>
  <c r="Y8" i="28"/>
  <c r="T6"/>
  <c r="D2" i="29"/>
  <c r="J2" s="1"/>
  <c r="A3"/>
  <c r="D3"/>
  <c r="A26" i="9"/>
  <c r="K37" i="27"/>
  <c r="L35"/>
  <c r="A36"/>
  <c r="L36"/>
  <c r="K36"/>
  <c r="K35"/>
  <c r="A35"/>
  <c r="X8" i="28"/>
  <c r="T8"/>
  <c r="M89" i="19"/>
  <c r="H89"/>
  <c r="M10"/>
  <c r="H10"/>
  <c r="Y5" i="28"/>
  <c r="X5"/>
  <c r="T5"/>
  <c r="M9" i="19"/>
  <c r="M8"/>
  <c r="H8"/>
  <c r="H9"/>
  <c r="Y4" i="28"/>
  <c r="Y20"/>
  <c r="U4"/>
  <c r="U7"/>
  <c r="X4"/>
  <c r="U6"/>
  <c r="T7"/>
  <c r="T4"/>
  <c r="K34" i="27"/>
  <c r="A34"/>
  <c r="L34"/>
  <c r="Y19" i="28"/>
  <c r="T20"/>
  <c r="X20"/>
  <c r="T19"/>
  <c r="Y17"/>
  <c r="X19"/>
  <c r="Y18"/>
  <c r="X17"/>
  <c r="T15"/>
  <c r="X18"/>
  <c r="T18"/>
  <c r="T17"/>
  <c r="T12"/>
  <c r="T11"/>
  <c r="T9"/>
  <c r="T13"/>
  <c r="T10"/>
  <c r="T16"/>
  <c r="Y16"/>
  <c r="T14"/>
  <c r="Y14"/>
  <c r="X16"/>
  <c r="Y13"/>
  <c r="Y15"/>
  <c r="X15"/>
  <c r="X13"/>
  <c r="X14"/>
  <c r="X11"/>
  <c r="X12"/>
  <c r="Y11"/>
  <c r="Y10"/>
  <c r="Y3"/>
  <c r="X10"/>
  <c r="Y9"/>
  <c r="X9"/>
  <c r="T6" i="19"/>
  <c r="X7" i="28"/>
  <c r="L25" i="27"/>
  <c r="L23"/>
  <c r="K33"/>
  <c r="L32"/>
  <c r="L24"/>
  <c r="L29"/>
  <c r="L27"/>
  <c r="L18"/>
  <c r="L22"/>
  <c r="L33"/>
  <c r="L26"/>
  <c r="L20"/>
  <c r="A32"/>
  <c r="L28"/>
  <c r="L21"/>
  <c r="L30"/>
  <c r="L19"/>
  <c r="L31"/>
  <c r="A33"/>
  <c r="K32"/>
  <c r="A31"/>
  <c r="K31"/>
  <c r="K5"/>
  <c r="A30"/>
  <c r="K30"/>
  <c r="A28"/>
  <c r="A29"/>
  <c r="K29"/>
  <c r="K28"/>
  <c r="A27"/>
  <c r="K27"/>
  <c r="K25"/>
  <c r="A26"/>
  <c r="K26"/>
  <c r="A25"/>
  <c r="A24"/>
  <c r="K24"/>
  <c r="A23"/>
  <c r="K23"/>
  <c r="K22"/>
  <c r="A22"/>
  <c r="A20"/>
  <c r="K21"/>
  <c r="A21"/>
  <c r="K20"/>
  <c r="A19"/>
  <c r="K19"/>
  <c r="K18"/>
  <c r="L5"/>
  <c r="A18"/>
  <c r="Y6" i="28"/>
  <c r="X3"/>
  <c r="X6"/>
  <c r="M5" i="19"/>
  <c r="H5"/>
  <c r="A5" i="27"/>
  <c r="A5" i="9"/>
  <c r="T3" i="19"/>
  <c r="M7"/>
  <c r="H7"/>
  <c r="K17" i="27"/>
  <c r="L14"/>
  <c r="L10"/>
  <c r="L16"/>
  <c r="L12"/>
  <c r="L17"/>
  <c r="L8"/>
  <c r="L13"/>
  <c r="L9"/>
  <c r="M6" i="19"/>
  <c r="H6"/>
  <c r="L11" i="27"/>
  <c r="A17"/>
  <c r="L15"/>
  <c r="K14"/>
  <c r="A15"/>
  <c r="A16"/>
  <c r="A13"/>
  <c r="K16"/>
  <c r="A14"/>
  <c r="K15"/>
  <c r="K10"/>
  <c r="K13"/>
  <c r="K12"/>
  <c r="A12"/>
  <c r="K8"/>
  <c r="K11"/>
  <c r="A11"/>
  <c r="A9"/>
  <c r="K7"/>
  <c r="A10"/>
  <c r="L7"/>
  <c r="K9"/>
  <c r="A7"/>
  <c r="A8"/>
  <c r="A25" i="9"/>
  <c r="A24"/>
  <c r="A23"/>
  <c r="A22"/>
  <c r="A11"/>
  <c r="A21"/>
  <c r="A20"/>
  <c r="A18"/>
  <c r="A19"/>
  <c r="A17"/>
  <c r="A15"/>
  <c r="A16"/>
  <c r="A13"/>
  <c r="A14"/>
  <c r="A12"/>
  <c r="A10"/>
  <c r="K4" i="27"/>
  <c r="A9" i="9"/>
  <c r="A8"/>
  <c r="A2"/>
  <c r="A7"/>
  <c r="M59" i="19"/>
  <c r="M88"/>
  <c r="H88"/>
  <c r="L6" i="27"/>
  <c r="A4"/>
  <c r="L3"/>
  <c r="A6"/>
  <c r="K6"/>
  <c r="L4"/>
  <c r="K3"/>
  <c r="A2" i="29"/>
  <c r="H55" i="19"/>
  <c r="M87"/>
  <c r="H87"/>
  <c r="M60"/>
  <c r="H50"/>
  <c r="H73"/>
  <c r="H54"/>
  <c r="M68"/>
  <c r="M4"/>
  <c r="H4"/>
  <c r="H65"/>
  <c r="H64"/>
  <c r="A6" i="9"/>
  <c r="A3" i="27"/>
  <c r="M56" i="19"/>
  <c r="M3"/>
  <c r="H3"/>
  <c r="H49"/>
  <c r="M70"/>
  <c r="H56"/>
  <c r="H74"/>
  <c r="H67"/>
  <c r="H59"/>
  <c r="A3" i="9"/>
  <c r="A4"/>
  <c r="H52" i="19"/>
  <c r="M62"/>
  <c r="H48"/>
  <c r="M75"/>
  <c r="M65"/>
  <c r="H68"/>
  <c r="M67"/>
  <c r="H81"/>
  <c r="H61"/>
  <c r="M58"/>
  <c r="M82"/>
  <c r="M71"/>
  <c r="T5"/>
  <c r="M84"/>
  <c r="M86"/>
  <c r="T4"/>
  <c r="M85"/>
  <c r="H84"/>
  <c r="H85"/>
  <c r="H86"/>
  <c r="M69"/>
  <c r="H71"/>
  <c r="M54"/>
  <c r="M66"/>
  <c r="M78"/>
  <c r="M53"/>
  <c r="M77"/>
  <c r="M76"/>
  <c r="H76"/>
  <c r="H78"/>
  <c r="H53"/>
  <c r="H77"/>
  <c r="M61"/>
  <c r="M50"/>
  <c r="M74"/>
  <c r="M80"/>
  <c r="H66"/>
  <c r="H80"/>
  <c r="H79"/>
  <c r="M51"/>
  <c r="M57"/>
  <c r="M64"/>
  <c r="M81"/>
  <c r="M72"/>
  <c r="H57"/>
  <c r="M79"/>
  <c r="M83"/>
  <c r="M73"/>
  <c r="M52"/>
  <c r="H51"/>
  <c r="H69"/>
  <c r="H62"/>
  <c r="H72"/>
  <c r="H58"/>
  <c r="H63"/>
  <c r="H75"/>
  <c r="H82"/>
  <c r="M55"/>
  <c r="H83"/>
  <c r="H60"/>
  <c r="M63"/>
  <c r="H70"/>
  <c r="M46"/>
  <c r="M35"/>
  <c r="M45"/>
  <c r="M47"/>
  <c r="M48"/>
  <c r="H43"/>
  <c r="H46"/>
  <c r="H45"/>
  <c r="H35"/>
  <c r="H47"/>
  <c r="H44"/>
  <c r="H42"/>
  <c r="M39"/>
  <c r="H38"/>
  <c r="M38"/>
  <c r="M43"/>
  <c r="M33"/>
  <c r="M40"/>
  <c r="M37"/>
  <c r="M34"/>
  <c r="M41"/>
  <c r="M36"/>
  <c r="M44"/>
  <c r="M42"/>
  <c r="H39"/>
  <c r="H40"/>
  <c r="H37"/>
  <c r="H41"/>
  <c r="H34"/>
  <c r="H33"/>
  <c r="H36"/>
  <c r="M31"/>
  <c r="M27"/>
  <c r="M23"/>
  <c r="M21"/>
  <c r="M29"/>
  <c r="M24"/>
  <c r="M30"/>
  <c r="M14"/>
  <c r="M49"/>
  <c r="M32"/>
  <c r="M28"/>
  <c r="M26"/>
  <c r="M25"/>
  <c r="M22"/>
  <c r="H23"/>
  <c r="H22"/>
  <c r="H21"/>
  <c r="H14"/>
  <c r="H30"/>
  <c r="H26"/>
  <c r="H25"/>
  <c r="H24"/>
  <c r="H29"/>
  <c r="H27"/>
  <c r="H31"/>
  <c r="H28"/>
  <c r="H32"/>
  <c r="M18"/>
  <c r="M15"/>
  <c r="M20"/>
  <c r="M17"/>
  <c r="M12"/>
  <c r="M19"/>
  <c r="M11"/>
  <c r="M16"/>
  <c r="M13"/>
  <c r="H18"/>
  <c r="H13"/>
  <c r="H15"/>
  <c r="H20"/>
  <c r="H16"/>
  <c r="H12"/>
  <c r="H19"/>
  <c r="H17"/>
  <c r="H11"/>
  <c r="M2" i="14"/>
  <c r="T2" i="19"/>
  <c r="D12" i="21"/>
  <c r="D16"/>
  <c r="D23"/>
  <c r="D11"/>
  <c r="J8" i="31"/>
  <c r="E4"/>
  <c r="C31" i="9" l="1"/>
  <c r="E31" s="1"/>
  <c r="C30"/>
  <c r="E30" s="1"/>
  <c r="V23" i="29"/>
  <c r="T23" s="1"/>
  <c r="U23"/>
  <c r="AA23"/>
  <c r="AB23"/>
  <c r="Y23"/>
  <c r="AC23"/>
  <c r="X23"/>
  <c r="C29" i="9"/>
  <c r="E29" s="1"/>
  <c r="ED9" s="1"/>
  <c r="C28"/>
  <c r="E28" s="1"/>
  <c r="C27"/>
  <c r="E27" s="1"/>
  <c r="M20" i="29"/>
  <c r="AI14"/>
  <c r="M19"/>
  <c r="M22"/>
  <c r="AI15"/>
  <c r="M21"/>
  <c r="J8"/>
  <c r="M18"/>
  <c r="AA16"/>
  <c r="U16"/>
  <c r="AC16"/>
  <c r="AB16"/>
  <c r="V16"/>
  <c r="T16" s="1"/>
  <c r="Y16"/>
  <c r="X16"/>
  <c r="J7"/>
  <c r="EE5" i="9" s="1"/>
  <c r="AI13" i="29"/>
  <c r="M17"/>
  <c r="J6"/>
  <c r="M15"/>
  <c r="AI10"/>
  <c r="AI11"/>
  <c r="AI9"/>
  <c r="M13"/>
  <c r="AI12"/>
  <c r="M12"/>
  <c r="M14"/>
  <c r="J5"/>
  <c r="AI8"/>
  <c r="M11"/>
  <c r="Y8"/>
  <c r="AB8"/>
  <c r="V8"/>
  <c r="T8" s="1"/>
  <c r="AC8"/>
  <c r="U8"/>
  <c r="X8"/>
  <c r="J4"/>
  <c r="M10"/>
  <c r="AI4"/>
  <c r="M9"/>
  <c r="AI6"/>
  <c r="M6"/>
  <c r="AI5"/>
  <c r="M7"/>
  <c r="AI7"/>
  <c r="AI3"/>
  <c r="M5"/>
  <c r="J3"/>
  <c r="M4"/>
  <c r="M3"/>
  <c r="C26" i="9"/>
  <c r="E26" s="1"/>
  <c r="C5"/>
  <c r="E5" s="1"/>
  <c r="CJ4" s="1"/>
  <c r="C25"/>
  <c r="E25" s="1"/>
  <c r="R73" s="1"/>
  <c r="AX73" s="1"/>
  <c r="C23"/>
  <c r="E23" s="1"/>
  <c r="C24"/>
  <c r="E24" s="1"/>
  <c r="C22"/>
  <c r="E22" s="1"/>
  <c r="C11"/>
  <c r="E11" s="1"/>
  <c r="C21"/>
  <c r="E21" s="1"/>
  <c r="C20"/>
  <c r="E20" s="1"/>
  <c r="R62" s="1"/>
  <c r="AX62" s="1"/>
  <c r="C19"/>
  <c r="E19" s="1"/>
  <c r="CB5" s="1"/>
  <c r="C18"/>
  <c r="E18" s="1"/>
  <c r="C17"/>
  <c r="E17" s="1"/>
  <c r="R48" s="1"/>
  <c r="AX48" s="1"/>
  <c r="C16"/>
  <c r="E16" s="1"/>
  <c r="C15"/>
  <c r="E15" s="1"/>
  <c r="C14"/>
  <c r="E14" s="1"/>
  <c r="CA4" s="1"/>
  <c r="C13"/>
  <c r="E13" s="1"/>
  <c r="C12"/>
  <c r="E12" s="1"/>
  <c r="ED5" s="1"/>
  <c r="C2"/>
  <c r="E2" s="1"/>
  <c r="K2" s="1"/>
  <c r="C10"/>
  <c r="E10" s="1"/>
  <c r="R31" s="1"/>
  <c r="AX31" s="1"/>
  <c r="C9"/>
  <c r="E9" s="1"/>
  <c r="CA3" s="1"/>
  <c r="C8"/>
  <c r="E8" s="1"/>
  <c r="R25" s="1"/>
  <c r="AX25" s="1"/>
  <c r="C7"/>
  <c r="E7" s="1"/>
  <c r="R18" s="1"/>
  <c r="AX18" s="1"/>
  <c r="C4"/>
  <c r="E4" s="1"/>
  <c r="R6" s="1"/>
  <c r="AX6" s="1"/>
  <c r="C3"/>
  <c r="E3" s="1"/>
  <c r="CJ3" s="1"/>
  <c r="C6"/>
  <c r="E6" s="1"/>
  <c r="J9" i="31"/>
  <c r="K31" i="9" l="1"/>
  <c r="R89"/>
  <c r="AX89" s="1"/>
  <c r="K30"/>
  <c r="R88"/>
  <c r="AX88" s="1"/>
  <c r="K29"/>
  <c r="R87"/>
  <c r="AX87" s="1"/>
  <c r="R86"/>
  <c r="AX86" s="1"/>
  <c r="R84"/>
  <c r="AX84" s="1"/>
  <c r="R85"/>
  <c r="AX85" s="1"/>
  <c r="K28"/>
  <c r="R81"/>
  <c r="AX81" s="1"/>
  <c r="R82"/>
  <c r="AX82" s="1"/>
  <c r="R83"/>
  <c r="AX83" s="1"/>
  <c r="K27"/>
  <c r="R78"/>
  <c r="AX78" s="1"/>
  <c r="R79"/>
  <c r="AX79" s="1"/>
  <c r="R80"/>
  <c r="AX80" s="1"/>
  <c r="ED6"/>
  <c r="ED8"/>
  <c r="ED7"/>
  <c r="U20" i="29"/>
  <c r="V20"/>
  <c r="T20" s="1"/>
  <c r="AA20"/>
  <c r="AC20"/>
  <c r="X20"/>
  <c r="Y20"/>
  <c r="AB20"/>
  <c r="X19"/>
  <c r="AC19"/>
  <c r="AA19"/>
  <c r="U19"/>
  <c r="AB19"/>
  <c r="Y19"/>
  <c r="V19"/>
  <c r="T19" s="1"/>
  <c r="Y22"/>
  <c r="V22"/>
  <c r="T22" s="1"/>
  <c r="U22"/>
  <c r="AB22"/>
  <c r="AC22"/>
  <c r="X22"/>
  <c r="AA21"/>
  <c r="X21"/>
  <c r="AB21"/>
  <c r="AC21"/>
  <c r="U21"/>
  <c r="V21"/>
  <c r="T21" s="1"/>
  <c r="Y21"/>
  <c r="EE6" i="9"/>
  <c r="EE8"/>
  <c r="EE7"/>
  <c r="AG14" i="29"/>
  <c r="AG15"/>
  <c r="Y18"/>
  <c r="AB18"/>
  <c r="AA18"/>
  <c r="U18"/>
  <c r="AC18"/>
  <c r="V18"/>
  <c r="T18" s="1"/>
  <c r="X18"/>
  <c r="AG13"/>
  <c r="Y17"/>
  <c r="V17"/>
  <c r="T17" s="1"/>
  <c r="AA17"/>
  <c r="U17"/>
  <c r="X17"/>
  <c r="AC17"/>
  <c r="AB17"/>
  <c r="ED4" i="9"/>
  <c r="ED3"/>
  <c r="Y12" i="29"/>
  <c r="V12"/>
  <c r="T12" s="1"/>
  <c r="AA12"/>
  <c r="U12"/>
  <c r="AC12"/>
  <c r="AB12"/>
  <c r="X12"/>
  <c r="Y14"/>
  <c r="AC14"/>
  <c r="AB14"/>
  <c r="AA14"/>
  <c r="U14"/>
  <c r="V14"/>
  <c r="T14" s="1"/>
  <c r="X14"/>
  <c r="Y13"/>
  <c r="V13"/>
  <c r="T13" s="1"/>
  <c r="AB13"/>
  <c r="U13"/>
  <c r="AC13"/>
  <c r="AA13"/>
  <c r="X13"/>
  <c r="AA15"/>
  <c r="V15"/>
  <c r="T15" s="1"/>
  <c r="AB15"/>
  <c r="Y15"/>
  <c r="AC15"/>
  <c r="X15"/>
  <c r="U15"/>
  <c r="AG12"/>
  <c r="AG11"/>
  <c r="AG9"/>
  <c r="AG10"/>
  <c r="AG8"/>
  <c r="Y11"/>
  <c r="V11"/>
  <c r="T11" s="1"/>
  <c r="AB11"/>
  <c r="AC11"/>
  <c r="U11"/>
  <c r="AA11"/>
  <c r="X11"/>
  <c r="EE4" i="9"/>
  <c r="EE3"/>
  <c r="Y10" i="29"/>
  <c r="V10"/>
  <c r="T10" s="1"/>
  <c r="AC10"/>
  <c r="U10"/>
  <c r="AB10"/>
  <c r="AA10"/>
  <c r="X10"/>
  <c r="Y9"/>
  <c r="AB9"/>
  <c r="AA9"/>
  <c r="AC9"/>
  <c r="U9"/>
  <c r="X9"/>
  <c r="V9"/>
  <c r="T9" s="1"/>
  <c r="AG7"/>
  <c r="Y6"/>
  <c r="V6"/>
  <c r="T6" s="1"/>
  <c r="AC6"/>
  <c r="AA6"/>
  <c r="AB6"/>
  <c r="U6"/>
  <c r="X6"/>
  <c r="Y7"/>
  <c r="AC7"/>
  <c r="AB7"/>
  <c r="V7"/>
  <c r="T7" s="1"/>
  <c r="U7"/>
  <c r="X7"/>
  <c r="AG5"/>
  <c r="AG6"/>
  <c r="AG3"/>
  <c r="AG4"/>
  <c r="Y5"/>
  <c r="AA5"/>
  <c r="AB5"/>
  <c r="V5"/>
  <c r="T5" s="1"/>
  <c r="U5"/>
  <c r="AC5"/>
  <c r="X5"/>
  <c r="K26" i="9"/>
  <c r="R77"/>
  <c r="AX77" s="1"/>
  <c r="R76"/>
  <c r="AX76" s="1"/>
  <c r="R75"/>
  <c r="AX75" s="1"/>
  <c r="Y3" i="29"/>
  <c r="U3"/>
  <c r="AA3"/>
  <c r="AB3"/>
  <c r="AC3"/>
  <c r="V3"/>
  <c r="X3"/>
  <c r="Y4"/>
  <c r="U4"/>
  <c r="V4"/>
  <c r="T4" s="1"/>
  <c r="AB4"/>
  <c r="AA4"/>
  <c r="AC4"/>
  <c r="X4"/>
  <c r="K5" i="9"/>
  <c r="R11"/>
  <c r="AX11" s="1"/>
  <c r="R10"/>
  <c r="AX10" s="1"/>
  <c r="R12"/>
  <c r="AX12" s="1"/>
  <c r="CJ6"/>
  <c r="CJ7"/>
  <c r="R15"/>
  <c r="AX15" s="1"/>
  <c r="CJ5"/>
  <c r="R53"/>
  <c r="AX53" s="1"/>
  <c r="CA5"/>
  <c r="K25"/>
  <c r="R74"/>
  <c r="AX74" s="1"/>
  <c r="R72"/>
  <c r="AX72" s="1"/>
  <c r="R71"/>
  <c r="AX71" s="1"/>
  <c r="K24"/>
  <c r="R70"/>
  <c r="AX70" s="1"/>
  <c r="K23"/>
  <c r="R69"/>
  <c r="AX69" s="1"/>
  <c r="R68"/>
  <c r="AX68" s="1"/>
  <c r="K22"/>
  <c r="R66"/>
  <c r="AX66" s="1"/>
  <c r="R67"/>
  <c r="AX67" s="1"/>
  <c r="R65"/>
  <c r="AX65" s="1"/>
  <c r="K21"/>
  <c r="R64"/>
  <c r="AX64" s="1"/>
  <c r="R63"/>
  <c r="AX63" s="1"/>
  <c r="K11"/>
  <c r="R33"/>
  <c r="AX33" s="1"/>
  <c r="R32"/>
  <c r="AX32" s="1"/>
  <c r="R34"/>
  <c r="AX34" s="1"/>
  <c r="K20"/>
  <c r="R59"/>
  <c r="AX59" s="1"/>
  <c r="R61"/>
  <c r="AX61" s="1"/>
  <c r="R60"/>
  <c r="AX60" s="1"/>
  <c r="R58"/>
  <c r="AX58" s="1"/>
  <c r="K19"/>
  <c r="R57"/>
  <c r="AX57" s="1"/>
  <c r="R55"/>
  <c r="AX55" s="1"/>
  <c r="R56"/>
  <c r="AX56" s="1"/>
  <c r="R54"/>
  <c r="AX54" s="1"/>
  <c r="K18"/>
  <c r="R51"/>
  <c r="AX51" s="1"/>
  <c r="R52"/>
  <c r="AX52" s="1"/>
  <c r="K17"/>
  <c r="R50"/>
  <c r="AX50" s="1"/>
  <c r="R49"/>
  <c r="AX49" s="1"/>
  <c r="K16"/>
  <c r="R47"/>
  <c r="AX47" s="1"/>
  <c r="R46"/>
  <c r="AX46" s="1"/>
  <c r="K15"/>
  <c r="R45"/>
  <c r="AX45" s="1"/>
  <c r="R43"/>
  <c r="AX43" s="1"/>
  <c r="CB4"/>
  <c r="R44"/>
  <c r="AX44" s="1"/>
  <c r="K14"/>
  <c r="R41"/>
  <c r="AX41" s="1"/>
  <c r="R42"/>
  <c r="AX42" s="1"/>
  <c r="R40"/>
  <c r="AX40" s="1"/>
  <c r="K13"/>
  <c r="R39"/>
  <c r="AX39" s="1"/>
  <c r="R38"/>
  <c r="AX38" s="1"/>
  <c r="K12"/>
  <c r="R37"/>
  <c r="AX37" s="1"/>
  <c r="R35"/>
  <c r="AX35" s="1"/>
  <c r="R36"/>
  <c r="AX36" s="1"/>
  <c r="K10"/>
  <c r="CB3"/>
  <c r="R30"/>
  <c r="AX30" s="1"/>
  <c r="R29"/>
  <c r="AX29" s="1"/>
  <c r="R28"/>
  <c r="AX28" s="1"/>
  <c r="R27"/>
  <c r="AX27" s="1"/>
  <c r="R14"/>
  <c r="AX14" s="1"/>
  <c r="K9"/>
  <c r="R26"/>
  <c r="AX26" s="1"/>
  <c r="K8"/>
  <c r="R24"/>
  <c r="AX24" s="1"/>
  <c r="R23"/>
  <c r="AX23" s="1"/>
  <c r="K7"/>
  <c r="R17"/>
  <c r="AX17" s="1"/>
  <c r="R22"/>
  <c r="AX22" s="1"/>
  <c r="R19"/>
  <c r="AX19" s="1"/>
  <c r="R16"/>
  <c r="AX16" s="1"/>
  <c r="R21"/>
  <c r="AX21" s="1"/>
  <c r="R20"/>
  <c r="AX20" s="1"/>
  <c r="K6"/>
  <c r="R13"/>
  <c r="AX13" s="1"/>
  <c r="K4"/>
  <c r="R9"/>
  <c r="AX9" s="1"/>
  <c r="R7"/>
  <c r="AX7" s="1"/>
  <c r="R8"/>
  <c r="AX8" s="1"/>
  <c r="R5"/>
  <c r="AX5" s="1"/>
  <c r="R3"/>
  <c r="AX3" s="1"/>
  <c r="R4"/>
  <c r="AX4" s="1"/>
  <c r="K3"/>
  <c r="J10" i="31"/>
  <c r="AS37" i="29" l="1"/>
  <c r="S23"/>
  <c r="AS38"/>
  <c r="AS40"/>
  <c r="AS39"/>
  <c r="AS41"/>
  <c r="S22"/>
  <c r="AS35"/>
  <c r="AS34"/>
  <c r="AS36"/>
  <c r="S21"/>
  <c r="S20"/>
  <c r="S19"/>
  <c r="S18"/>
  <c r="S16"/>
  <c r="AS32"/>
  <c r="AS31"/>
  <c r="AS33"/>
  <c r="S17"/>
  <c r="AS24"/>
  <c r="AS30"/>
  <c r="AS29"/>
  <c r="AS23"/>
  <c r="AS25"/>
  <c r="AS27"/>
  <c r="AS26"/>
  <c r="AS28"/>
  <c r="S15"/>
  <c r="S14"/>
  <c r="S12"/>
  <c r="S13"/>
  <c r="AS22"/>
  <c r="AS21"/>
  <c r="S11"/>
  <c r="S8"/>
  <c r="AS15"/>
  <c r="AS12"/>
  <c r="AS11"/>
  <c r="S10"/>
  <c r="AS18"/>
  <c r="AS20"/>
  <c r="AS19"/>
  <c r="AS17"/>
  <c r="AS16"/>
  <c r="AS13"/>
  <c r="AS14"/>
  <c r="AS6"/>
  <c r="AS7"/>
  <c r="AS9"/>
  <c r="AS8"/>
  <c r="AS10"/>
  <c r="AS4"/>
  <c r="AS3"/>
  <c r="AS5"/>
  <c r="S7"/>
  <c r="S9"/>
  <c r="S6"/>
  <c r="S5"/>
  <c r="T3"/>
  <c r="S3"/>
  <c r="S4"/>
  <c r="J11" i="31"/>
  <c r="J12" l="1"/>
  <c r="J13" l="1"/>
  <c r="J14" l="1"/>
  <c r="D33" i="21"/>
  <c r="C33"/>
  <c r="D32"/>
  <c r="C32"/>
  <c r="J15" i="31" l="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J16" i="31" l="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D26" l="1"/>
  <c r="D39"/>
  <c r="D31"/>
  <c r="J17" i="31"/>
  <c r="D42" i="21"/>
  <c r="D43"/>
  <c r="D25"/>
  <c r="D41"/>
  <c r="D7"/>
  <c r="D10"/>
  <c r="D6"/>
  <c r="D40"/>
  <c r="D24"/>
  <c r="E1" i="25" s="1"/>
  <c r="D3" i="21"/>
  <c r="D38"/>
  <c r="D5"/>
  <c r="J18" i="31" l="1"/>
  <c r="B8" i="25"/>
  <c r="J19" i="31" l="1"/>
  <c r="J20" l="1"/>
  <c r="J21" l="1"/>
  <c r="J22" l="1"/>
  <c r="J23" l="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62"/>
  <c r="K24"/>
  <c r="K39"/>
  <c r="K58"/>
  <c r="K22"/>
  <c r="K45"/>
  <c r="K44"/>
  <c r="K46"/>
  <c r="K51"/>
  <c r="K34"/>
  <c r="K33"/>
  <c r="K28"/>
  <c r="K26"/>
  <c r="K54"/>
  <c r="K57"/>
  <c r="K14"/>
  <c r="K37"/>
  <c r="K60"/>
  <c r="K43"/>
  <c r="K16"/>
  <c r="K31"/>
  <c r="K50"/>
  <c r="K13"/>
  <c r="K12"/>
  <c r="K35"/>
  <c r="K41"/>
  <c r="K52"/>
  <c r="K56"/>
  <c r="K21"/>
  <c r="K7"/>
  <c r="K49"/>
  <c r="K5"/>
  <c r="K20"/>
  <c r="K11"/>
  <c r="K8"/>
  <c r="K23"/>
  <c r="K42"/>
  <c r="K3"/>
  <c r="K64"/>
  <c r="K53"/>
  <c r="K15"/>
  <c r="K6"/>
  <c r="K19"/>
  <c r="K25"/>
  <c r="K48"/>
  <c r="K63"/>
  <c r="K38"/>
  <c r="K61"/>
  <c r="K18"/>
  <c r="K17"/>
  <c r="K40"/>
  <c r="K55"/>
  <c r="K30"/>
  <c r="K29"/>
  <c r="K36"/>
  <c r="K59"/>
  <c r="K10"/>
  <c r="K32"/>
  <c r="K47"/>
  <c r="K27"/>
  <c r="K9"/>
  <c r="K4"/>
  <c r="K2"/>
  <c r="L2" s="1"/>
  <c r="M2" s="1"/>
  <c r="J62"/>
  <c r="N2"/>
  <c r="L17" l="1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53"/>
  <c r="N48"/>
  <c r="N10"/>
  <c r="P57"/>
  <c r="N4"/>
  <c r="N3"/>
  <c r="N32"/>
  <c r="P31"/>
  <c r="N61"/>
  <c r="P35"/>
  <c r="P24"/>
  <c r="P40"/>
  <c r="N39"/>
  <c r="P54"/>
  <c r="N23"/>
  <c r="N29"/>
  <c r="N30"/>
  <c r="P19"/>
  <c r="N37"/>
  <c r="N12"/>
  <c r="N11"/>
  <c r="P27"/>
  <c r="P44"/>
  <c r="P18"/>
  <c r="P11"/>
  <c r="P38"/>
  <c r="P13"/>
  <c r="N6"/>
  <c r="P50"/>
  <c r="P15"/>
  <c r="P33"/>
  <c r="P2"/>
  <c r="P3"/>
  <c r="P9"/>
  <c r="N52"/>
  <c r="N14"/>
  <c r="N17"/>
  <c r="P58"/>
  <c r="P49"/>
  <c r="N56"/>
  <c r="N5"/>
  <c r="P43"/>
  <c r="N59"/>
  <c r="N28"/>
  <c r="N45"/>
  <c r="N34"/>
  <c r="P60"/>
  <c r="P21"/>
  <c r="P7"/>
  <c r="P22"/>
  <c r="N42"/>
  <c r="P36"/>
  <c r="P41"/>
  <c r="P47"/>
  <c r="N55"/>
  <c r="P25"/>
  <c r="P51"/>
  <c r="N8"/>
  <c r="N26"/>
  <c r="P20"/>
  <c r="N16"/>
  <c r="N46"/>
  <c r="O17" l="1"/>
  <c r="O12"/>
  <c r="O10"/>
  <c r="O6"/>
  <c r="O3"/>
  <c r="O16"/>
  <c r="O8"/>
  <c r="O14"/>
  <c r="O4"/>
  <c r="O5"/>
  <c r="O11"/>
  <c r="O42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N7"/>
  <c r="P12"/>
  <c r="N41"/>
  <c r="N13"/>
  <c r="N62"/>
  <c r="P59"/>
  <c r="N53"/>
  <c r="N24"/>
  <c r="P42"/>
  <c r="P16"/>
  <c r="N60"/>
  <c r="P32"/>
  <c r="P46"/>
  <c r="P26"/>
  <c r="P37"/>
  <c r="P6"/>
  <c r="N18"/>
  <c r="P55"/>
  <c r="N19"/>
  <c r="N51"/>
  <c r="P30"/>
  <c r="P23"/>
  <c r="P28"/>
  <c r="N50"/>
  <c r="P45"/>
  <c r="N22"/>
  <c r="P8"/>
  <c r="P52"/>
  <c r="P10"/>
  <c r="N31"/>
  <c r="N35"/>
  <c r="N49"/>
  <c r="N58"/>
  <c r="N9"/>
  <c r="N20"/>
  <c r="N47"/>
  <c r="N15"/>
  <c r="N36"/>
  <c r="N25"/>
  <c r="N43"/>
  <c r="P39"/>
  <c r="P34"/>
  <c r="P56"/>
  <c r="P61"/>
  <c r="P17"/>
  <c r="P4"/>
  <c r="P14"/>
  <c r="P5"/>
  <c r="N21"/>
  <c r="N44"/>
  <c r="P29"/>
  <c r="P48"/>
  <c r="N33"/>
  <c r="N40"/>
  <c r="N57"/>
  <c r="N54"/>
  <c r="N38"/>
  <c r="N27"/>
  <c r="O46" i="27" l="1"/>
  <c r="O44"/>
  <c r="O7" i="31"/>
  <c r="O5" i="27"/>
  <c r="O13" i="31"/>
  <c r="O15"/>
  <c r="O6" i="27"/>
  <c r="O9" i="31"/>
  <c r="O21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O96" i="27" l="1"/>
  <c r="O95"/>
  <c r="O85"/>
  <c r="P84"/>
  <c r="P80"/>
  <c r="O79"/>
  <c r="P77"/>
  <c r="P76"/>
  <c r="P75"/>
  <c r="P73"/>
  <c r="P72"/>
  <c r="O70"/>
  <c r="O69"/>
  <c r="O68"/>
  <c r="O67"/>
  <c r="P65"/>
  <c r="O64"/>
  <c r="P63"/>
  <c r="O62"/>
  <c r="P60"/>
  <c r="P59"/>
  <c r="P58"/>
  <c r="P57"/>
  <c r="P56"/>
  <c r="P55"/>
  <c r="P54"/>
  <c r="P53"/>
  <c r="P52"/>
  <c r="P51"/>
  <c r="P50"/>
  <c r="P49"/>
  <c r="O48"/>
  <c r="O42"/>
  <c r="P41"/>
  <c r="P40"/>
  <c r="P39"/>
  <c r="P37"/>
  <c r="P36"/>
  <c r="P35"/>
  <c r="P34"/>
  <c r="O33"/>
  <c r="O32"/>
  <c r="O31"/>
  <c r="O30"/>
  <c r="O29"/>
  <c r="O28"/>
  <c r="O27"/>
  <c r="O26"/>
  <c r="O25"/>
  <c r="O24"/>
  <c r="O22"/>
  <c r="O23"/>
  <c r="O20"/>
  <c r="O21"/>
  <c r="O19"/>
  <c r="O18"/>
  <c r="O7"/>
  <c r="O17"/>
  <c r="O16"/>
  <c r="O15"/>
  <c r="O14"/>
  <c r="O13"/>
  <c r="O12"/>
  <c r="O11"/>
  <c r="O10"/>
  <c r="O9"/>
  <c r="O8"/>
  <c r="O63" i="31"/>
  <c r="M64"/>
  <c r="L65"/>
  <c r="J66"/>
  <c r="K66" s="1"/>
  <c r="P63"/>
  <c r="P64"/>
  <c r="O86" i="27" l="1"/>
  <c r="M65" i="31"/>
  <c r="L66"/>
  <c r="J67"/>
  <c r="K67" s="1"/>
  <c r="N64"/>
  <c r="N65"/>
  <c r="O64" l="1"/>
  <c r="O65"/>
  <c r="M66"/>
  <c r="L67"/>
  <c r="J68"/>
  <c r="K68" s="1"/>
  <c r="P65"/>
  <c r="N66"/>
  <c r="O87" i="27" l="1"/>
  <c r="P71"/>
  <c r="O66" i="31"/>
  <c r="M67"/>
  <c r="L68"/>
  <c r="J69"/>
  <c r="K69" s="1"/>
  <c r="P66"/>
  <c r="N67"/>
  <c r="O89" i="27" l="1"/>
  <c r="O67" i="31"/>
  <c r="M68"/>
  <c r="L69"/>
  <c r="J70"/>
  <c r="K70" s="1"/>
  <c r="P67"/>
  <c r="N68"/>
  <c r="O90" i="27" l="1"/>
  <c r="O68" i="31"/>
  <c r="M69"/>
  <c r="L70"/>
  <c r="J71"/>
  <c r="K71" s="1"/>
  <c r="P68"/>
  <c r="N69"/>
  <c r="O91" i="27" l="1"/>
  <c r="O69" i="3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45" i="27" l="1"/>
  <c r="P46"/>
  <c r="O84" i="31"/>
  <c r="M85"/>
  <c r="L86"/>
  <c r="J87"/>
  <c r="K87" s="1"/>
  <c r="P84"/>
  <c r="N85"/>
  <c r="O47" i="27" l="1"/>
  <c r="P48"/>
  <c r="O85" i="31"/>
  <c r="M86"/>
  <c r="L87"/>
  <c r="J88"/>
  <c r="K88" s="1"/>
  <c r="P85"/>
  <c r="N86"/>
  <c r="P62" i="27" l="1"/>
  <c r="O86" i="31"/>
  <c r="M87"/>
  <c r="L88"/>
  <c r="J89"/>
  <c r="K89" s="1"/>
  <c r="P86"/>
  <c r="N87"/>
  <c r="P64" i="27" l="1"/>
  <c r="O87" i="31"/>
  <c r="M88"/>
  <c r="L89"/>
  <c r="J90"/>
  <c r="K90" s="1"/>
  <c r="P87"/>
  <c r="N88"/>
  <c r="P66" i="27" l="1"/>
  <c r="O88" i="31"/>
  <c r="M89"/>
  <c r="L90"/>
  <c r="J91"/>
  <c r="K91" s="1"/>
  <c r="P88"/>
  <c r="N89"/>
  <c r="P67" i="27" l="1"/>
  <c r="O89" i="31"/>
  <c r="M90"/>
  <c r="L91"/>
  <c r="J92"/>
  <c r="K92" s="1"/>
  <c r="P89"/>
  <c r="N90"/>
  <c r="P68" i="27" l="1"/>
  <c r="O90" i="31"/>
  <c r="M91"/>
  <c r="L92"/>
  <c r="J93"/>
  <c r="K93" s="1"/>
  <c r="P90"/>
  <c r="N91"/>
  <c r="P69" i="27" l="1"/>
  <c r="O91" i="31"/>
  <c r="M92"/>
  <c r="L93"/>
  <c r="J94"/>
  <c r="K94" s="1"/>
  <c r="P91"/>
  <c r="N92"/>
  <c r="P70" i="27" l="1"/>
  <c r="O92" i="31"/>
  <c r="M93"/>
  <c r="L94"/>
  <c r="J95"/>
  <c r="K95" s="1"/>
  <c r="P92"/>
  <c r="N93"/>
  <c r="P81" i="27" l="1"/>
  <c r="O93" i="3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37" i="27" l="1"/>
  <c r="O98" i="31"/>
  <c r="M99"/>
  <c r="L100"/>
  <c r="J101"/>
  <c r="K101" s="1"/>
  <c r="P98"/>
  <c r="N99"/>
  <c r="O99" l="1"/>
  <c r="M100"/>
  <c r="L101"/>
  <c r="J102"/>
  <c r="K102" s="1"/>
  <c r="P99"/>
  <c r="N100"/>
  <c r="O35" i="27" l="1"/>
  <c r="O36"/>
  <c r="O100" i="3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40" i="27" l="1"/>
  <c r="O103" i="31"/>
  <c r="M104"/>
  <c r="L105"/>
  <c r="J106"/>
  <c r="K106" s="1"/>
  <c r="P103"/>
  <c r="N104"/>
  <c r="O50" i="27" l="1"/>
  <c r="O49"/>
  <c r="O104" i="31"/>
  <c r="M105"/>
  <c r="L106"/>
  <c r="J107"/>
  <c r="K107" s="1"/>
  <c r="P104"/>
  <c r="N105"/>
  <c r="O105" l="1"/>
  <c r="M106"/>
  <c r="L107"/>
  <c r="J108"/>
  <c r="K108" s="1"/>
  <c r="P105"/>
  <c r="N106"/>
  <c r="O60" i="27" l="1"/>
  <c r="O106" i="3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39" i="27" l="1"/>
  <c r="O110" i="31"/>
  <c r="M111"/>
  <c r="L112"/>
  <c r="J113"/>
  <c r="K113" s="1"/>
  <c r="P110"/>
  <c r="N111"/>
  <c r="O41" i="27" l="1"/>
  <c r="O111" i="3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P500"/>
  <c r="N501"/>
  <c r="O501" l="1"/>
  <c r="AB27" i="9"/>
  <c r="AB26"/>
  <c r="AB24"/>
  <c r="AB13"/>
  <c r="AB19"/>
  <c r="AB25"/>
  <c r="AB7"/>
  <c r="AB22"/>
  <c r="AB15"/>
  <c r="AB16"/>
  <c r="AB14"/>
  <c r="AB8"/>
  <c r="AB9"/>
  <c r="AB23"/>
  <c r="AB20"/>
  <c r="AB5"/>
  <c r="AB4"/>
  <c r="AB21"/>
  <c r="AB28"/>
  <c r="AB17"/>
  <c r="AB2"/>
  <c r="AB3"/>
  <c r="AA3" s="1"/>
  <c r="P501" i="31"/>
  <c r="O103" i="27" l="1"/>
  <c r="O102"/>
  <c r="O101"/>
  <c r="O100"/>
  <c r="O99"/>
  <c r="O98"/>
  <c r="O97"/>
  <c r="P83"/>
  <c r="P96"/>
  <c r="P95"/>
  <c r="AA89" i="9"/>
  <c r="AA88"/>
  <c r="O88" i="27"/>
  <c r="O94"/>
  <c r="O93"/>
  <c r="O92"/>
  <c r="O84"/>
  <c r="O83"/>
  <c r="P82"/>
  <c r="O82"/>
  <c r="O81"/>
  <c r="AA87" i="9"/>
  <c r="AG87" s="1"/>
  <c r="Q80" i="27"/>
  <c r="O80"/>
  <c r="O78"/>
  <c r="O77"/>
  <c r="Q76"/>
  <c r="O76"/>
  <c r="O75"/>
  <c r="O74"/>
  <c r="O73"/>
  <c r="O72"/>
  <c r="O71"/>
  <c r="AA86" i="9"/>
  <c r="AA85"/>
  <c r="AA83"/>
  <c r="AC83" s="1"/>
  <c r="AA84"/>
  <c r="AA81"/>
  <c r="AF81" s="1"/>
  <c r="AA82"/>
  <c r="AA80"/>
  <c r="AA79"/>
  <c r="AA78"/>
  <c r="AA62"/>
  <c r="AC62" s="1"/>
  <c r="AA48"/>
  <c r="AC48" s="1"/>
  <c r="O66" i="27"/>
  <c r="Q65"/>
  <c r="O65"/>
  <c r="AA77" i="9"/>
  <c r="Z77" s="1"/>
  <c r="O63" i="27"/>
  <c r="O61"/>
  <c r="O59"/>
  <c r="O58"/>
  <c r="O57"/>
  <c r="O56"/>
  <c r="O55"/>
  <c r="Q54"/>
  <c r="O54"/>
  <c r="O53"/>
  <c r="Q52"/>
  <c r="O52"/>
  <c r="O51"/>
  <c r="Q50"/>
  <c r="O38"/>
  <c r="P42"/>
  <c r="O43"/>
  <c r="P44"/>
  <c r="AA75" i="9"/>
  <c r="AC75" s="1"/>
  <c r="AA76"/>
  <c r="O34" i="27"/>
  <c r="AA11" i="9"/>
  <c r="AA12"/>
  <c r="AA10"/>
  <c r="AA6"/>
  <c r="AF6" s="1"/>
  <c r="AA2"/>
  <c r="AH2" s="1"/>
  <c r="O4" i="27"/>
  <c r="O3"/>
  <c r="AA73" i="9"/>
  <c r="AG73" s="1"/>
  <c r="AA18"/>
  <c r="AA31"/>
  <c r="AF31" s="1"/>
  <c r="AA72"/>
  <c r="AC72" s="1"/>
  <c r="AA74"/>
  <c r="AA71"/>
  <c r="AA69"/>
  <c r="AA68"/>
  <c r="AA67"/>
  <c r="AA66"/>
  <c r="AA65"/>
  <c r="AA64"/>
  <c r="AA63"/>
  <c r="AA33"/>
  <c r="AA34"/>
  <c r="AA32"/>
  <c r="AA61"/>
  <c r="Z61" s="1"/>
  <c r="AA53"/>
  <c r="AA60"/>
  <c r="AA59"/>
  <c r="AA58"/>
  <c r="AA57"/>
  <c r="AA56"/>
  <c r="AA55"/>
  <c r="AA54"/>
  <c r="AA52"/>
  <c r="AA51"/>
  <c r="AA50"/>
  <c r="AA49"/>
  <c r="AA47"/>
  <c r="AA46"/>
  <c r="AA45"/>
  <c r="AA44"/>
  <c r="AA43"/>
  <c r="AA41"/>
  <c r="AC41" s="1"/>
  <c r="AA42"/>
  <c r="AA40"/>
  <c r="AA39"/>
  <c r="AA38"/>
  <c r="AA37"/>
  <c r="AA35"/>
  <c r="AC35" s="1"/>
  <c r="AA36"/>
  <c r="AA30"/>
  <c r="AA29"/>
  <c r="AH3"/>
  <c r="AG3"/>
  <c r="AI3"/>
  <c r="AF3"/>
  <c r="AA24"/>
  <c r="AA5"/>
  <c r="AA16"/>
  <c r="AA20"/>
  <c r="AA17"/>
  <c r="AA19"/>
  <c r="AA22"/>
  <c r="AA8"/>
  <c r="AA25"/>
  <c r="AA28"/>
  <c r="AA7"/>
  <c r="AA27"/>
  <c r="AA13"/>
  <c r="AA21"/>
  <c r="AA9"/>
  <c r="AA23"/>
  <c r="AA15"/>
  <c r="AA4"/>
  <c r="AA14"/>
  <c r="AA26"/>
  <c r="AC3"/>
  <c r="Z3"/>
  <c r="Q5" i="25"/>
  <c r="O5"/>
  <c r="L5"/>
  <c r="J5"/>
  <c r="B9"/>
  <c r="K5"/>
  <c r="D5"/>
  <c r="H5"/>
  <c r="E5"/>
  <c r="N5"/>
  <c r="P5"/>
  <c r="M5"/>
  <c r="AH89" i="9" l="1"/>
  <c r="AI89"/>
  <c r="Z89"/>
  <c r="AG89"/>
  <c r="AF89"/>
  <c r="AC89"/>
  <c r="AI88"/>
  <c r="Z88"/>
  <c r="AH88"/>
  <c r="AC88"/>
  <c r="AG88"/>
  <c r="AF88"/>
  <c r="AC87"/>
  <c r="Z87"/>
  <c r="AH87"/>
  <c r="AF87"/>
  <c r="AI87"/>
  <c r="AG86"/>
  <c r="AI86"/>
  <c r="AF86"/>
  <c r="Z86"/>
  <c r="AH86"/>
  <c r="AC86"/>
  <c r="AG85"/>
  <c r="AF85"/>
  <c r="Z85"/>
  <c r="AH85"/>
  <c r="AC85"/>
  <c r="AI85"/>
  <c r="Z83"/>
  <c r="AH83"/>
  <c r="AF83"/>
  <c r="AI84"/>
  <c r="Z84"/>
  <c r="AH84"/>
  <c r="AG84"/>
  <c r="AF84"/>
  <c r="AC84"/>
  <c r="AI83"/>
  <c r="AG83"/>
  <c r="AH81"/>
  <c r="AC81"/>
  <c r="Z81"/>
  <c r="AI82"/>
  <c r="Z82"/>
  <c r="AH82"/>
  <c r="AG82"/>
  <c r="AC82"/>
  <c r="AF82"/>
  <c r="AG81"/>
  <c r="AI81"/>
  <c r="AI80"/>
  <c r="AF80"/>
  <c r="Z80"/>
  <c r="AH80"/>
  <c r="AC80"/>
  <c r="AG80"/>
  <c r="AC79"/>
  <c r="AI79"/>
  <c r="Z79"/>
  <c r="AH79"/>
  <c r="AF79"/>
  <c r="AG79"/>
  <c r="AI78"/>
  <c r="AG78"/>
  <c r="AF78"/>
  <c r="Z78"/>
  <c r="AH78"/>
  <c r="AC78"/>
  <c r="AI62"/>
  <c r="AF62"/>
  <c r="Z62"/>
  <c r="AG62"/>
  <c r="AH62"/>
  <c r="AF48"/>
  <c r="AG48"/>
  <c r="AI48"/>
  <c r="Z48"/>
  <c r="AH48"/>
  <c r="AH77"/>
  <c r="AF77"/>
  <c r="AG77"/>
  <c r="AC77"/>
  <c r="AI77"/>
  <c r="AI75"/>
  <c r="AG75"/>
  <c r="AF75"/>
  <c r="Z75"/>
  <c r="AI76"/>
  <c r="AG76"/>
  <c r="AF76"/>
  <c r="Z76"/>
  <c r="AH76"/>
  <c r="AC76"/>
  <c r="AH75"/>
  <c r="Z11"/>
  <c r="AH11"/>
  <c r="AG11"/>
  <c r="AI11"/>
  <c r="AF11"/>
  <c r="AC11"/>
  <c r="AG12"/>
  <c r="AI12"/>
  <c r="AF12"/>
  <c r="AC12"/>
  <c r="Z12"/>
  <c r="AH12"/>
  <c r="Z10"/>
  <c r="AH10"/>
  <c r="AG10"/>
  <c r="AI10"/>
  <c r="AF10"/>
  <c r="AC10"/>
  <c r="AH6"/>
  <c r="Z6"/>
  <c r="AI6"/>
  <c r="AC6"/>
  <c r="AG6"/>
  <c r="AI2"/>
  <c r="AC2"/>
  <c r="Z2"/>
  <c r="AG2"/>
  <c r="AF2"/>
  <c r="AF73"/>
  <c r="Z73"/>
  <c r="AI73"/>
  <c r="AC73"/>
  <c r="AH73"/>
  <c r="AG18"/>
  <c r="AI18"/>
  <c r="AF18"/>
  <c r="Z18"/>
  <c r="AH18"/>
  <c r="AC18"/>
  <c r="AI31"/>
  <c r="AG31"/>
  <c r="AH31"/>
  <c r="AC31"/>
  <c r="Z31"/>
  <c r="AI72"/>
  <c r="Z72"/>
  <c r="AG72"/>
  <c r="AH72"/>
  <c r="AF72"/>
  <c r="AI74"/>
  <c r="AF74"/>
  <c r="Z74"/>
  <c r="AH74"/>
  <c r="AG74"/>
  <c r="AC74"/>
  <c r="AI71"/>
  <c r="AC71"/>
  <c r="Z71"/>
  <c r="AH71"/>
  <c r="AG71"/>
  <c r="AF71"/>
  <c r="AI70"/>
  <c r="AH70"/>
  <c r="AG70"/>
  <c r="AF70"/>
  <c r="AI69"/>
  <c r="Z69"/>
  <c r="AH69"/>
  <c r="AC69"/>
  <c r="AG69"/>
  <c r="AF69"/>
  <c r="AF68"/>
  <c r="AI68"/>
  <c r="Z68"/>
  <c r="AH68"/>
  <c r="AG68"/>
  <c r="AC68"/>
  <c r="AI67"/>
  <c r="AG67"/>
  <c r="Z67"/>
  <c r="AH67"/>
  <c r="AF67"/>
  <c r="AC67"/>
  <c r="AG66"/>
  <c r="AF66"/>
  <c r="AI66"/>
  <c r="Z66"/>
  <c r="AH66"/>
  <c r="AC66"/>
  <c r="AI65"/>
  <c r="AG65"/>
  <c r="Z65"/>
  <c r="AH65"/>
  <c r="AF65"/>
  <c r="AC65"/>
  <c r="AF64"/>
  <c r="AI64"/>
  <c r="Z64"/>
  <c r="AH64"/>
  <c r="AG64"/>
  <c r="AC64"/>
  <c r="AI63"/>
  <c r="Z63"/>
  <c r="AH63"/>
  <c r="AC63"/>
  <c r="AG63"/>
  <c r="AF63"/>
  <c r="Z32"/>
  <c r="AH32"/>
  <c r="AG32"/>
  <c r="AI32"/>
  <c r="AF32"/>
  <c r="AC32"/>
  <c r="AI33"/>
  <c r="AH33"/>
  <c r="Z33"/>
  <c r="AG33"/>
  <c r="AF33"/>
  <c r="AC33"/>
  <c r="AF34"/>
  <c r="AG34"/>
  <c r="AI34"/>
  <c r="AC34"/>
  <c r="Z34"/>
  <c r="AH34"/>
  <c r="AG53"/>
  <c r="AI53"/>
  <c r="AF53"/>
  <c r="Z53"/>
  <c r="AH53"/>
  <c r="AC53"/>
  <c r="AI61"/>
  <c r="AF61"/>
  <c r="AC61"/>
  <c r="AG61"/>
  <c r="AH61"/>
  <c r="AG60"/>
  <c r="AI60"/>
  <c r="Z60"/>
  <c r="AH60"/>
  <c r="AF60"/>
  <c r="AC60"/>
  <c r="AI59"/>
  <c r="Z59"/>
  <c r="AH59"/>
  <c r="AF59"/>
  <c r="AC59"/>
  <c r="AG59"/>
  <c r="AI58"/>
  <c r="Z58"/>
  <c r="AH58"/>
  <c r="AG58"/>
  <c r="AF58"/>
  <c r="AC58"/>
  <c r="Z57"/>
  <c r="AI57"/>
  <c r="AH57"/>
  <c r="AG57"/>
  <c r="AF57"/>
  <c r="AC57"/>
  <c r="AI56"/>
  <c r="AC56"/>
  <c r="Z56"/>
  <c r="AH56"/>
  <c r="AG56"/>
  <c r="AF56"/>
  <c r="AF55"/>
  <c r="AI55"/>
  <c r="Z55"/>
  <c r="AH55"/>
  <c r="AG55"/>
  <c r="AC55"/>
  <c r="Z54"/>
  <c r="AF54"/>
  <c r="AC54"/>
  <c r="AI54"/>
  <c r="AH54"/>
  <c r="AG54"/>
  <c r="AF52"/>
  <c r="AI52"/>
  <c r="Z52"/>
  <c r="AH52"/>
  <c r="AG52"/>
  <c r="AC52"/>
  <c r="AI51"/>
  <c r="Z51"/>
  <c r="AH51"/>
  <c r="AG51"/>
  <c r="AF51"/>
  <c r="AC51"/>
  <c r="AG50"/>
  <c r="AF50"/>
  <c r="AC50"/>
  <c r="AI50"/>
  <c r="Z50"/>
  <c r="AH50"/>
  <c r="AI49"/>
  <c r="Z49"/>
  <c r="AH49"/>
  <c r="AG49"/>
  <c r="AF49"/>
  <c r="AC49"/>
  <c r="AF47"/>
  <c r="AI47"/>
  <c r="Z47"/>
  <c r="AH47"/>
  <c r="AG47"/>
  <c r="AC47"/>
  <c r="AF46"/>
  <c r="AI46"/>
  <c r="AC46"/>
  <c r="Z46"/>
  <c r="AH46"/>
  <c r="AG46"/>
  <c r="AI45"/>
  <c r="Z45"/>
  <c r="AH45"/>
  <c r="AG45"/>
  <c r="AF45"/>
  <c r="AC45"/>
  <c r="Z44"/>
  <c r="AF44"/>
  <c r="AI44"/>
  <c r="AH44"/>
  <c r="AG44"/>
  <c r="AC44"/>
  <c r="AF43"/>
  <c r="AI43"/>
  <c r="Z43"/>
  <c r="AH43"/>
  <c r="AG43"/>
  <c r="AC43"/>
  <c r="AI42"/>
  <c r="AF42"/>
  <c r="Z42"/>
  <c r="AH42"/>
  <c r="AG42"/>
  <c r="AC42"/>
  <c r="AG41"/>
  <c r="AI41"/>
  <c r="AF41"/>
  <c r="Z41"/>
  <c r="AH41"/>
  <c r="AI40"/>
  <c r="AC40"/>
  <c r="Z40"/>
  <c r="AH40"/>
  <c r="AG40"/>
  <c r="AF40"/>
  <c r="AF39"/>
  <c r="Z39"/>
  <c r="AH39"/>
  <c r="AG39"/>
  <c r="AC39"/>
  <c r="AI39"/>
  <c r="AI38"/>
  <c r="AG38"/>
  <c r="AF38"/>
  <c r="AC38"/>
  <c r="Z38"/>
  <c r="AH38"/>
  <c r="AI37"/>
  <c r="Z37"/>
  <c r="AH37"/>
  <c r="AF37"/>
  <c r="AC37"/>
  <c r="AG37"/>
  <c r="AI36"/>
  <c r="AG36"/>
  <c r="AF36"/>
  <c r="Z36"/>
  <c r="AH36"/>
  <c r="AC36"/>
  <c r="AI35"/>
  <c r="AH35"/>
  <c r="Z35"/>
  <c r="AF35"/>
  <c r="AG35"/>
  <c r="AI30"/>
  <c r="AF30"/>
  <c r="Z30"/>
  <c r="AH30"/>
  <c r="AG30"/>
  <c r="AC30"/>
  <c r="AI29"/>
  <c r="Z29"/>
  <c r="AH29"/>
  <c r="AC29"/>
  <c r="AG29"/>
  <c r="AF29"/>
  <c r="AH24"/>
  <c r="AI24"/>
  <c r="AG24"/>
  <c r="AF24"/>
  <c r="AI21"/>
  <c r="AH21"/>
  <c r="AG21"/>
  <c r="AF21"/>
  <c r="AI7"/>
  <c r="AG7"/>
  <c r="AH7"/>
  <c r="AF7"/>
  <c r="AH19"/>
  <c r="AI19"/>
  <c r="AG19"/>
  <c r="AF19"/>
  <c r="AI5"/>
  <c r="AH5"/>
  <c r="AG5"/>
  <c r="AF5"/>
  <c r="AH13"/>
  <c r="AI13"/>
  <c r="AG13"/>
  <c r="AF13"/>
  <c r="AH16"/>
  <c r="AI16"/>
  <c r="AG16"/>
  <c r="AF16"/>
  <c r="AI14"/>
  <c r="AG14"/>
  <c r="AH14"/>
  <c r="AF14"/>
  <c r="AH23"/>
  <c r="AI23"/>
  <c r="AG23"/>
  <c r="AF23"/>
  <c r="AI8"/>
  <c r="AH8"/>
  <c r="AG8"/>
  <c r="AF8"/>
  <c r="AH17"/>
  <c r="AI17"/>
  <c r="AG17"/>
  <c r="AF17"/>
  <c r="AH26"/>
  <c r="AI26"/>
  <c r="AG26"/>
  <c r="AF26"/>
  <c r="AI22"/>
  <c r="AH22"/>
  <c r="AG22"/>
  <c r="AF22"/>
  <c r="AG15"/>
  <c r="AH15"/>
  <c r="AI15"/>
  <c r="AF15"/>
  <c r="AI25"/>
  <c r="AG25"/>
  <c r="AH25"/>
  <c r="AF25"/>
  <c r="AI28"/>
  <c r="AG28"/>
  <c r="AH28"/>
  <c r="AF28"/>
  <c r="AI9"/>
  <c r="AH9"/>
  <c r="AG9"/>
  <c r="AF9"/>
  <c r="AG20"/>
  <c r="AI20"/>
  <c r="AH20"/>
  <c r="AF20"/>
  <c r="AI4"/>
  <c r="AG4"/>
  <c r="AH4"/>
  <c r="AF4"/>
  <c r="AI27"/>
  <c r="AG27"/>
  <c r="AH27"/>
  <c r="AF27"/>
  <c r="R9" i="25"/>
  <c r="Z17" i="9"/>
  <c r="AC17"/>
  <c r="AC21"/>
  <c r="Z21"/>
  <c r="AC7"/>
  <c r="Z7"/>
  <c r="Z19"/>
  <c r="AC19"/>
  <c r="Z5"/>
  <c r="AC5"/>
  <c r="AC28"/>
  <c r="Z28"/>
  <c r="Z23"/>
  <c r="AC23"/>
  <c r="Z8"/>
  <c r="AC8"/>
  <c r="AC26"/>
  <c r="Z26"/>
  <c r="Z9"/>
  <c r="AC9"/>
  <c r="Z20"/>
  <c r="AC20"/>
  <c r="AC15"/>
  <c r="Z15"/>
  <c r="AC25"/>
  <c r="Z25"/>
  <c r="AC13"/>
  <c r="Z13"/>
  <c r="Z24"/>
  <c r="AC24"/>
  <c r="Z16"/>
  <c r="AC16"/>
  <c r="Z22"/>
  <c r="AC22"/>
  <c r="Z14"/>
  <c r="AC14"/>
  <c r="AC4"/>
  <c r="Z4"/>
  <c r="Z27"/>
  <c r="AC27"/>
  <c r="Q9" i="25"/>
  <c r="B10"/>
  <c r="N9"/>
  <c r="G5"/>
  <c r="O9"/>
  <c r="F5"/>
  <c r="L9"/>
  <c r="K9"/>
  <c r="M9"/>
  <c r="H9"/>
  <c r="P9"/>
  <c r="J9"/>
  <c r="E9"/>
  <c r="I5"/>
  <c r="D9"/>
  <c r="R10" l="1"/>
  <c r="O10"/>
  <c r="F9"/>
  <c r="M10"/>
  <c r="G10"/>
  <c r="G9"/>
  <c r="J10"/>
  <c r="L10"/>
  <c r="F10"/>
  <c r="P10"/>
  <c r="I10"/>
  <c r="D10"/>
  <c r="N10"/>
  <c r="E10"/>
  <c r="I9"/>
  <c r="Q10"/>
  <c r="K10"/>
  <c r="H10"/>
  <c r="B11"/>
  <c r="R11" l="1"/>
  <c r="O11"/>
  <c r="H11"/>
  <c r="J11"/>
  <c r="D11"/>
  <c r="P11"/>
  <c r="K11"/>
  <c r="M11"/>
  <c r="B12"/>
  <c r="G11"/>
  <c r="F11"/>
  <c r="Q11"/>
  <c r="L11"/>
  <c r="N11"/>
  <c r="I11"/>
  <c r="E11"/>
  <c r="R12" l="1"/>
  <c r="M12"/>
  <c r="H12"/>
  <c r="J12"/>
  <c r="N12"/>
  <c r="I12"/>
  <c r="P12"/>
  <c r="G12"/>
  <c r="D12"/>
  <c r="O12"/>
  <c r="B13"/>
  <c r="Q12"/>
  <c r="L12"/>
  <c r="F12"/>
  <c r="K12"/>
  <c r="E12"/>
  <c r="R13" l="1"/>
  <c r="M13"/>
  <c r="I13"/>
  <c r="L13"/>
  <c r="D13"/>
  <c r="Q13"/>
  <c r="B14"/>
  <c r="H13"/>
  <c r="K13"/>
  <c r="O13"/>
  <c r="J13"/>
  <c r="E13"/>
  <c r="N13"/>
  <c r="F13"/>
  <c r="P13"/>
  <c r="G13"/>
  <c r="R14" l="1"/>
  <c r="M14"/>
  <c r="J14"/>
  <c r="D14"/>
  <c r="B15"/>
  <c r="K14"/>
  <c r="O14"/>
  <c r="L14"/>
  <c r="G14"/>
  <c r="H14"/>
  <c r="N14"/>
  <c r="E14"/>
  <c r="P14"/>
  <c r="Q14"/>
  <c r="I14"/>
  <c r="F14"/>
  <c r="R15" l="1"/>
  <c r="O15"/>
  <c r="I15"/>
  <c r="E15"/>
  <c r="P15"/>
  <c r="G15"/>
  <c r="M15"/>
  <c r="J15"/>
  <c r="F15"/>
  <c r="Q15"/>
  <c r="D15"/>
  <c r="N15"/>
  <c r="L15"/>
  <c r="H15"/>
  <c r="K15"/>
  <c r="B16"/>
  <c r="R16" l="1"/>
  <c r="N16"/>
  <c r="F16"/>
  <c r="M16"/>
  <c r="J16"/>
  <c r="Q16"/>
  <c r="H16"/>
  <c r="G16"/>
  <c r="P16"/>
  <c r="B17"/>
  <c r="L16"/>
  <c r="O16"/>
  <c r="D16"/>
  <c r="K16"/>
  <c r="I16"/>
  <c r="E16"/>
  <c r="R17" l="1"/>
  <c r="M17"/>
  <c r="I17"/>
  <c r="N17"/>
  <c r="G17"/>
  <c r="J17"/>
  <c r="Q17"/>
  <c r="F17"/>
  <c r="H17"/>
  <c r="B18"/>
  <c r="O17"/>
  <c r="L17"/>
  <c r="K17"/>
  <c r="P17"/>
  <c r="E17"/>
  <c r="D17"/>
  <c r="R18" l="1"/>
  <c r="M18"/>
  <c r="D18"/>
  <c r="G18"/>
  <c r="P18"/>
  <c r="H18"/>
  <c r="N18"/>
  <c r="I18"/>
  <c r="O18"/>
  <c r="J18"/>
  <c r="K18"/>
  <c r="L18"/>
  <c r="F18"/>
  <c r="Q18"/>
  <c r="B19"/>
  <c r="E18"/>
  <c r="R19" l="1"/>
  <c r="N19"/>
  <c r="F19"/>
  <c r="I19"/>
  <c r="L19"/>
  <c r="B20"/>
  <c r="M19"/>
  <c r="H19"/>
  <c r="D19"/>
  <c r="P19"/>
  <c r="G19"/>
  <c r="Q19"/>
  <c r="O19"/>
  <c r="J19"/>
  <c r="K19"/>
  <c r="E19"/>
  <c r="R20" l="1"/>
  <c r="Q20"/>
  <c r="I20"/>
  <c r="L20"/>
  <c r="B21"/>
  <c r="M20"/>
  <c r="D20"/>
  <c r="H20"/>
  <c r="O20"/>
  <c r="K20"/>
  <c r="N20"/>
  <c r="J20"/>
  <c r="P20"/>
  <c r="F20"/>
  <c r="E20"/>
  <c r="G20"/>
  <c r="R21" l="1"/>
  <c r="M21"/>
  <c r="B22"/>
  <c r="I21"/>
  <c r="K21"/>
  <c r="P21"/>
  <c r="J21"/>
  <c r="L21"/>
  <c r="O21"/>
  <c r="F21"/>
  <c r="Q21"/>
  <c r="H21"/>
  <c r="G21"/>
  <c r="N21"/>
  <c r="E21"/>
  <c r="D21"/>
  <c r="R22" l="1"/>
  <c r="M22"/>
  <c r="I22"/>
  <c r="D22"/>
  <c r="O22"/>
  <c r="L22"/>
  <c r="E22"/>
  <c r="P22"/>
  <c r="F22"/>
  <c r="K22"/>
  <c r="B23"/>
  <c r="Q22"/>
  <c r="H22"/>
  <c r="N22"/>
  <c r="G22"/>
  <c r="J22"/>
  <c r="R23" l="1"/>
  <c r="Q23"/>
  <c r="H23"/>
  <c r="E23"/>
  <c r="F23"/>
  <c r="K23"/>
  <c r="P23"/>
  <c r="D23"/>
  <c r="O23"/>
  <c r="L23"/>
  <c r="I23"/>
  <c r="N23"/>
  <c r="B24"/>
  <c r="M23"/>
  <c r="J23"/>
  <c r="G23"/>
  <c r="R24" l="1"/>
  <c r="N24"/>
  <c r="D24"/>
  <c r="Q24"/>
  <c r="I24"/>
  <c r="H24"/>
  <c r="O24"/>
  <c r="B25"/>
  <c r="P24"/>
  <c r="K24"/>
  <c r="J24"/>
  <c r="M24"/>
  <c r="G24"/>
  <c r="F24"/>
  <c r="E24"/>
  <c r="L24"/>
  <c r="R25" l="1"/>
  <c r="L25"/>
  <c r="J25"/>
  <c r="I25"/>
  <c r="F25"/>
  <c r="D25"/>
  <c r="M25"/>
  <c r="K25"/>
  <c r="Q25"/>
  <c r="P25"/>
  <c r="N25"/>
  <c r="O25"/>
  <c r="H25"/>
  <c r="G25"/>
  <c r="E25"/>
  <c r="B26"/>
  <c r="R26" l="1"/>
  <c r="Q26"/>
  <c r="J26"/>
  <c r="I26"/>
  <c r="F26"/>
  <c r="B27"/>
  <c r="L26"/>
  <c r="E26"/>
  <c r="N26"/>
  <c r="O26"/>
  <c r="M26"/>
  <c r="K26"/>
  <c r="P26"/>
  <c r="H26"/>
  <c r="D26"/>
  <c r="G26"/>
  <c r="R27" l="1"/>
  <c r="Q27"/>
  <c r="I27"/>
  <c r="F27"/>
  <c r="H27"/>
  <c r="B28"/>
  <c r="M27"/>
  <c r="G27"/>
  <c r="L27"/>
  <c r="E27"/>
  <c r="P27"/>
  <c r="J27"/>
  <c r="N27"/>
  <c r="K27"/>
  <c r="D27"/>
  <c r="O27"/>
  <c r="R28" l="1"/>
  <c r="M28"/>
  <c r="B29"/>
  <c r="I28"/>
  <c r="G28"/>
  <c r="Q28"/>
  <c r="J28"/>
  <c r="P28"/>
  <c r="D28"/>
  <c r="H28"/>
  <c r="N28"/>
  <c r="F28"/>
  <c r="L28"/>
  <c r="K28"/>
  <c r="O28"/>
  <c r="E28"/>
  <c r="R29" l="1"/>
  <c r="M29"/>
  <c r="H29"/>
  <c r="I29"/>
  <c r="E29"/>
  <c r="K29"/>
  <c r="O29"/>
  <c r="F29"/>
  <c r="P29"/>
  <c r="L29"/>
  <c r="D29"/>
  <c r="Q29"/>
  <c r="J29"/>
  <c r="N29"/>
  <c r="G29"/>
  <c r="B30"/>
  <c r="R30" l="1"/>
  <c r="N30"/>
  <c r="G30"/>
  <c r="D30"/>
  <c r="J30"/>
  <c r="F30"/>
  <c r="K30"/>
  <c r="M30"/>
  <c r="B31"/>
  <c r="Q30"/>
  <c r="I30"/>
  <c r="L30"/>
  <c r="O30"/>
  <c r="P30"/>
  <c r="H30"/>
  <c r="E30"/>
  <c r="R31" l="1"/>
  <c r="N31"/>
  <c r="H31"/>
  <c r="B32"/>
  <c r="F31"/>
  <c r="O31"/>
  <c r="D31"/>
  <c r="P31"/>
  <c r="I31"/>
  <c r="K31"/>
  <c r="Q31"/>
  <c r="J31"/>
  <c r="L31"/>
  <c r="G31"/>
  <c r="M31"/>
  <c r="E31"/>
  <c r="R32" l="1"/>
  <c r="O32"/>
  <c r="J32"/>
  <c r="H32"/>
  <c r="L32"/>
  <c r="M32"/>
  <c r="E32"/>
  <c r="Q32"/>
  <c r="D32"/>
  <c r="B33"/>
  <c r="I32"/>
  <c r="N32"/>
  <c r="P32"/>
  <c r="G32"/>
  <c r="K32"/>
  <c r="F32"/>
  <c r="R33" l="1"/>
  <c r="O33"/>
  <c r="H33"/>
  <c r="I33"/>
  <c r="D33"/>
  <c r="L33"/>
  <c r="F33"/>
  <c r="M33"/>
  <c r="Q33"/>
  <c r="J33"/>
  <c r="P33"/>
  <c r="G33"/>
  <c r="N33"/>
  <c r="K33"/>
  <c r="E33"/>
  <c r="B34"/>
  <c r="R34" l="1"/>
  <c r="O34"/>
  <c r="G34"/>
  <c r="B35"/>
  <c r="D34"/>
  <c r="K34"/>
  <c r="P34"/>
  <c r="J34"/>
  <c r="L34"/>
  <c r="Q34"/>
  <c r="I34"/>
  <c r="M34"/>
  <c r="H34"/>
  <c r="N34"/>
  <c r="F34"/>
  <c r="E34"/>
  <c r="R35" l="1"/>
  <c r="Q35"/>
  <c r="F35"/>
  <c r="G35"/>
  <c r="M35"/>
  <c r="I35"/>
  <c r="D35"/>
  <c r="P35"/>
  <c r="E35"/>
  <c r="J35"/>
  <c r="L35"/>
  <c r="K35"/>
  <c r="O35"/>
  <c r="N35"/>
  <c r="B36"/>
  <c r="H35"/>
  <c r="R36" l="1"/>
  <c r="L36"/>
  <c r="J36"/>
  <c r="Q36"/>
  <c r="G36"/>
  <c r="I36"/>
  <c r="N36"/>
  <c r="B37"/>
  <c r="O36"/>
  <c r="K36"/>
  <c r="E36"/>
  <c r="M36"/>
  <c r="D36"/>
  <c r="H36"/>
  <c r="F36"/>
  <c r="P36"/>
  <c r="R37" l="1"/>
  <c r="L37"/>
  <c r="D37"/>
  <c r="H37"/>
  <c r="K37"/>
  <c r="B38"/>
  <c r="P37"/>
  <c r="F37"/>
  <c r="I37"/>
  <c r="Q37"/>
  <c r="E37"/>
  <c r="O37"/>
  <c r="N37"/>
  <c r="G37"/>
  <c r="M37"/>
  <c r="J37"/>
  <c r="R38" l="1"/>
  <c r="Q38"/>
  <c r="F38"/>
  <c r="K38"/>
  <c r="H38"/>
  <c r="L38"/>
  <c r="M38"/>
  <c r="G38"/>
  <c r="J38"/>
  <c r="O38"/>
  <c r="I38"/>
  <c r="P38"/>
  <c r="E38"/>
  <c r="N38"/>
  <c r="B39"/>
  <c r="D38"/>
  <c r="R39" l="1"/>
  <c r="L39"/>
  <c r="F39"/>
  <c r="G39"/>
  <c r="Q39"/>
  <c r="N39"/>
  <c r="J39"/>
  <c r="K39"/>
  <c r="D39"/>
  <c r="B40"/>
  <c r="H39"/>
  <c r="P39"/>
  <c r="M39"/>
  <c r="I39"/>
  <c r="O39"/>
  <c r="E39"/>
  <c r="R40" l="1"/>
  <c r="O40"/>
  <c r="G40"/>
  <c r="F40"/>
  <c r="H40"/>
  <c r="E40"/>
  <c r="Q40"/>
  <c r="I40"/>
  <c r="K40"/>
  <c r="L40"/>
  <c r="M40"/>
  <c r="J40"/>
  <c r="P40"/>
  <c r="N40"/>
  <c r="B41"/>
  <c r="D40"/>
  <c r="R41" l="1"/>
  <c r="O41"/>
  <c r="F41"/>
  <c r="B42"/>
  <c r="H41"/>
  <c r="Q41"/>
  <c r="M41"/>
  <c r="J41"/>
  <c r="K41"/>
  <c r="N41"/>
  <c r="D41"/>
  <c r="I41"/>
  <c r="L41"/>
  <c r="G41"/>
  <c r="P41"/>
  <c r="E41"/>
  <c r="R42" l="1"/>
  <c r="L42"/>
  <c r="F42"/>
  <c r="H42"/>
  <c r="K42"/>
  <c r="B43"/>
  <c r="N42"/>
  <c r="J42"/>
  <c r="I42"/>
  <c r="Q42"/>
  <c r="E42"/>
  <c r="M42"/>
  <c r="P42"/>
  <c r="D42"/>
  <c r="O42"/>
  <c r="G42"/>
  <c r="R43" l="1"/>
  <c r="K43"/>
  <c r="G43"/>
  <c r="E43"/>
  <c r="B44"/>
  <c r="L43"/>
  <c r="F43"/>
  <c r="P43"/>
  <c r="D43"/>
  <c r="I43"/>
  <c r="O43"/>
  <c r="J43"/>
  <c r="N43"/>
  <c r="Q43"/>
  <c r="H43"/>
  <c r="M43"/>
  <c r="R44" l="1"/>
  <c r="N44"/>
  <c r="F44"/>
  <c r="G44"/>
  <c r="Q44"/>
  <c r="B45"/>
  <c r="O44"/>
  <c r="H44"/>
  <c r="K44"/>
  <c r="D44"/>
  <c r="P44"/>
  <c r="M44"/>
  <c r="J44"/>
  <c r="L44"/>
  <c r="E44"/>
  <c r="I44"/>
  <c r="R45" l="1"/>
  <c r="Q45"/>
  <c r="G45"/>
  <c r="H45"/>
  <c r="O45"/>
  <c r="E45"/>
  <c r="D45"/>
  <c r="L45"/>
  <c r="J45"/>
  <c r="K45"/>
  <c r="B46"/>
  <c r="N45"/>
  <c r="I45"/>
  <c r="M45"/>
  <c r="P45"/>
  <c r="F45"/>
  <c r="R46" l="1"/>
  <c r="N46"/>
  <c r="I46"/>
  <c r="M46"/>
  <c r="E46"/>
  <c r="O46"/>
  <c r="L46"/>
  <c r="D46"/>
  <c r="B47"/>
  <c r="G46"/>
  <c r="Q46"/>
  <c r="H46"/>
  <c r="P46"/>
  <c r="J46"/>
  <c r="F46"/>
  <c r="K46"/>
  <c r="R47" l="1"/>
  <c r="M47"/>
  <c r="H47"/>
  <c r="B48"/>
  <c r="P47"/>
  <c r="K47"/>
  <c r="J47"/>
  <c r="F47"/>
  <c r="N47"/>
  <c r="O47"/>
  <c r="D47"/>
  <c r="Q47"/>
  <c r="L47"/>
  <c r="E47"/>
  <c r="I47"/>
  <c r="G47"/>
  <c r="R48" l="1"/>
  <c r="L48"/>
  <c r="H48"/>
  <c r="F48"/>
  <c r="Q48"/>
  <c r="I48"/>
  <c r="N48"/>
  <c r="J48"/>
  <c r="E48"/>
  <c r="K48"/>
  <c r="D48"/>
  <c r="P48"/>
  <c r="O48"/>
  <c r="G48"/>
  <c r="M48"/>
  <c r="B49"/>
  <c r="R49" l="1"/>
  <c r="O49"/>
  <c r="F49"/>
  <c r="B50"/>
  <c r="N49"/>
  <c r="H49"/>
  <c r="K49"/>
  <c r="J49"/>
  <c r="D49"/>
  <c r="I49"/>
  <c r="E49"/>
  <c r="M49"/>
  <c r="P49"/>
  <c r="Q49"/>
  <c r="L49"/>
  <c r="G49"/>
  <c r="R50" l="1"/>
  <c r="N50"/>
  <c r="I50"/>
  <c r="K50"/>
  <c r="B51"/>
  <c r="M50"/>
  <c r="G50"/>
  <c r="L50"/>
  <c r="P50"/>
  <c r="H50"/>
  <c r="Q50"/>
  <c r="E50"/>
  <c r="J50"/>
  <c r="O50"/>
  <c r="F50"/>
  <c r="D50"/>
  <c r="R51" l="1"/>
  <c r="K51"/>
  <c r="H51"/>
  <c r="P51"/>
  <c r="N51"/>
  <c r="D51"/>
  <c r="L51"/>
  <c r="F51"/>
  <c r="I51"/>
  <c r="E51"/>
  <c r="B52"/>
  <c r="Q51"/>
  <c r="G51"/>
  <c r="O51"/>
  <c r="M51"/>
  <c r="J51"/>
  <c r="R52" l="1"/>
  <c r="P52"/>
  <c r="J52"/>
  <c r="D52"/>
  <c r="I52"/>
  <c r="K52"/>
  <c r="L52"/>
  <c r="G52"/>
  <c r="H52"/>
  <c r="N52"/>
  <c r="F52"/>
  <c r="O52"/>
  <c r="M52"/>
  <c r="Q52"/>
  <c r="E52"/>
  <c r="B53"/>
  <c r="R53" l="1"/>
  <c r="M53"/>
  <c r="B54"/>
  <c r="F53"/>
  <c r="H53"/>
  <c r="Q53"/>
  <c r="I53"/>
  <c r="O53"/>
  <c r="P53"/>
  <c r="N53"/>
  <c r="G53"/>
  <c r="K53"/>
  <c r="E53"/>
  <c r="D53"/>
  <c r="J53"/>
  <c r="L53"/>
  <c r="M54" l="1"/>
  <c r="K54"/>
  <c r="O54"/>
  <c r="L54"/>
  <c r="R54"/>
  <c r="Q54"/>
  <c r="N54"/>
  <c r="P54"/>
  <c r="B55"/>
  <c r="D54"/>
  <c r="J54"/>
  <c r="F54"/>
  <c r="H54"/>
  <c r="I54"/>
  <c r="E54"/>
  <c r="G54"/>
  <c r="K55" l="1"/>
  <c r="O55"/>
  <c r="R55"/>
  <c r="P55"/>
  <c r="L55"/>
  <c r="M55"/>
  <c r="Q55"/>
  <c r="N55"/>
  <c r="I55"/>
  <c r="D55"/>
  <c r="E55"/>
  <c r="H55"/>
  <c r="J55"/>
  <c r="G55"/>
  <c r="F55"/>
  <c r="B56"/>
  <c r="K56" l="1"/>
  <c r="L56"/>
  <c r="N56"/>
  <c r="Q56"/>
  <c r="P56"/>
  <c r="O56"/>
  <c r="R56"/>
  <c r="M56"/>
  <c r="I56"/>
  <c r="E56"/>
  <c r="J56"/>
  <c r="D56"/>
  <c r="H56"/>
  <c r="B57"/>
  <c r="F56"/>
  <c r="G56"/>
  <c r="Q57" l="1"/>
  <c r="K57"/>
  <c r="R57"/>
  <c r="L57"/>
  <c r="P57"/>
  <c r="O57"/>
  <c r="N57"/>
  <c r="M57"/>
  <c r="H57"/>
  <c r="J57"/>
  <c r="D57"/>
  <c r="E57"/>
  <c r="B58"/>
  <c r="G57"/>
  <c r="F57"/>
  <c r="I57"/>
  <c r="M58" l="1"/>
  <c r="O58"/>
  <c r="R58"/>
  <c r="N58"/>
  <c r="Q58"/>
  <c r="K58"/>
  <c r="L58"/>
  <c r="P58"/>
  <c r="I58"/>
  <c r="H58"/>
  <c r="J58"/>
  <c r="E58"/>
  <c r="F58"/>
  <c r="B59"/>
  <c r="D58"/>
  <c r="G58"/>
  <c r="K59" l="1"/>
  <c r="N59"/>
  <c r="R59"/>
  <c r="Q59"/>
  <c r="M59"/>
  <c r="P59"/>
  <c r="L59"/>
  <c r="O59"/>
  <c r="G59"/>
  <c r="J59"/>
  <c r="E59"/>
  <c r="D59"/>
  <c r="F59"/>
  <c r="H59"/>
  <c r="B60"/>
  <c r="I59"/>
  <c r="P60" l="1"/>
  <c r="L60"/>
  <c r="N60"/>
  <c r="O60"/>
  <c r="Q60"/>
  <c r="M60"/>
  <c r="K60"/>
  <c r="R60"/>
  <c r="G60"/>
  <c r="B61"/>
  <c r="J60"/>
  <c r="E60"/>
  <c r="D60"/>
  <c r="H60"/>
  <c r="F60"/>
  <c r="I60"/>
  <c r="L61" l="1"/>
  <c r="O61"/>
  <c r="P61"/>
  <c r="K61"/>
  <c r="R61"/>
  <c r="Q61"/>
  <c r="N61"/>
  <c r="M61"/>
  <c r="J61"/>
  <c r="F61"/>
  <c r="B62"/>
  <c r="G61"/>
  <c r="D61"/>
  <c r="H61"/>
  <c r="E61"/>
  <c r="I61"/>
  <c r="R62" l="1"/>
  <c r="K62"/>
  <c r="M62"/>
  <c r="P62"/>
  <c r="L62"/>
  <c r="O62"/>
  <c r="N62"/>
  <c r="Q62"/>
  <c r="F62"/>
  <c r="D62"/>
  <c r="E62"/>
  <c r="J62"/>
  <c r="B63"/>
  <c r="H62"/>
  <c r="G62"/>
  <c r="I62"/>
  <c r="P63" l="1"/>
  <c r="R63"/>
  <c r="N63"/>
  <c r="L63"/>
  <c r="O63"/>
  <c r="K63"/>
  <c r="Q63"/>
  <c r="M63"/>
  <c r="B64"/>
  <c r="E63"/>
  <c r="J63"/>
  <c r="D63"/>
  <c r="G63"/>
  <c r="F63"/>
  <c r="I63"/>
  <c r="H63"/>
  <c r="Q64" l="1"/>
  <c r="N64"/>
  <c r="M64"/>
  <c r="P64"/>
  <c r="L64"/>
  <c r="K64"/>
  <c r="R64"/>
  <c r="O64"/>
  <c r="J64"/>
  <c r="F64"/>
  <c r="E64"/>
  <c r="D64"/>
  <c r="H64"/>
  <c r="I64"/>
  <c r="B65"/>
  <c r="G64"/>
  <c r="R65" l="1"/>
  <c r="O65"/>
  <c r="L65"/>
  <c r="N65"/>
  <c r="Q65"/>
  <c r="K65"/>
  <c r="M65"/>
  <c r="P65"/>
  <c r="J65"/>
  <c r="B66"/>
  <c r="E65"/>
  <c r="H65"/>
  <c r="F65"/>
  <c r="D65"/>
  <c r="I65"/>
  <c r="G65"/>
  <c r="R66" l="1"/>
  <c r="L66"/>
  <c r="O66"/>
  <c r="P66"/>
  <c r="N66"/>
  <c r="M66"/>
  <c r="K66"/>
  <c r="Q66"/>
  <c r="F66"/>
  <c r="G66"/>
  <c r="H66"/>
  <c r="E66"/>
  <c r="D66"/>
  <c r="I66"/>
  <c r="B67"/>
  <c r="J66"/>
  <c r="K67" l="1"/>
  <c r="P67"/>
  <c r="Q67"/>
  <c r="O67"/>
  <c r="N67"/>
  <c r="M67"/>
  <c r="L67"/>
  <c r="R67"/>
  <c r="F67"/>
  <c r="G67"/>
  <c r="E67"/>
  <c r="D67"/>
  <c r="I67"/>
  <c r="J67"/>
  <c r="H67"/>
  <c r="B68"/>
  <c r="R68" l="1"/>
  <c r="Q68"/>
  <c r="P68"/>
  <c r="L68"/>
  <c r="M68"/>
  <c r="N68"/>
  <c r="K68"/>
  <c r="O68"/>
  <c r="F68"/>
  <c r="J68"/>
  <c r="B69"/>
  <c r="D68"/>
  <c r="I68"/>
  <c r="E68"/>
  <c r="G68"/>
  <c r="H68"/>
  <c r="M69" l="1"/>
  <c r="L69"/>
  <c r="Q69"/>
  <c r="O69"/>
  <c r="K69"/>
  <c r="P69"/>
  <c r="N69"/>
  <c r="R69"/>
  <c r="E69"/>
  <c r="D69"/>
  <c r="I69"/>
  <c r="H69"/>
  <c r="B70"/>
  <c r="F69"/>
  <c r="G69"/>
  <c r="J69"/>
  <c r="K70" l="1"/>
  <c r="P70"/>
  <c r="M70"/>
  <c r="L70"/>
  <c r="O70"/>
  <c r="N70"/>
  <c r="R70"/>
  <c r="Q70"/>
  <c r="F70"/>
  <c r="B71"/>
  <c r="G70"/>
  <c r="H70"/>
  <c r="I70"/>
  <c r="E70"/>
  <c r="D70"/>
  <c r="J70"/>
  <c r="L71" l="1"/>
  <c r="M71"/>
  <c r="K71"/>
  <c r="O71"/>
  <c r="P71"/>
  <c r="N71"/>
  <c r="Q71"/>
  <c r="R71"/>
  <c r="F71"/>
  <c r="G71"/>
  <c r="B72"/>
  <c r="H71"/>
  <c r="I71"/>
  <c r="J71"/>
  <c r="E71"/>
  <c r="D71"/>
  <c r="N72" l="1"/>
  <c r="M72"/>
  <c r="R72"/>
  <c r="P72"/>
  <c r="K72"/>
  <c r="O72"/>
  <c r="L72"/>
  <c r="Q72"/>
  <c r="F72"/>
  <c r="G72"/>
  <c r="B73"/>
  <c r="D72"/>
  <c r="J72"/>
  <c r="H72"/>
  <c r="E72"/>
  <c r="I72"/>
  <c r="R73" l="1"/>
  <c r="O73"/>
  <c r="N73"/>
  <c r="L73"/>
  <c r="P73"/>
  <c r="M73"/>
  <c r="Q73"/>
  <c r="K73"/>
  <c r="J73"/>
  <c r="D73"/>
  <c r="I73"/>
  <c r="F73"/>
  <c r="H73"/>
  <c r="B74"/>
  <c r="G73"/>
  <c r="E73"/>
  <c r="Q74" l="1"/>
  <c r="M74"/>
  <c r="O74"/>
  <c r="L74"/>
  <c r="P74"/>
  <c r="N74"/>
  <c r="R74"/>
  <c r="K74"/>
  <c r="J74"/>
  <c r="I74"/>
  <c r="D74"/>
  <c r="E74"/>
  <c r="H74"/>
  <c r="G74"/>
  <c r="F74"/>
  <c r="B75"/>
  <c r="Q75" l="1"/>
  <c r="N75"/>
  <c r="K75"/>
  <c r="O75"/>
  <c r="R75"/>
  <c r="P75"/>
  <c r="M75"/>
  <c r="L75"/>
  <c r="G75"/>
  <c r="F75"/>
  <c r="H75"/>
  <c r="J75"/>
  <c r="D75"/>
  <c r="B76"/>
  <c r="I75"/>
  <c r="E75"/>
  <c r="L76" l="1"/>
  <c r="M76"/>
  <c r="P76"/>
  <c r="Q76"/>
  <c r="K76"/>
  <c r="R76"/>
  <c r="N76"/>
  <c r="O76"/>
  <c r="J76"/>
  <c r="B77"/>
  <c r="I76"/>
  <c r="G76"/>
  <c r="H76"/>
  <c r="F76"/>
  <c r="D76"/>
  <c r="E76"/>
  <c r="R77" l="1"/>
  <c r="N77"/>
  <c r="P77"/>
  <c r="K77"/>
  <c r="Q77"/>
  <c r="L77"/>
  <c r="M77"/>
  <c r="O77"/>
  <c r="H77"/>
  <c r="E77"/>
  <c r="I77"/>
  <c r="D77"/>
  <c r="F77"/>
  <c r="G77"/>
  <c r="J77"/>
  <c r="B78"/>
  <c r="M78" l="1"/>
  <c r="K78"/>
  <c r="N78"/>
  <c r="Q78"/>
  <c r="P78"/>
  <c r="R78"/>
  <c r="L78"/>
  <c r="O78"/>
  <c r="J78"/>
  <c r="D78"/>
  <c r="G78"/>
  <c r="I78"/>
  <c r="H78"/>
  <c r="B79"/>
  <c r="E78"/>
  <c r="F78"/>
  <c r="L79" l="1"/>
  <c r="O79"/>
  <c r="N79"/>
  <c r="Q79"/>
  <c r="R79"/>
  <c r="P79"/>
  <c r="M79"/>
  <c r="K79"/>
  <c r="E79"/>
  <c r="J79"/>
  <c r="I79"/>
  <c r="B80"/>
  <c r="G79"/>
  <c r="H79"/>
  <c r="F79"/>
  <c r="D79"/>
  <c r="K80" l="1"/>
  <c r="N80"/>
  <c r="O80"/>
  <c r="M80"/>
  <c r="R80"/>
  <c r="Q80"/>
  <c r="P80"/>
  <c r="L80"/>
  <c r="E80"/>
  <c r="F80"/>
  <c r="B81"/>
  <c r="I80"/>
  <c r="G80"/>
  <c r="H80"/>
  <c r="D80"/>
  <c r="J80"/>
  <c r="Q81" l="1"/>
  <c r="N81"/>
  <c r="K81"/>
  <c r="R81"/>
  <c r="M81"/>
  <c r="O81"/>
  <c r="L81"/>
  <c r="P81"/>
  <c r="E81"/>
  <c r="B82"/>
  <c r="J81"/>
  <c r="D81"/>
  <c r="G81"/>
  <c r="F81"/>
  <c r="H81"/>
  <c r="I81"/>
  <c r="Q82" l="1"/>
  <c r="N82"/>
  <c r="P82"/>
  <c r="M82"/>
  <c r="L82"/>
  <c r="K82"/>
  <c r="O82"/>
  <c r="R82"/>
  <c r="J82"/>
  <c r="B83"/>
  <c r="E82"/>
  <c r="H82"/>
  <c r="G82"/>
  <c r="I82"/>
  <c r="F82"/>
  <c r="D82"/>
  <c r="O83" l="1"/>
  <c r="P83"/>
  <c r="Q83"/>
  <c r="K83"/>
  <c r="L83"/>
  <c r="N83"/>
  <c r="M83"/>
  <c r="R83"/>
  <c r="F83"/>
  <c r="B84"/>
  <c r="H83"/>
  <c r="I83"/>
  <c r="D83"/>
  <c r="G83"/>
  <c r="J83"/>
  <c r="E83"/>
  <c r="Q84" l="1"/>
  <c r="R84"/>
  <c r="N84"/>
  <c r="L84"/>
  <c r="M84"/>
  <c r="P84"/>
  <c r="K84"/>
  <c r="O84"/>
  <c r="J84"/>
  <c r="D84"/>
  <c r="B85"/>
  <c r="G84"/>
  <c r="F84"/>
  <c r="E84"/>
  <c r="I84"/>
  <c r="H84"/>
  <c r="M85" l="1"/>
  <c r="P85"/>
  <c r="Q85"/>
  <c r="L85"/>
  <c r="K85"/>
  <c r="O85"/>
  <c r="R85"/>
  <c r="N85"/>
  <c r="E85"/>
  <c r="I85"/>
  <c r="H85"/>
  <c r="G85"/>
  <c r="J85"/>
  <c r="B86"/>
  <c r="F85"/>
  <c r="D85"/>
  <c r="P86" l="1"/>
  <c r="Q86"/>
  <c r="R86"/>
  <c r="M86"/>
  <c r="K86"/>
  <c r="N86"/>
  <c r="O86"/>
  <c r="L86"/>
  <c r="D86"/>
  <c r="B87"/>
  <c r="F86"/>
  <c r="G86"/>
  <c r="H86"/>
  <c r="I86"/>
  <c r="E86"/>
  <c r="J86"/>
  <c r="O87" l="1"/>
  <c r="Q87"/>
  <c r="L87"/>
  <c r="P87"/>
  <c r="N87"/>
  <c r="M87"/>
  <c r="K87"/>
  <c r="R87"/>
  <c r="F87"/>
  <c r="G87"/>
  <c r="H87"/>
  <c r="D87"/>
  <c r="I87"/>
  <c r="E87"/>
  <c r="J87"/>
  <c r="B88"/>
  <c r="L88" l="1"/>
  <c r="M88"/>
  <c r="P88"/>
  <c r="K88"/>
  <c r="Q88"/>
  <c r="N88"/>
  <c r="O88"/>
  <c r="R88"/>
  <c r="H88"/>
  <c r="I88"/>
  <c r="F88"/>
  <c r="G88"/>
  <c r="B89"/>
  <c r="D88"/>
  <c r="E88"/>
  <c r="J88"/>
  <c r="K89" l="1"/>
  <c r="Q89"/>
  <c r="N89"/>
  <c r="R89"/>
  <c r="L89"/>
  <c r="O89"/>
  <c r="P89"/>
  <c r="M89"/>
  <c r="J89"/>
  <c r="F89"/>
  <c r="H89"/>
  <c r="I89"/>
  <c r="E89"/>
  <c r="D89"/>
  <c r="B90"/>
  <c r="G89"/>
  <c r="L90" l="1"/>
  <c r="M90"/>
  <c r="R90"/>
  <c r="O90"/>
  <c r="Q90"/>
  <c r="N90"/>
  <c r="K90"/>
  <c r="P90"/>
  <c r="E90"/>
  <c r="H90"/>
  <c r="F90"/>
  <c r="D90"/>
  <c r="J90"/>
  <c r="G90"/>
  <c r="B91"/>
  <c r="I90"/>
  <c r="P91" l="1"/>
  <c r="R91"/>
  <c r="Q91"/>
  <c r="O91"/>
  <c r="L91"/>
  <c r="K91"/>
  <c r="N91"/>
  <c r="M91"/>
  <c r="J91"/>
  <c r="G91"/>
  <c r="E91"/>
  <c r="F91"/>
  <c r="B92"/>
  <c r="H91"/>
  <c r="I91"/>
  <c r="D91"/>
  <c r="L92" l="1"/>
  <c r="P92"/>
  <c r="N92"/>
  <c r="O92"/>
  <c r="R92"/>
  <c r="K92"/>
  <c r="Q92"/>
  <c r="M92"/>
  <c r="F92"/>
  <c r="H92"/>
  <c r="I92"/>
  <c r="G92"/>
  <c r="B93"/>
  <c r="E92"/>
  <c r="D92"/>
  <c r="J92"/>
  <c r="K93" l="1"/>
  <c r="O93"/>
  <c r="M93"/>
  <c r="N93"/>
  <c r="R93"/>
  <c r="P93"/>
  <c r="Q93"/>
  <c r="L93"/>
  <c r="H93"/>
  <c r="B94"/>
  <c r="I93"/>
  <c r="D93"/>
  <c r="F93"/>
  <c r="G93"/>
  <c r="J93"/>
  <c r="E93"/>
  <c r="R94" l="1"/>
  <c r="N94"/>
  <c r="O94"/>
  <c r="M94"/>
  <c r="K94"/>
  <c r="Q94"/>
  <c r="P94"/>
  <c r="L94"/>
  <c r="D94"/>
  <c r="J94"/>
  <c r="F94"/>
  <c r="H94"/>
  <c r="E94"/>
  <c r="G94"/>
  <c r="B95"/>
  <c r="I94"/>
  <c r="K95" l="1"/>
  <c r="P95"/>
  <c r="N95"/>
  <c r="M95"/>
  <c r="O95"/>
  <c r="Q95"/>
  <c r="L95"/>
  <c r="R95"/>
  <c r="I95"/>
  <c r="E95"/>
  <c r="J95"/>
  <c r="B96"/>
  <c r="G95"/>
  <c r="F95"/>
  <c r="D95"/>
  <c r="H95"/>
  <c r="N96" l="1"/>
  <c r="P96"/>
  <c r="K96"/>
  <c r="L96"/>
  <c r="M96"/>
  <c r="O96"/>
  <c r="R96"/>
  <c r="Q96"/>
  <c r="I96"/>
  <c r="H96"/>
  <c r="E96"/>
  <c r="J96"/>
  <c r="B97"/>
  <c r="F96"/>
  <c r="D96"/>
  <c r="G96"/>
  <c r="L97" l="1"/>
  <c r="K97"/>
  <c r="R97"/>
  <c r="M97"/>
  <c r="O97"/>
  <c r="P97"/>
  <c r="N97"/>
  <c r="Q97"/>
  <c r="F97"/>
  <c r="I97"/>
  <c r="E97"/>
  <c r="D97"/>
  <c r="B98"/>
  <c r="H97"/>
  <c r="J97"/>
  <c r="G97"/>
  <c r="Q98" l="1"/>
  <c r="M98"/>
  <c r="K98"/>
  <c r="N98"/>
  <c r="O98"/>
  <c r="R98"/>
  <c r="P98"/>
  <c r="L98"/>
  <c r="F98"/>
  <c r="G98"/>
  <c r="H98"/>
  <c r="D98"/>
  <c r="E98"/>
  <c r="B99"/>
  <c r="I98"/>
  <c r="J98"/>
  <c r="P99" l="1"/>
  <c r="R99"/>
  <c r="L99"/>
  <c r="K99"/>
  <c r="O99"/>
  <c r="Q99"/>
  <c r="N99"/>
  <c r="M99"/>
  <c r="F99"/>
  <c r="I99"/>
  <c r="E99"/>
  <c r="H99"/>
  <c r="J99"/>
  <c r="D99"/>
  <c r="G99"/>
  <c r="B100"/>
  <c r="P100" l="1"/>
  <c r="O100"/>
  <c r="N100"/>
  <c r="M100"/>
  <c r="L100"/>
  <c r="K100"/>
  <c r="Q100"/>
  <c r="R100"/>
  <c r="I100"/>
  <c r="D100"/>
  <c r="G100"/>
  <c r="H100"/>
  <c r="E100"/>
  <c r="F100"/>
  <c r="B101"/>
  <c r="J100"/>
  <c r="L101" l="1"/>
  <c r="O101"/>
  <c r="K101"/>
  <c r="Q101"/>
  <c r="N101"/>
  <c r="R101"/>
  <c r="M101"/>
  <c r="P101"/>
  <c r="H101"/>
  <c r="G101"/>
  <c r="E101"/>
  <c r="B102"/>
  <c r="F101"/>
  <c r="I101"/>
  <c r="D101"/>
  <c r="J101"/>
  <c r="M102" l="1"/>
  <c r="L102"/>
  <c r="N102"/>
  <c r="O102"/>
  <c r="P102"/>
  <c r="R102"/>
  <c r="Q102"/>
  <c r="K102"/>
  <c r="D102"/>
  <c r="I102"/>
  <c r="G102"/>
  <c r="E102"/>
  <c r="F102"/>
  <c r="B103"/>
  <c r="J102"/>
  <c r="H102"/>
  <c r="R103" l="1"/>
  <c r="P103"/>
  <c r="M103"/>
  <c r="K103"/>
  <c r="Q103"/>
  <c r="O103"/>
  <c r="L103"/>
  <c r="N103"/>
  <c r="D103"/>
  <c r="H103"/>
  <c r="E103"/>
  <c r="I103"/>
  <c r="B104"/>
  <c r="J103"/>
  <c r="F103"/>
  <c r="G103"/>
  <c r="K104" l="1"/>
  <c r="Q104"/>
  <c r="N104"/>
  <c r="O104"/>
  <c r="P104"/>
  <c r="L104"/>
  <c r="M104"/>
  <c r="R104"/>
  <c r="I104"/>
  <c r="H104"/>
  <c r="G104"/>
  <c r="D104"/>
  <c r="F104"/>
  <c r="E104"/>
  <c r="J104"/>
  <c r="B105"/>
  <c r="K105" l="1"/>
  <c r="P105"/>
  <c r="L105"/>
  <c r="M105"/>
  <c r="R105"/>
  <c r="Q105"/>
  <c r="N105"/>
  <c r="O105"/>
  <c r="J105"/>
  <c r="E105"/>
  <c r="B106"/>
  <c r="H105"/>
  <c r="G105"/>
  <c r="F105"/>
  <c r="I105"/>
  <c r="D105"/>
  <c r="R106" l="1"/>
  <c r="N106"/>
  <c r="Q106"/>
  <c r="O106"/>
  <c r="M106"/>
  <c r="P106"/>
  <c r="K106"/>
  <c r="L106"/>
  <c r="J106"/>
  <c r="E106"/>
  <c r="G106"/>
  <c r="D106"/>
  <c r="H106"/>
  <c r="F106"/>
  <c r="B107"/>
  <c r="I106"/>
  <c r="O107" l="1"/>
  <c r="R107"/>
  <c r="K107"/>
  <c r="Q107"/>
  <c r="M107"/>
  <c r="P107"/>
  <c r="L107"/>
  <c r="N107"/>
  <c r="J107"/>
  <c r="E107"/>
  <c r="B108"/>
  <c r="F107"/>
  <c r="D107"/>
  <c r="G107"/>
  <c r="H107"/>
  <c r="I107"/>
  <c r="P108" l="1"/>
  <c r="L108"/>
  <c r="N108"/>
  <c r="R108"/>
  <c r="Q108"/>
  <c r="K108"/>
  <c r="O108"/>
  <c r="M108"/>
  <c r="J108"/>
  <c r="I108"/>
  <c r="B109"/>
  <c r="D108"/>
  <c r="F108"/>
  <c r="H108"/>
  <c r="E108"/>
  <c r="G108"/>
  <c r="O109" l="1"/>
  <c r="Q109"/>
  <c r="L109"/>
  <c r="R109"/>
  <c r="K109"/>
  <c r="M109"/>
  <c r="P109"/>
  <c r="N109"/>
  <c r="J109"/>
  <c r="B110"/>
  <c r="G109"/>
  <c r="F109"/>
  <c r="H109"/>
  <c r="E109"/>
  <c r="I109"/>
  <c r="D109"/>
  <c r="L110" l="1"/>
  <c r="R110"/>
  <c r="M110"/>
  <c r="K110"/>
  <c r="P110"/>
  <c r="J110"/>
  <c r="N110"/>
  <c r="O110"/>
  <c r="Q110"/>
  <c r="G110"/>
  <c r="B111"/>
  <c r="I110"/>
  <c r="F110"/>
  <c r="E110"/>
  <c r="H110"/>
  <c r="D110"/>
  <c r="J111" l="1"/>
  <c r="O111"/>
  <c r="K111"/>
  <c r="L111"/>
  <c r="Q111"/>
  <c r="R111"/>
  <c r="N111"/>
  <c r="P111"/>
  <c r="M111"/>
  <c r="E111"/>
  <c r="B112"/>
  <c r="F111"/>
  <c r="H111"/>
  <c r="G111"/>
  <c r="D111"/>
  <c r="I111"/>
  <c r="R112" l="1"/>
  <c r="J112"/>
  <c r="O112"/>
  <c r="L112"/>
  <c r="P112"/>
  <c r="N112"/>
  <c r="K112"/>
  <c r="Q112"/>
  <c r="M112"/>
  <c r="I112"/>
  <c r="G112"/>
  <c r="B113"/>
  <c r="E112"/>
  <c r="H112"/>
  <c r="D112"/>
  <c r="F112"/>
  <c r="L113" l="1"/>
  <c r="O113"/>
  <c r="M113"/>
  <c r="Q113"/>
  <c r="K113"/>
  <c r="P113"/>
  <c r="N113"/>
  <c r="R113"/>
  <c r="J113"/>
  <c r="F113"/>
  <c r="H113"/>
  <c r="G113"/>
  <c r="E113"/>
  <c r="I113"/>
  <c r="D113"/>
  <c r="B114"/>
  <c r="L114" l="1"/>
  <c r="N114"/>
  <c r="P114"/>
  <c r="J114"/>
  <c r="Q114"/>
  <c r="R114"/>
  <c r="K114"/>
  <c r="O114"/>
  <c r="M114"/>
  <c r="G114"/>
  <c r="I114"/>
  <c r="E114"/>
  <c r="F114"/>
  <c r="B115"/>
  <c r="H114"/>
  <c r="D114"/>
  <c r="Q115" l="1"/>
  <c r="P115"/>
  <c r="M115"/>
  <c r="R115"/>
  <c r="O115"/>
  <c r="K115"/>
  <c r="J115"/>
  <c r="N115"/>
  <c r="L115"/>
  <c r="H115"/>
  <c r="G115"/>
  <c r="B116"/>
  <c r="F115"/>
  <c r="I115"/>
  <c r="D115"/>
  <c r="E115"/>
  <c r="O116" l="1"/>
  <c r="M116"/>
  <c r="K116"/>
  <c r="R116"/>
  <c r="P116"/>
  <c r="J116"/>
  <c r="L116"/>
  <c r="Q116"/>
  <c r="N116"/>
  <c r="F116"/>
  <c r="I116"/>
  <c r="H116"/>
  <c r="G116"/>
  <c r="B117"/>
  <c r="E116"/>
  <c r="D116"/>
  <c r="K117" l="1"/>
  <c r="P117"/>
  <c r="L117"/>
  <c r="R117"/>
  <c r="J117"/>
  <c r="M117"/>
  <c r="Q117"/>
  <c r="O117"/>
  <c r="N117"/>
  <c r="D117"/>
  <c r="H117"/>
  <c r="E117"/>
  <c r="B118"/>
  <c r="F117"/>
  <c r="G117"/>
  <c r="I117"/>
  <c r="K118" l="1"/>
  <c r="R118"/>
  <c r="J118"/>
  <c r="L118"/>
  <c r="P118"/>
  <c r="O118"/>
  <c r="N118"/>
  <c r="M118"/>
  <c r="Q118"/>
  <c r="E118"/>
  <c r="G118"/>
  <c r="B119"/>
  <c r="I118"/>
  <c r="H118"/>
  <c r="F118"/>
  <c r="D118"/>
  <c r="R119" l="1"/>
  <c r="M119"/>
  <c r="L119"/>
  <c r="N119"/>
  <c r="Q119"/>
  <c r="O119"/>
  <c r="K119"/>
  <c r="J119"/>
  <c r="P119"/>
  <c r="I119"/>
  <c r="F119"/>
  <c r="G119"/>
  <c r="H119"/>
  <c r="E119"/>
  <c r="D119"/>
  <c r="B120"/>
  <c r="N120" l="1"/>
  <c r="P120"/>
  <c r="J120"/>
  <c r="R120"/>
  <c r="Q120"/>
  <c r="M120"/>
  <c r="K120"/>
  <c r="O120"/>
  <c r="L120"/>
  <c r="G120"/>
  <c r="H120"/>
  <c r="F120"/>
  <c r="E120"/>
  <c r="D120"/>
  <c r="I120"/>
  <c r="B121"/>
  <c r="N121" l="1"/>
  <c r="J121"/>
  <c r="L121"/>
  <c r="M121"/>
  <c r="O121"/>
  <c r="Q121"/>
  <c r="R121"/>
  <c r="P121"/>
  <c r="K121"/>
  <c r="H121"/>
  <c r="E121"/>
  <c r="D121"/>
  <c r="F121"/>
  <c r="G121"/>
  <c r="I121"/>
  <c r="B122"/>
  <c r="L122" l="1"/>
  <c r="J122"/>
  <c r="M122"/>
  <c r="N122"/>
  <c r="O122"/>
  <c r="K122"/>
  <c r="P122"/>
  <c r="Q122"/>
  <c r="R122"/>
  <c r="E122"/>
  <c r="H122"/>
  <c r="B123"/>
  <c r="G122"/>
  <c r="I122"/>
  <c r="D122"/>
  <c r="F122"/>
  <c r="P123" l="1"/>
  <c r="L123"/>
  <c r="N123"/>
  <c r="J123"/>
  <c r="K123"/>
  <c r="O123"/>
  <c r="R123"/>
  <c r="Q123"/>
  <c r="M123"/>
  <c r="E123"/>
  <c r="B124"/>
  <c r="F123"/>
  <c r="D123"/>
  <c r="G123"/>
  <c r="I123"/>
  <c r="H123"/>
  <c r="Q124" l="1"/>
  <c r="P124"/>
  <c r="R124"/>
  <c r="L124"/>
  <c r="N124"/>
  <c r="J124"/>
  <c r="O124"/>
  <c r="M124"/>
  <c r="K124"/>
  <c r="F124"/>
  <c r="E124"/>
  <c r="H124"/>
  <c r="I124"/>
  <c r="D124"/>
  <c r="B125"/>
  <c r="G124"/>
  <c r="J125" l="1"/>
  <c r="R125"/>
  <c r="O125"/>
  <c r="Q125"/>
  <c r="N125"/>
  <c r="L125"/>
  <c r="P125"/>
  <c r="K125"/>
  <c r="M125"/>
  <c r="F125"/>
  <c r="B126"/>
  <c r="E125"/>
  <c r="D125"/>
  <c r="I125"/>
  <c r="H125"/>
  <c r="G125"/>
  <c r="M126" l="1"/>
  <c r="O126"/>
  <c r="P126"/>
  <c r="N126"/>
  <c r="K126"/>
  <c r="L126"/>
  <c r="J126"/>
  <c r="Q126"/>
  <c r="R126"/>
  <c r="H126"/>
  <c r="B127"/>
  <c r="I126"/>
  <c r="F126"/>
  <c r="G126"/>
  <c r="D126"/>
  <c r="E126"/>
  <c r="O127" l="1"/>
  <c r="P127"/>
  <c r="Q127"/>
  <c r="K127"/>
  <c r="N127"/>
  <c r="R127"/>
  <c r="L127"/>
  <c r="M127"/>
  <c r="J127"/>
  <c r="D127"/>
  <c r="E127"/>
  <c r="B128"/>
  <c r="H127"/>
  <c r="I127"/>
  <c r="G127"/>
  <c r="F127"/>
  <c r="M128" l="1"/>
  <c r="Q128"/>
  <c r="R128"/>
  <c r="L128"/>
  <c r="J128"/>
  <c r="P128"/>
  <c r="K128"/>
  <c r="O128"/>
  <c r="N128"/>
  <c r="H128"/>
  <c r="E128"/>
  <c r="G128"/>
  <c r="I128"/>
  <c r="D128"/>
  <c r="B129"/>
  <c r="F128"/>
  <c r="N129" l="1"/>
  <c r="J129"/>
  <c r="M129"/>
  <c r="Q129"/>
  <c r="L129"/>
  <c r="P129"/>
  <c r="R129"/>
  <c r="K129"/>
  <c r="O129"/>
  <c r="F129"/>
  <c r="G129"/>
  <c r="B130"/>
  <c r="H129"/>
  <c r="E129"/>
  <c r="D129"/>
  <c r="I129"/>
  <c r="Q130" l="1"/>
  <c r="L130"/>
  <c r="O130"/>
  <c r="K130"/>
  <c r="M130"/>
  <c r="J130"/>
  <c r="R130"/>
  <c r="N130"/>
  <c r="P130"/>
  <c r="B131"/>
  <c r="F130"/>
  <c r="G130"/>
  <c r="I130"/>
  <c r="D130"/>
  <c r="E130"/>
  <c r="H130"/>
  <c r="J131" l="1"/>
  <c r="P131"/>
  <c r="N131"/>
  <c r="M131"/>
  <c r="O131"/>
  <c r="K131"/>
  <c r="Q131"/>
  <c r="L131"/>
  <c r="R131"/>
  <c r="I131"/>
  <c r="E131"/>
  <c r="H131"/>
  <c r="F131"/>
  <c r="D131"/>
  <c r="B132"/>
  <c r="G131"/>
  <c r="R132" l="1"/>
  <c r="Q132"/>
  <c r="K132"/>
  <c r="N132"/>
  <c r="P132"/>
  <c r="O132"/>
  <c r="M132"/>
  <c r="J132"/>
  <c r="L132"/>
  <c r="G132"/>
  <c r="E132"/>
  <c r="D132"/>
  <c r="F132"/>
  <c r="B133"/>
  <c r="H132"/>
  <c r="I132"/>
  <c r="L133" l="1"/>
  <c r="Q133"/>
  <c r="N133"/>
  <c r="P133"/>
  <c r="J133"/>
  <c r="K133"/>
  <c r="O133"/>
  <c r="R133"/>
  <c r="M133"/>
  <c r="H133"/>
  <c r="I133"/>
  <c r="F133"/>
  <c r="B134"/>
  <c r="D133"/>
  <c r="E133"/>
  <c r="G133"/>
  <c r="J134" l="1"/>
  <c r="M134"/>
  <c r="R134"/>
  <c r="O134"/>
  <c r="K134"/>
  <c r="L134"/>
  <c r="Q134"/>
  <c r="P134"/>
  <c r="N134"/>
  <c r="G134"/>
  <c r="H134"/>
  <c r="F134"/>
  <c r="B135"/>
  <c r="I134"/>
  <c r="E134"/>
  <c r="D134"/>
  <c r="O135" l="1"/>
  <c r="R135"/>
  <c r="M135"/>
  <c r="L135"/>
  <c r="P135"/>
  <c r="K135"/>
  <c r="N135"/>
  <c r="J135"/>
  <c r="Q135"/>
  <c r="D135"/>
  <c r="E135"/>
  <c r="H135"/>
  <c r="G135"/>
  <c r="B136"/>
  <c r="I135"/>
  <c r="F135"/>
  <c r="K136" l="1"/>
  <c r="L136"/>
  <c r="O136"/>
  <c r="N136"/>
  <c r="M136"/>
  <c r="P136"/>
  <c r="Q136"/>
  <c r="R136"/>
  <c r="J136"/>
  <c r="G136"/>
  <c r="B137"/>
  <c r="E136"/>
  <c r="H136"/>
  <c r="D136"/>
  <c r="F136"/>
  <c r="I136"/>
  <c r="M137" l="1"/>
  <c r="L137"/>
  <c r="N137"/>
  <c r="K137"/>
  <c r="Q137"/>
  <c r="P137"/>
  <c r="J137"/>
  <c r="R137"/>
  <c r="O137"/>
  <c r="D137"/>
  <c r="B138"/>
  <c r="I137"/>
  <c r="H137"/>
  <c r="F137"/>
  <c r="E137"/>
  <c r="G137"/>
  <c r="Q138" l="1"/>
  <c r="L138"/>
  <c r="K138"/>
  <c r="M138"/>
  <c r="O138"/>
  <c r="N138"/>
  <c r="R138"/>
  <c r="J138"/>
  <c r="P138"/>
  <c r="G138"/>
  <c r="F138"/>
  <c r="B139"/>
  <c r="H138"/>
  <c r="E138"/>
  <c r="I138"/>
  <c r="D138"/>
  <c r="R139" l="1"/>
  <c r="O139"/>
  <c r="J139"/>
  <c r="N139"/>
  <c r="L139"/>
  <c r="K139"/>
  <c r="M139"/>
  <c r="Q139"/>
  <c r="P139"/>
  <c r="E139"/>
  <c r="G139"/>
  <c r="D139"/>
  <c r="B140"/>
  <c r="I139"/>
  <c r="F139"/>
  <c r="H139"/>
  <c r="Q140" l="1"/>
  <c r="J140"/>
  <c r="N140"/>
  <c r="O140"/>
  <c r="R140"/>
  <c r="M140"/>
  <c r="P140"/>
  <c r="L140"/>
  <c r="K140"/>
  <c r="I140"/>
  <c r="G140"/>
  <c r="B141"/>
  <c r="F140"/>
  <c r="D140"/>
  <c r="E140"/>
  <c r="H140"/>
  <c r="N141" l="1"/>
  <c r="O141"/>
  <c r="M141"/>
  <c r="R141"/>
  <c r="L141"/>
  <c r="K141"/>
  <c r="Q141"/>
  <c r="J141"/>
  <c r="P141"/>
  <c r="E141"/>
  <c r="F141"/>
  <c r="B142"/>
  <c r="I141"/>
  <c r="G141"/>
  <c r="H141"/>
  <c r="D141"/>
  <c r="P142" l="1"/>
  <c r="O142"/>
  <c r="J142"/>
  <c r="L142"/>
  <c r="N142"/>
  <c r="Q142"/>
  <c r="K142"/>
  <c r="M142"/>
  <c r="R142"/>
  <c r="I142"/>
  <c r="B143"/>
  <c r="H142"/>
  <c r="E142"/>
  <c r="G142"/>
  <c r="F142"/>
  <c r="D142"/>
  <c r="J143" l="1"/>
  <c r="P143"/>
  <c r="L143"/>
  <c r="Q143"/>
  <c r="N143"/>
  <c r="R143"/>
  <c r="M143"/>
  <c r="K143"/>
  <c r="O143"/>
  <c r="I143"/>
  <c r="H143"/>
  <c r="F143"/>
  <c r="B144"/>
  <c r="D143"/>
  <c r="G143"/>
  <c r="E143"/>
  <c r="Q144" l="1"/>
  <c r="J144"/>
  <c r="R144"/>
  <c r="M144"/>
  <c r="P144"/>
  <c r="K144"/>
  <c r="N144"/>
  <c r="O144"/>
  <c r="L144"/>
  <c r="E144"/>
  <c r="B145"/>
  <c r="G144"/>
  <c r="F144"/>
  <c r="I144"/>
  <c r="H144"/>
  <c r="D144"/>
  <c r="J145" l="1"/>
  <c r="R145"/>
  <c r="N145"/>
  <c r="O145"/>
  <c r="K145"/>
  <c r="Q145"/>
  <c r="P145"/>
  <c r="M145"/>
  <c r="L145"/>
  <c r="B146"/>
  <c r="E145"/>
  <c r="D145"/>
  <c r="F145"/>
  <c r="G145"/>
  <c r="I145"/>
  <c r="H145"/>
  <c r="M146" l="1"/>
  <c r="P146"/>
  <c r="L146"/>
  <c r="R146"/>
  <c r="J146"/>
  <c r="O146"/>
  <c r="K146"/>
  <c r="Q146"/>
  <c r="N146"/>
  <c r="D146"/>
  <c r="F146"/>
  <c r="E146"/>
  <c r="B147"/>
  <c r="I146"/>
  <c r="G146"/>
  <c r="H146"/>
  <c r="L147" l="1"/>
  <c r="N147"/>
  <c r="R147"/>
  <c r="P147"/>
  <c r="M147"/>
  <c r="O147"/>
  <c r="K147"/>
  <c r="J147"/>
  <c r="Q147"/>
  <c r="G147"/>
  <c r="D147"/>
  <c r="B148"/>
  <c r="F147"/>
  <c r="H147"/>
  <c r="I147"/>
  <c r="E147"/>
  <c r="P148" l="1"/>
  <c r="J148"/>
  <c r="L148"/>
  <c r="M148"/>
  <c r="N148"/>
  <c r="K148"/>
  <c r="Q148"/>
  <c r="O148"/>
  <c r="R148"/>
  <c r="F148"/>
  <c r="E148"/>
  <c r="B149"/>
  <c r="D148"/>
  <c r="I148"/>
  <c r="H148"/>
  <c r="G148"/>
  <c r="M149" l="1"/>
  <c r="P149"/>
  <c r="J149"/>
  <c r="N149"/>
  <c r="Q149"/>
  <c r="R149"/>
  <c r="K149"/>
  <c r="O149"/>
  <c r="L149"/>
  <c r="F149"/>
  <c r="B150"/>
  <c r="I149"/>
  <c r="H149"/>
  <c r="E149"/>
  <c r="G149"/>
  <c r="D149"/>
  <c r="R150" l="1"/>
  <c r="N150"/>
  <c r="O150"/>
  <c r="L150"/>
  <c r="K150"/>
  <c r="J150"/>
  <c r="M150"/>
  <c r="P150"/>
  <c r="Q150"/>
  <c r="H150"/>
  <c r="E150"/>
  <c r="F150"/>
  <c r="G150"/>
  <c r="D150"/>
  <c r="B151"/>
  <c r="I150"/>
  <c r="L151" l="1"/>
  <c r="N151"/>
  <c r="Q151"/>
  <c r="K151"/>
  <c r="O151"/>
  <c r="P151"/>
  <c r="J151"/>
  <c r="R151"/>
  <c r="M151"/>
  <c r="H151"/>
  <c r="F151"/>
  <c r="B152"/>
  <c r="I151"/>
  <c r="G151"/>
  <c r="E151"/>
  <c r="D151"/>
  <c r="L152" l="1"/>
  <c r="K152"/>
  <c r="P152"/>
  <c r="Q152"/>
  <c r="J152"/>
  <c r="M152"/>
  <c r="R152"/>
  <c r="O152"/>
  <c r="N152"/>
  <c r="H152"/>
  <c r="D152"/>
  <c r="G152"/>
  <c r="I152"/>
  <c r="F152"/>
  <c r="E152"/>
  <c r="B153"/>
  <c r="Q153" l="1"/>
  <c r="K153"/>
  <c r="O153"/>
  <c r="L153"/>
  <c r="J153"/>
  <c r="P153"/>
  <c r="M153"/>
  <c r="R153"/>
  <c r="N153"/>
  <c r="E153"/>
  <c r="F153"/>
  <c r="B154"/>
  <c r="D153"/>
  <c r="H153"/>
  <c r="I153"/>
  <c r="G153"/>
  <c r="Q154" l="1"/>
  <c r="N154"/>
  <c r="L154"/>
  <c r="J154"/>
  <c r="P154"/>
  <c r="O154"/>
  <c r="K154"/>
  <c r="M154"/>
  <c r="R154"/>
  <c r="G154"/>
  <c r="D154"/>
  <c r="F154"/>
  <c r="I154"/>
  <c r="E154"/>
  <c r="B155"/>
  <c r="H154"/>
  <c r="K155" l="1"/>
  <c r="Q155"/>
  <c r="R155"/>
  <c r="L155"/>
  <c r="M155"/>
  <c r="J155"/>
  <c r="P155"/>
  <c r="N155"/>
  <c r="O155"/>
  <c r="H155"/>
  <c r="D155"/>
  <c r="I155"/>
  <c r="B156"/>
  <c r="F155"/>
  <c r="G155"/>
  <c r="E155"/>
  <c r="R156" l="1"/>
  <c r="Q156"/>
  <c r="P156"/>
  <c r="M156"/>
  <c r="K156"/>
  <c r="O156"/>
  <c r="J156"/>
  <c r="N156"/>
  <c r="L156"/>
  <c r="G156"/>
  <c r="B157"/>
  <c r="D156"/>
  <c r="H156"/>
  <c r="I156"/>
  <c r="F156"/>
  <c r="E156"/>
  <c r="Q157" l="1"/>
  <c r="R157"/>
  <c r="K157"/>
  <c r="P157"/>
  <c r="N157"/>
  <c r="L157"/>
  <c r="O157"/>
  <c r="J157"/>
  <c r="M157"/>
  <c r="H157"/>
  <c r="I157"/>
  <c r="D157"/>
  <c r="B158"/>
  <c r="E157"/>
  <c r="F157"/>
  <c r="G157"/>
  <c r="M158" l="1"/>
  <c r="L158"/>
  <c r="R158"/>
  <c r="Q158"/>
  <c r="N158"/>
  <c r="P158"/>
  <c r="J158"/>
  <c r="K158"/>
  <c r="O158"/>
  <c r="B159"/>
  <c r="G158"/>
  <c r="E158"/>
  <c r="H158"/>
  <c r="D158"/>
  <c r="I158"/>
  <c r="F158"/>
  <c r="R159" l="1"/>
  <c r="N159"/>
  <c r="K159"/>
  <c r="Q159"/>
  <c r="J159"/>
  <c r="M159"/>
  <c r="O159"/>
  <c r="L159"/>
  <c r="P159"/>
  <c r="I159"/>
  <c r="E159"/>
  <c r="F159"/>
  <c r="D159"/>
  <c r="B160"/>
  <c r="G159"/>
  <c r="H159"/>
  <c r="N160" l="1"/>
  <c r="O160"/>
  <c r="M160"/>
  <c r="Q160"/>
  <c r="J160"/>
  <c r="R160"/>
  <c r="P160"/>
  <c r="L160"/>
  <c r="K160"/>
  <c r="D160"/>
  <c r="I160"/>
  <c r="H160"/>
  <c r="G160"/>
  <c r="B161"/>
  <c r="E160"/>
  <c r="F160"/>
  <c r="M161" l="1"/>
  <c r="J161"/>
  <c r="P161"/>
  <c r="Q161"/>
  <c r="R161"/>
  <c r="L161"/>
  <c r="N161"/>
  <c r="K161"/>
  <c r="O161"/>
  <c r="F161"/>
  <c r="B162"/>
  <c r="D161"/>
  <c r="G161"/>
  <c r="E161"/>
  <c r="H161"/>
  <c r="I161"/>
  <c r="K162" l="1"/>
  <c r="O162"/>
  <c r="M162"/>
  <c r="J162"/>
  <c r="Q162"/>
  <c r="R162"/>
  <c r="L162"/>
  <c r="N162"/>
  <c r="P162"/>
  <c r="B163"/>
  <c r="H162"/>
  <c r="E162"/>
  <c r="D162"/>
  <c r="G162"/>
  <c r="F162"/>
  <c r="I162"/>
  <c r="K163" l="1"/>
  <c r="L163"/>
  <c r="Q163"/>
  <c r="J163"/>
  <c r="N163"/>
  <c r="P163"/>
  <c r="O163"/>
  <c r="R163"/>
  <c r="M163"/>
  <c r="E163"/>
  <c r="I163"/>
  <c r="D163"/>
  <c r="B164"/>
  <c r="F163"/>
  <c r="H163"/>
  <c r="G163"/>
  <c r="L164" l="1"/>
  <c r="M164"/>
  <c r="O164"/>
  <c r="R164"/>
  <c r="N164"/>
  <c r="J164"/>
  <c r="Q164"/>
  <c r="K164"/>
  <c r="P164"/>
  <c r="I164"/>
  <c r="H164"/>
  <c r="D164"/>
  <c r="E164"/>
  <c r="G164"/>
  <c r="B165"/>
  <c r="F164"/>
  <c r="Q165" l="1"/>
  <c r="N165"/>
  <c r="M165"/>
  <c r="L165"/>
  <c r="J165"/>
  <c r="K165"/>
  <c r="O165"/>
  <c r="P165"/>
  <c r="R165"/>
  <c r="D165"/>
  <c r="G165"/>
  <c r="B166"/>
  <c r="F165"/>
  <c r="H165"/>
  <c r="I165"/>
  <c r="E165"/>
  <c r="M166" l="1"/>
  <c r="R166"/>
  <c r="K166"/>
  <c r="P166"/>
  <c r="N166"/>
  <c r="O166"/>
  <c r="J166"/>
  <c r="L166"/>
  <c r="Q166"/>
  <c r="I166"/>
  <c r="H166"/>
  <c r="D166"/>
  <c r="B167"/>
  <c r="G166"/>
  <c r="F166"/>
  <c r="E166"/>
  <c r="K167" l="1"/>
  <c r="R167"/>
  <c r="P167"/>
  <c r="N167"/>
  <c r="O167"/>
  <c r="Q167"/>
  <c r="M167"/>
  <c r="J167"/>
  <c r="L167"/>
  <c r="F167"/>
  <c r="H167"/>
  <c r="E167"/>
  <c r="B168"/>
  <c r="G167"/>
  <c r="D167"/>
  <c r="I167"/>
  <c r="L168" l="1"/>
  <c r="O168"/>
  <c r="M168"/>
  <c r="N168"/>
  <c r="R168"/>
  <c r="J168"/>
  <c r="Q168"/>
  <c r="K168"/>
  <c r="P168"/>
  <c r="D168"/>
  <c r="H168"/>
  <c r="G168"/>
  <c r="B169"/>
  <c r="F168"/>
  <c r="I168"/>
  <c r="E168"/>
  <c r="L169" l="1"/>
  <c r="Q169"/>
  <c r="J169"/>
  <c r="O169"/>
  <c r="R169"/>
  <c r="M169"/>
  <c r="N169"/>
  <c r="P169"/>
  <c r="K169"/>
  <c r="G169"/>
  <c r="E169"/>
  <c r="I169"/>
  <c r="B170"/>
  <c r="H169"/>
  <c r="D169"/>
  <c r="F169"/>
  <c r="Q170" l="1"/>
  <c r="O170"/>
  <c r="J170"/>
  <c r="K170"/>
  <c r="P170"/>
  <c r="M170"/>
  <c r="L170"/>
  <c r="N170"/>
  <c r="R170"/>
  <c r="E170"/>
  <c r="F170"/>
  <c r="B171"/>
  <c r="D170"/>
  <c r="I170"/>
  <c r="H170"/>
  <c r="G170"/>
  <c r="N171" l="1"/>
  <c r="O171"/>
  <c r="L171"/>
  <c r="J171"/>
  <c r="K171"/>
  <c r="R171"/>
  <c r="M171"/>
  <c r="Q171"/>
  <c r="P171"/>
  <c r="F171"/>
  <c r="E171"/>
  <c r="B172"/>
  <c r="D171"/>
  <c r="G171"/>
  <c r="H171"/>
  <c r="I171"/>
  <c r="O172" l="1"/>
  <c r="P172"/>
  <c r="K172"/>
  <c r="M172"/>
  <c r="J172"/>
  <c r="Q172"/>
  <c r="N172"/>
  <c r="L172"/>
  <c r="R172"/>
  <c r="I172"/>
  <c r="H172"/>
  <c r="F172"/>
  <c r="B173"/>
  <c r="D172"/>
  <c r="G172"/>
  <c r="E172"/>
  <c r="Q173" l="1"/>
  <c r="P173"/>
  <c r="L173"/>
  <c r="R173"/>
  <c r="O173"/>
  <c r="N173"/>
  <c r="J173"/>
  <c r="K173"/>
  <c r="M173"/>
  <c r="D173"/>
  <c r="G173"/>
  <c r="I173"/>
  <c r="H173"/>
  <c r="B174"/>
  <c r="E173"/>
  <c r="F173"/>
  <c r="O174" l="1"/>
  <c r="J174"/>
  <c r="N174"/>
  <c r="P174"/>
  <c r="K174"/>
  <c r="Q174"/>
  <c r="L174"/>
  <c r="R174"/>
  <c r="M174"/>
  <c r="D174"/>
  <c r="B175"/>
  <c r="G174"/>
  <c r="F174"/>
  <c r="E174"/>
  <c r="I174"/>
  <c r="H174"/>
  <c r="J175" l="1"/>
  <c r="N175"/>
  <c r="R175"/>
  <c r="M175"/>
  <c r="P175"/>
  <c r="O175"/>
  <c r="K175"/>
  <c r="Q175"/>
  <c r="L175"/>
  <c r="B176"/>
  <c r="D175"/>
  <c r="E175"/>
  <c r="I175"/>
  <c r="H175"/>
  <c r="G175"/>
  <c r="F175"/>
  <c r="Q176" l="1"/>
  <c r="K176"/>
  <c r="J176"/>
  <c r="N176"/>
  <c r="R176"/>
  <c r="P176"/>
  <c r="O176"/>
  <c r="M176"/>
  <c r="L176"/>
  <c r="G176"/>
  <c r="B177"/>
  <c r="I176"/>
  <c r="F176"/>
  <c r="H176"/>
  <c r="D176"/>
  <c r="E176"/>
  <c r="K177" l="1"/>
  <c r="P177"/>
  <c r="Q177"/>
  <c r="N177"/>
  <c r="J177"/>
  <c r="L177"/>
  <c r="M177"/>
  <c r="O177"/>
  <c r="R177"/>
  <c r="F177"/>
  <c r="I177"/>
  <c r="E177"/>
  <c r="D177"/>
  <c r="B178"/>
  <c r="H177"/>
  <c r="G177"/>
  <c r="R178" l="1"/>
  <c r="N178"/>
  <c r="Q178"/>
  <c r="M178"/>
  <c r="J178"/>
  <c r="L178"/>
  <c r="P178"/>
  <c r="K178"/>
  <c r="O178"/>
  <c r="E178"/>
  <c r="F178"/>
  <c r="G178"/>
  <c r="B179"/>
  <c r="H178"/>
  <c r="D178"/>
  <c r="I178"/>
  <c r="N179" l="1"/>
  <c r="J179"/>
  <c r="O179"/>
  <c r="R179"/>
  <c r="K179"/>
  <c r="Q179"/>
  <c r="M179"/>
  <c r="L179"/>
  <c r="P179"/>
  <c r="D179"/>
  <c r="I179"/>
  <c r="H179"/>
  <c r="G179"/>
  <c r="E179"/>
  <c r="B180"/>
  <c r="F179"/>
  <c r="K180" l="1"/>
  <c r="N180"/>
  <c r="P180"/>
  <c r="Q180"/>
  <c r="R180"/>
  <c r="O180"/>
  <c r="L180"/>
  <c r="J180"/>
  <c r="M180"/>
  <c r="E180"/>
  <c r="F180"/>
  <c r="D180"/>
  <c r="H180"/>
  <c r="G180"/>
  <c r="I180"/>
  <c r="B181"/>
  <c r="N181" l="1"/>
  <c r="K181"/>
  <c r="Q181"/>
  <c r="P181"/>
  <c r="J181"/>
  <c r="O181"/>
  <c r="L181"/>
  <c r="M181"/>
  <c r="R181"/>
  <c r="E181"/>
  <c r="G181"/>
  <c r="I181"/>
  <c r="D181"/>
  <c r="F181"/>
  <c r="B182"/>
  <c r="H181"/>
  <c r="K182" l="1"/>
  <c r="O182"/>
  <c r="M182"/>
  <c r="P182"/>
  <c r="L182"/>
  <c r="Q182"/>
  <c r="R182"/>
  <c r="N182"/>
  <c r="J182"/>
  <c r="F182"/>
  <c r="I182"/>
  <c r="B183"/>
  <c r="H182"/>
  <c r="D182"/>
  <c r="G182"/>
  <c r="E182"/>
  <c r="Q183" l="1"/>
  <c r="M183"/>
  <c r="L183"/>
  <c r="N183"/>
  <c r="K183"/>
  <c r="P183"/>
  <c r="R183"/>
  <c r="O183"/>
  <c r="J183"/>
  <c r="G183"/>
  <c r="F183"/>
  <c r="D183"/>
  <c r="H183"/>
  <c r="B184"/>
  <c r="E183"/>
  <c r="I183"/>
  <c r="Q184" l="1"/>
  <c r="M184"/>
  <c r="L184"/>
  <c r="O184"/>
  <c r="N184"/>
  <c r="J184"/>
  <c r="P184"/>
  <c r="K184"/>
  <c r="R184"/>
  <c r="G184"/>
  <c r="D184"/>
  <c r="I184"/>
  <c r="B185"/>
  <c r="F184"/>
  <c r="H184"/>
  <c r="E184"/>
  <c r="O185" l="1"/>
  <c r="L185"/>
  <c r="K185"/>
  <c r="Q185"/>
  <c r="P185"/>
  <c r="R185"/>
  <c r="M185"/>
  <c r="J185"/>
  <c r="N185"/>
  <c r="G185"/>
  <c r="I185"/>
  <c r="F185"/>
  <c r="D185"/>
  <c r="B186"/>
  <c r="H185"/>
  <c r="E185"/>
  <c r="R186" l="1"/>
  <c r="J186"/>
  <c r="P186"/>
  <c r="Q186"/>
  <c r="N186"/>
  <c r="L186"/>
  <c r="M186"/>
  <c r="K186"/>
  <c r="O186"/>
  <c r="I186"/>
  <c r="H186"/>
  <c r="G186"/>
  <c r="D186"/>
  <c r="B187"/>
  <c r="E186"/>
  <c r="F186"/>
  <c r="L187" l="1"/>
  <c r="O187"/>
  <c r="J187"/>
  <c r="Q187"/>
  <c r="N187"/>
  <c r="P187"/>
  <c r="K187"/>
  <c r="R187"/>
  <c r="M187"/>
  <c r="H187"/>
  <c r="E187"/>
  <c r="B188"/>
  <c r="F187"/>
  <c r="I187"/>
  <c r="D187"/>
  <c r="G187"/>
  <c r="Q188" l="1"/>
  <c r="J188"/>
  <c r="M188"/>
  <c r="N188"/>
  <c r="L188"/>
  <c r="P188"/>
  <c r="R188"/>
  <c r="O188"/>
  <c r="K188"/>
  <c r="I188"/>
  <c r="F188"/>
  <c r="G188"/>
  <c r="E188"/>
  <c r="B189"/>
  <c r="D188"/>
  <c r="H188"/>
  <c r="O189" l="1"/>
  <c r="J189"/>
  <c r="K189"/>
  <c r="N189"/>
  <c r="L189"/>
  <c r="R189"/>
  <c r="Q189"/>
  <c r="P189"/>
  <c r="M189"/>
  <c r="E189"/>
  <c r="G189"/>
  <c r="F189"/>
  <c r="I189"/>
  <c r="D189"/>
  <c r="B190"/>
  <c r="H189"/>
  <c r="M190" l="1"/>
  <c r="Q190"/>
  <c r="N190"/>
  <c r="R190"/>
  <c r="J190"/>
  <c r="P190"/>
  <c r="K190"/>
  <c r="O190"/>
  <c r="L190"/>
  <c r="G190"/>
  <c r="E190"/>
  <c r="B191"/>
  <c r="D190"/>
  <c r="I190"/>
  <c r="F190"/>
  <c r="H190"/>
  <c r="N191" l="1"/>
  <c r="J191"/>
  <c r="L191"/>
  <c r="P191"/>
  <c r="M191"/>
  <c r="Q191"/>
  <c r="O191"/>
  <c r="K191"/>
  <c r="R191"/>
  <c r="G191"/>
  <c r="E191"/>
  <c r="B192"/>
  <c r="H191"/>
  <c r="F191"/>
  <c r="D191"/>
  <c r="I191"/>
  <c r="K192" l="1"/>
  <c r="R192"/>
  <c r="J192"/>
  <c r="P192"/>
  <c r="Q192"/>
  <c r="N192"/>
  <c r="L192"/>
  <c r="O192"/>
  <c r="M192"/>
  <c r="F192"/>
  <c r="I192"/>
  <c r="B193"/>
  <c r="E192"/>
  <c r="D192"/>
  <c r="G192"/>
  <c r="H192"/>
  <c r="L193" l="1"/>
  <c r="N193"/>
  <c r="Q193"/>
  <c r="K193"/>
  <c r="J193"/>
  <c r="O193"/>
  <c r="R193"/>
  <c r="P193"/>
  <c r="M193"/>
  <c r="H193"/>
  <c r="G193"/>
  <c r="D193"/>
  <c r="F193"/>
  <c r="I193"/>
  <c r="B194"/>
  <c r="E193"/>
  <c r="N194" l="1"/>
  <c r="P194"/>
  <c r="O194"/>
  <c r="M194"/>
  <c r="J194"/>
  <c r="R194"/>
  <c r="K194"/>
  <c r="L194"/>
  <c r="Q194"/>
  <c r="H194"/>
  <c r="B195"/>
  <c r="I194"/>
  <c r="E194"/>
  <c r="F194"/>
  <c r="G194"/>
  <c r="D194"/>
  <c r="O195" l="1"/>
  <c r="L195"/>
  <c r="J195"/>
  <c r="K195"/>
  <c r="N195"/>
  <c r="M195"/>
  <c r="R195"/>
  <c r="P195"/>
  <c r="Q195"/>
  <c r="E195"/>
  <c r="B196"/>
  <c r="F195"/>
  <c r="D195"/>
  <c r="G195"/>
  <c r="I195"/>
  <c r="H195"/>
  <c r="P196" l="1"/>
  <c r="K196"/>
  <c r="Q196"/>
  <c r="J196"/>
  <c r="L196"/>
  <c r="R196"/>
  <c r="O196"/>
  <c r="M196"/>
  <c r="N196"/>
  <c r="B197"/>
  <c r="I196"/>
  <c r="F196"/>
  <c r="E196"/>
  <c r="D196"/>
  <c r="G196"/>
  <c r="H196"/>
  <c r="L197" l="1"/>
  <c r="J197"/>
  <c r="N197"/>
  <c r="Q197"/>
  <c r="R197"/>
  <c r="P197"/>
  <c r="O197"/>
  <c r="K197"/>
  <c r="M197"/>
  <c r="G197"/>
  <c r="I197"/>
  <c r="F197"/>
  <c r="H197"/>
  <c r="E197"/>
  <c r="B198"/>
  <c r="D197"/>
  <c r="N198" l="1"/>
  <c r="R198"/>
  <c r="L198"/>
  <c r="K198"/>
  <c r="J198"/>
  <c r="M198"/>
  <c r="O198"/>
  <c r="Q198"/>
  <c r="P198"/>
  <c r="D198"/>
  <c r="H198"/>
  <c r="G198"/>
  <c r="I198"/>
  <c r="B199"/>
  <c r="F198"/>
  <c r="E198"/>
  <c r="O199" l="1"/>
  <c r="L199"/>
  <c r="M199"/>
  <c r="Q199"/>
  <c r="J199"/>
  <c r="P199"/>
  <c r="N199"/>
  <c r="R199"/>
  <c r="K199"/>
  <c r="G199"/>
  <c r="D199"/>
  <c r="B200"/>
  <c r="H199"/>
  <c r="E199"/>
  <c r="F199"/>
  <c r="I199"/>
  <c r="O200" l="1"/>
  <c r="J200"/>
  <c r="P200"/>
  <c r="Q200"/>
  <c r="L200"/>
  <c r="K200"/>
  <c r="M200"/>
  <c r="N200"/>
  <c r="R200"/>
  <c r="D200"/>
  <c r="F200"/>
  <c r="B201"/>
  <c r="I200"/>
  <c r="G200"/>
  <c r="E200"/>
  <c r="H200"/>
  <c r="R201" l="1"/>
  <c r="J201"/>
  <c r="M201"/>
  <c r="K201"/>
  <c r="N201"/>
  <c r="L201"/>
  <c r="O201"/>
  <c r="Q201"/>
  <c r="P201"/>
  <c r="I201"/>
  <c r="E201"/>
  <c r="D201"/>
  <c r="B202"/>
  <c r="G201"/>
  <c r="H201"/>
  <c r="F201"/>
  <c r="M202" l="1"/>
  <c r="R202"/>
  <c r="K202"/>
  <c r="N202"/>
  <c r="Q202"/>
  <c r="P202"/>
  <c r="L202"/>
  <c r="O202"/>
  <c r="J202"/>
  <c r="D202"/>
  <c r="B203"/>
  <c r="I202"/>
  <c r="H202"/>
  <c r="F202"/>
  <c r="E202"/>
  <c r="G202"/>
  <c r="Q203" l="1"/>
  <c r="R203"/>
  <c r="L203"/>
  <c r="P203"/>
  <c r="O203"/>
  <c r="M203"/>
  <c r="J203"/>
  <c r="N203"/>
  <c r="K203"/>
  <c r="D203"/>
  <c r="G203"/>
  <c r="I203"/>
  <c r="F203"/>
  <c r="H203"/>
  <c r="B204"/>
  <c r="B205" s="1"/>
  <c r="D205" s="1"/>
  <c r="E203"/>
  <c r="I205"/>
  <c r="B206" l="1"/>
  <c r="B207" s="1"/>
  <c r="E207" s="1"/>
  <c r="H205"/>
  <c r="G205"/>
  <c r="F205"/>
  <c r="E205"/>
  <c r="L205"/>
  <c r="K205"/>
  <c r="J205"/>
  <c r="R205"/>
  <c r="Q205"/>
  <c r="P205"/>
  <c r="O205"/>
  <c r="N205"/>
  <c r="M205"/>
  <c r="L204"/>
  <c r="K204"/>
  <c r="O204"/>
  <c r="N204"/>
  <c r="R204"/>
  <c r="J204"/>
  <c r="P204"/>
  <c r="Q204"/>
  <c r="M204"/>
  <c r="I204"/>
  <c r="G204"/>
  <c r="F204"/>
  <c r="H204"/>
  <c r="D204"/>
  <c r="E204"/>
  <c r="C5"/>
  <c r="K206" l="1"/>
  <c r="D206"/>
  <c r="N207"/>
  <c r="L206"/>
  <c r="M207"/>
  <c r="P206"/>
  <c r="F207"/>
  <c r="B208"/>
  <c r="J208" s="1"/>
  <c r="G207"/>
  <c r="O206"/>
  <c r="K207"/>
  <c r="G206"/>
  <c r="L207"/>
  <c r="N206"/>
  <c r="J207"/>
  <c r="I206"/>
  <c r="M206"/>
  <c r="O207"/>
  <c r="I207"/>
  <c r="J206"/>
  <c r="R207"/>
  <c r="H207"/>
  <c r="F206"/>
  <c r="Q207"/>
  <c r="E206"/>
  <c r="R206"/>
  <c r="D207"/>
  <c r="Q206"/>
  <c r="P207"/>
  <c r="H206"/>
  <c r="C204"/>
  <c r="C124"/>
  <c r="C192"/>
  <c r="C173"/>
  <c r="C118"/>
  <c r="C200"/>
  <c r="C163"/>
  <c r="C196"/>
  <c r="C130"/>
  <c r="C131"/>
  <c r="C199"/>
  <c r="C145"/>
  <c r="C177"/>
  <c r="C75"/>
  <c r="C64"/>
  <c r="C78"/>
  <c r="C74"/>
  <c r="C57"/>
  <c r="C188"/>
  <c r="C132"/>
  <c r="C71"/>
  <c r="C206"/>
  <c r="C158"/>
  <c r="C195"/>
  <c r="C98"/>
  <c r="C114"/>
  <c r="C122"/>
  <c r="C168"/>
  <c r="C197"/>
  <c r="C129"/>
  <c r="C61"/>
  <c r="C203"/>
  <c r="C162"/>
  <c r="C107"/>
  <c r="C108"/>
  <c r="C180"/>
  <c r="C159"/>
  <c r="C117"/>
  <c r="C126"/>
  <c r="C105"/>
  <c r="C136"/>
  <c r="C176"/>
  <c r="C151"/>
  <c r="C123"/>
  <c r="C90"/>
  <c r="C60"/>
  <c r="C102"/>
  <c r="C59"/>
  <c r="C70"/>
  <c r="C84"/>
  <c r="C115"/>
  <c r="C133"/>
  <c r="C137"/>
  <c r="C94"/>
  <c r="C72"/>
  <c r="C93"/>
  <c r="C191"/>
  <c r="C189"/>
  <c r="C97"/>
  <c r="C128"/>
  <c r="C139"/>
  <c r="C175"/>
  <c r="C169"/>
  <c r="C171"/>
  <c r="C83"/>
  <c r="C179"/>
  <c r="C161"/>
  <c r="C110"/>
  <c r="C152"/>
  <c r="C56"/>
  <c r="C103"/>
  <c r="C165"/>
  <c r="C156"/>
  <c r="C184"/>
  <c r="C201"/>
  <c r="C167"/>
  <c r="C178"/>
  <c r="C112"/>
  <c r="C153"/>
  <c r="C183"/>
  <c r="C146"/>
  <c r="C147"/>
  <c r="C148"/>
  <c r="C77"/>
  <c r="C67"/>
  <c r="C92"/>
  <c r="C88"/>
  <c r="C76"/>
  <c r="C91"/>
  <c r="C85"/>
  <c r="C62"/>
  <c r="C205"/>
  <c r="C202"/>
  <c r="C154"/>
  <c r="C187"/>
  <c r="C193"/>
  <c r="C109"/>
  <c r="C58"/>
  <c r="C80"/>
  <c r="C86"/>
  <c r="C142"/>
  <c r="C194"/>
  <c r="C113"/>
  <c r="C54"/>
  <c r="C207"/>
  <c r="C174"/>
  <c r="C104"/>
  <c r="C82"/>
  <c r="C79"/>
  <c r="C120"/>
  <c r="C141"/>
  <c r="C66"/>
  <c r="C68"/>
  <c r="C185"/>
  <c r="C186"/>
  <c r="C181"/>
  <c r="C198"/>
  <c r="C125"/>
  <c r="C134"/>
  <c r="C172"/>
  <c r="C190"/>
  <c r="C106"/>
  <c r="C116"/>
  <c r="C182"/>
  <c r="C138"/>
  <c r="C111"/>
  <c r="C65"/>
  <c r="C63"/>
  <c r="C96"/>
  <c r="C73"/>
  <c r="C87"/>
  <c r="C99"/>
  <c r="C69"/>
  <c r="C143"/>
  <c r="C160"/>
  <c r="C100"/>
  <c r="C101"/>
  <c r="C164"/>
  <c r="C150"/>
  <c r="C155"/>
  <c r="C144"/>
  <c r="C157"/>
  <c r="C81"/>
  <c r="C119"/>
  <c r="C127"/>
  <c r="C140"/>
  <c r="C121"/>
  <c r="C135"/>
  <c r="C89"/>
  <c r="C149"/>
  <c r="C170"/>
  <c r="C166"/>
  <c r="C55"/>
  <c r="C95"/>
  <c r="H208"/>
  <c r="P208"/>
  <c r="L208"/>
  <c r="C46"/>
  <c r="C10"/>
  <c r="C41"/>
  <c r="C20"/>
  <c r="C44"/>
  <c r="C33"/>
  <c r="C45"/>
  <c r="C23"/>
  <c r="C29"/>
  <c r="C27"/>
  <c r="C22"/>
  <c r="C18"/>
  <c r="C39"/>
  <c r="C26"/>
  <c r="C14"/>
  <c r="C50"/>
  <c r="C17"/>
  <c r="C40"/>
  <c r="C35"/>
  <c r="C34"/>
  <c r="C51"/>
  <c r="C42"/>
  <c r="C36"/>
  <c r="C9"/>
  <c r="C37"/>
  <c r="C48"/>
  <c r="C38"/>
  <c r="C13"/>
  <c r="C24"/>
  <c r="C49"/>
  <c r="C25"/>
  <c r="C31"/>
  <c r="C32"/>
  <c r="C19"/>
  <c r="C21"/>
  <c r="C16"/>
  <c r="C30"/>
  <c r="C15"/>
  <c r="C53"/>
  <c r="C52"/>
  <c r="C12"/>
  <c r="C28"/>
  <c r="C43"/>
  <c r="C47"/>
  <c r="C11"/>
  <c r="I208" l="1"/>
  <c r="R208"/>
  <c r="N208"/>
  <c r="D208"/>
  <c r="C208"/>
  <c r="F208"/>
  <c r="E208"/>
  <c r="Q208"/>
  <c r="K208"/>
  <c r="B209"/>
  <c r="H209" s="1"/>
  <c r="M208"/>
  <c r="O208"/>
  <c r="G208"/>
  <c r="B210" l="1"/>
  <c r="N210" s="1"/>
  <c r="L209"/>
  <c r="Q209"/>
  <c r="E209"/>
  <c r="N209"/>
  <c r="C209"/>
  <c r="O209"/>
  <c r="M209"/>
  <c r="R209"/>
  <c r="I209"/>
  <c r="K209"/>
  <c r="P209"/>
  <c r="G209"/>
  <c r="D209"/>
  <c r="F209"/>
  <c r="J209"/>
  <c r="E210"/>
  <c r="B211"/>
  <c r="F210"/>
  <c r="Q210"/>
  <c r="J210"/>
  <c r="O210"/>
  <c r="C210"/>
  <c r="R210"/>
  <c r="G210" l="1"/>
  <c r="P210"/>
  <c r="D210"/>
  <c r="K210"/>
  <c r="H210"/>
  <c r="L210"/>
  <c r="I210"/>
  <c r="M210"/>
  <c r="D211"/>
  <c r="I211"/>
  <c r="E211"/>
  <c r="F211"/>
  <c r="G211"/>
  <c r="H211"/>
  <c r="B212"/>
  <c r="L211"/>
  <c r="M211"/>
  <c r="Q211"/>
  <c r="J211"/>
  <c r="N211"/>
  <c r="P211"/>
  <c r="R211"/>
  <c r="O211"/>
  <c r="K211"/>
  <c r="C211"/>
  <c r="D212" l="1"/>
  <c r="E212"/>
  <c r="G212"/>
  <c r="H212"/>
  <c r="B213"/>
  <c r="F212"/>
  <c r="I212"/>
  <c r="K212"/>
  <c r="L212"/>
  <c r="M212"/>
  <c r="P212"/>
  <c r="N212"/>
  <c r="C212"/>
  <c r="Q212"/>
  <c r="J212"/>
  <c r="O212"/>
  <c r="R212"/>
  <c r="B214" l="1"/>
  <c r="G213"/>
  <c r="H213"/>
  <c r="D213"/>
  <c r="I213"/>
  <c r="E213"/>
  <c r="F213"/>
  <c r="J213"/>
  <c r="N213"/>
  <c r="Q213"/>
  <c r="K213"/>
  <c r="L213"/>
  <c r="M213"/>
  <c r="O213"/>
  <c r="R213"/>
  <c r="C213"/>
  <c r="P213"/>
  <c r="I214" l="1"/>
  <c r="F214"/>
  <c r="B215"/>
  <c r="E214"/>
  <c r="H214"/>
  <c r="D214"/>
  <c r="G214"/>
  <c r="R214"/>
  <c r="O214"/>
  <c r="C214"/>
  <c r="J214"/>
  <c r="N214"/>
  <c r="P214"/>
  <c r="K214"/>
  <c r="M214"/>
  <c r="Q214"/>
  <c r="L214"/>
  <c r="H215" l="1"/>
  <c r="E215"/>
  <c r="I215"/>
  <c r="B216"/>
  <c r="G215"/>
  <c r="D215"/>
  <c r="F215"/>
  <c r="M215"/>
  <c r="N215"/>
  <c r="P215"/>
  <c r="R215"/>
  <c r="J215"/>
  <c r="O215"/>
  <c r="K215"/>
  <c r="L215"/>
  <c r="Q215"/>
  <c r="C215"/>
  <c r="G216" l="1"/>
  <c r="H216"/>
  <c r="D216"/>
  <c r="I216"/>
  <c r="F216"/>
  <c r="B217"/>
  <c r="E216"/>
  <c r="K216"/>
  <c r="O216"/>
  <c r="P216"/>
  <c r="L216"/>
  <c r="N216"/>
  <c r="M216"/>
  <c r="J216"/>
  <c r="C216"/>
  <c r="Q216"/>
  <c r="R216"/>
  <c r="F217" l="1"/>
  <c r="B218"/>
  <c r="G217"/>
  <c r="H217"/>
  <c r="E217"/>
  <c r="I217"/>
  <c r="D217"/>
  <c r="J217"/>
  <c r="C217"/>
  <c r="P217"/>
  <c r="M217"/>
  <c r="K217"/>
  <c r="O217"/>
  <c r="Q217"/>
  <c r="L217"/>
  <c r="R217"/>
  <c r="N217"/>
  <c r="E218" l="1"/>
  <c r="B219"/>
  <c r="F218"/>
  <c r="G218"/>
  <c r="I218"/>
  <c r="D218"/>
  <c r="H218"/>
  <c r="R218"/>
  <c r="J218"/>
  <c r="C218"/>
  <c r="O218"/>
  <c r="K218"/>
  <c r="L218"/>
  <c r="N218"/>
  <c r="P218"/>
  <c r="Q218"/>
  <c r="M218"/>
  <c r="D219" l="1"/>
  <c r="E219"/>
  <c r="B220"/>
  <c r="F219"/>
  <c r="G219"/>
  <c r="H219"/>
  <c r="I219"/>
  <c r="Q219"/>
  <c r="R219"/>
  <c r="J219"/>
  <c r="L219"/>
  <c r="O219"/>
  <c r="N219"/>
  <c r="C219"/>
  <c r="M219"/>
  <c r="P219"/>
  <c r="K219"/>
  <c r="I220" l="1"/>
  <c r="D220"/>
  <c r="E220"/>
  <c r="G220"/>
  <c r="H220"/>
  <c r="B221"/>
  <c r="F220"/>
  <c r="P220"/>
  <c r="R220"/>
  <c r="Q220"/>
  <c r="J220"/>
  <c r="C220"/>
  <c r="K220"/>
  <c r="M220"/>
  <c r="O220"/>
  <c r="L220"/>
  <c r="N220"/>
  <c r="B222" l="1"/>
  <c r="G221"/>
  <c r="D221"/>
  <c r="H221"/>
  <c r="I221"/>
  <c r="E221"/>
  <c r="F221"/>
  <c r="O221"/>
  <c r="P221"/>
  <c r="N221"/>
  <c r="C221"/>
  <c r="K221"/>
  <c r="Q221"/>
  <c r="J221"/>
  <c r="L221"/>
  <c r="M221"/>
  <c r="R221"/>
  <c r="I222" l="1"/>
  <c r="B223"/>
  <c r="E222"/>
  <c r="F222"/>
  <c r="H222"/>
  <c r="D222"/>
  <c r="G222"/>
  <c r="M222"/>
  <c r="N222"/>
  <c r="R222"/>
  <c r="K222"/>
  <c r="O222"/>
  <c r="C222"/>
  <c r="P222"/>
  <c r="Q222"/>
  <c r="L222"/>
  <c r="J222"/>
  <c r="H223" l="1"/>
  <c r="D223"/>
  <c r="E223"/>
  <c r="F223"/>
  <c r="I223"/>
  <c r="B224"/>
  <c r="G223"/>
  <c r="L223"/>
  <c r="P223"/>
  <c r="C223"/>
  <c r="M223"/>
  <c r="Q223"/>
  <c r="J223"/>
  <c r="O223"/>
  <c r="R223"/>
  <c r="N223"/>
  <c r="K223"/>
  <c r="G224" l="1"/>
  <c r="D224"/>
  <c r="H224"/>
  <c r="I224"/>
  <c r="F224"/>
  <c r="B225"/>
  <c r="E224"/>
  <c r="K224"/>
  <c r="L224"/>
  <c r="P224"/>
  <c r="Q224"/>
  <c r="N224"/>
  <c r="M224"/>
  <c r="J224"/>
  <c r="C224"/>
  <c r="O224"/>
  <c r="R224"/>
  <c r="F225" l="1"/>
  <c r="G225"/>
  <c r="H225"/>
  <c r="E225"/>
  <c r="I225"/>
  <c r="B226"/>
  <c r="D225"/>
  <c r="P225"/>
  <c r="C225"/>
  <c r="N225"/>
  <c r="O225"/>
  <c r="J225"/>
  <c r="M225"/>
  <c r="Q225"/>
  <c r="L225"/>
  <c r="K225"/>
  <c r="R225"/>
  <c r="E226" l="1"/>
  <c r="F226"/>
  <c r="G226"/>
  <c r="I226"/>
  <c r="D226"/>
  <c r="H226"/>
  <c r="B227"/>
  <c r="N226"/>
  <c r="P226"/>
  <c r="R226"/>
  <c r="C226"/>
  <c r="K226"/>
  <c r="L226"/>
  <c r="O226"/>
  <c r="Q226"/>
  <c r="J226"/>
  <c r="M226"/>
  <c r="D227" l="1"/>
  <c r="E227"/>
  <c r="B228"/>
  <c r="F227"/>
  <c r="I227"/>
  <c r="G227"/>
  <c r="H227"/>
  <c r="Q227"/>
  <c r="R227"/>
  <c r="M227"/>
  <c r="N227"/>
  <c r="J227"/>
  <c r="L227"/>
  <c r="O227"/>
  <c r="P227"/>
  <c r="C227"/>
  <c r="K227"/>
  <c r="H228" l="1"/>
  <c r="I228"/>
  <c r="D228"/>
  <c r="G228"/>
  <c r="E228"/>
  <c r="B229"/>
  <c r="F228"/>
  <c r="P228"/>
  <c r="J228"/>
  <c r="C228"/>
  <c r="L228"/>
  <c r="Q228"/>
  <c r="R228"/>
  <c r="K228"/>
  <c r="N228"/>
  <c r="M228"/>
  <c r="O228"/>
  <c r="B230" l="1"/>
  <c r="E229"/>
  <c r="G229"/>
  <c r="D229"/>
  <c r="I229"/>
  <c r="F229"/>
  <c r="H229"/>
  <c r="O229"/>
  <c r="P229"/>
  <c r="J229"/>
  <c r="Q229"/>
  <c r="R229"/>
  <c r="M229"/>
  <c r="C229"/>
  <c r="N229"/>
  <c r="K229"/>
  <c r="L229"/>
  <c r="I230" l="1"/>
  <c r="E230"/>
  <c r="F230"/>
  <c r="B231"/>
  <c r="G230"/>
  <c r="H230"/>
  <c r="D230"/>
  <c r="M230"/>
  <c r="N230"/>
  <c r="O230"/>
  <c r="Q230"/>
  <c r="K230"/>
  <c r="P230"/>
  <c r="R230"/>
  <c r="L230"/>
  <c r="J230"/>
  <c r="C230"/>
  <c r="H231" l="1"/>
  <c r="F231"/>
  <c r="I231"/>
  <c r="B232"/>
  <c r="D231"/>
  <c r="G231"/>
  <c r="E231"/>
  <c r="L231"/>
  <c r="N231"/>
  <c r="M231"/>
  <c r="O231"/>
  <c r="Q231"/>
  <c r="J231"/>
  <c r="C231"/>
  <c r="K231"/>
  <c r="P231"/>
  <c r="R231"/>
  <c r="G232" l="1"/>
  <c r="H232"/>
  <c r="I232"/>
  <c r="B233"/>
  <c r="D232"/>
  <c r="F232"/>
  <c r="E232"/>
  <c r="K232"/>
  <c r="J232"/>
  <c r="L232"/>
  <c r="P232"/>
  <c r="N232"/>
  <c r="M232"/>
  <c r="O232"/>
  <c r="R232"/>
  <c r="C232"/>
  <c r="Q232"/>
  <c r="F233" l="1"/>
  <c r="I233"/>
  <c r="D233"/>
  <c r="G233"/>
  <c r="H233"/>
  <c r="E233"/>
  <c r="B234"/>
  <c r="J233"/>
  <c r="C233"/>
  <c r="N233"/>
  <c r="O233"/>
  <c r="R233"/>
  <c r="K233"/>
  <c r="Q233"/>
  <c r="L233"/>
  <c r="P233"/>
  <c r="M233"/>
  <c r="E234" l="1"/>
  <c r="B235"/>
  <c r="F234"/>
  <c r="I234"/>
  <c r="G234"/>
  <c r="D234"/>
  <c r="H234"/>
  <c r="M234"/>
  <c r="J234"/>
  <c r="C234"/>
  <c r="L234"/>
  <c r="O234"/>
  <c r="K234"/>
  <c r="Q234"/>
  <c r="R234"/>
  <c r="N234"/>
  <c r="P234"/>
  <c r="D235" l="1"/>
  <c r="E235"/>
  <c r="I235"/>
  <c r="B236"/>
  <c r="F235"/>
  <c r="H235"/>
  <c r="G235"/>
  <c r="Q235"/>
  <c r="R235"/>
  <c r="M235"/>
  <c r="J235"/>
  <c r="C235"/>
  <c r="K235"/>
  <c r="L235"/>
  <c r="N235"/>
  <c r="O235"/>
  <c r="P235"/>
  <c r="G236" l="1"/>
  <c r="H236"/>
  <c r="D236"/>
  <c r="E236"/>
  <c r="B237"/>
  <c r="F236"/>
  <c r="I236"/>
  <c r="P236"/>
  <c r="L236"/>
  <c r="Q236"/>
  <c r="R236"/>
  <c r="K236"/>
  <c r="N236"/>
  <c r="M236"/>
  <c r="J236"/>
  <c r="O236"/>
  <c r="C236"/>
  <c r="B238" l="1"/>
  <c r="H237"/>
  <c r="D237"/>
  <c r="I237"/>
  <c r="E237"/>
  <c r="F237"/>
  <c r="G237"/>
  <c r="O237"/>
  <c r="J237"/>
  <c r="C237"/>
  <c r="L237"/>
  <c r="P237"/>
  <c r="Q237"/>
  <c r="R237"/>
  <c r="N237"/>
  <c r="M237"/>
  <c r="K237"/>
  <c r="I238" l="1"/>
  <c r="F238"/>
  <c r="B239"/>
  <c r="E238"/>
  <c r="G238"/>
  <c r="H238"/>
  <c r="D238"/>
  <c r="N238"/>
  <c r="O238"/>
  <c r="R238"/>
  <c r="K238"/>
  <c r="P238"/>
  <c r="Q238"/>
  <c r="M238"/>
  <c r="J238"/>
  <c r="C238"/>
  <c r="L238"/>
  <c r="H239" l="1"/>
  <c r="I239"/>
  <c r="B240"/>
  <c r="D239"/>
  <c r="E239"/>
  <c r="G239"/>
  <c r="F239"/>
  <c r="L239"/>
  <c r="N239"/>
  <c r="Q239"/>
  <c r="M239"/>
  <c r="C239"/>
  <c r="O239"/>
  <c r="P239"/>
  <c r="R239"/>
  <c r="K239"/>
  <c r="J239"/>
  <c r="G240" l="1"/>
  <c r="D240"/>
  <c r="E240"/>
  <c r="H240"/>
  <c r="I240"/>
  <c r="F240"/>
  <c r="B241"/>
  <c r="K240"/>
  <c r="P240"/>
  <c r="J240"/>
  <c r="L240"/>
  <c r="M240"/>
  <c r="R240"/>
  <c r="C240"/>
  <c r="O240"/>
  <c r="Q240"/>
  <c r="N240"/>
  <c r="F241" l="1"/>
  <c r="B242"/>
  <c r="G241"/>
  <c r="I241"/>
  <c r="D241"/>
  <c r="H241"/>
  <c r="E241"/>
  <c r="J241"/>
  <c r="C241"/>
  <c r="P241"/>
  <c r="Q241"/>
  <c r="K241"/>
  <c r="M241"/>
  <c r="R241"/>
  <c r="L241"/>
  <c r="O241"/>
  <c r="N241"/>
  <c r="E242" l="1"/>
  <c r="F242"/>
  <c r="B243"/>
  <c r="G242"/>
  <c r="D242"/>
  <c r="H242"/>
  <c r="I242"/>
  <c r="N242"/>
  <c r="L242"/>
  <c r="M242"/>
  <c r="J242"/>
  <c r="C242"/>
  <c r="O242"/>
  <c r="K242"/>
  <c r="P242"/>
  <c r="Q242"/>
  <c r="R242"/>
  <c r="D243" l="1"/>
  <c r="E243"/>
  <c r="H243"/>
  <c r="F243"/>
  <c r="G243"/>
  <c r="I243"/>
  <c r="B244"/>
  <c r="Q243"/>
  <c r="R243"/>
  <c r="M243"/>
  <c r="L243"/>
  <c r="O243"/>
  <c r="J243"/>
  <c r="C243"/>
  <c r="K243"/>
  <c r="N243"/>
  <c r="P243"/>
  <c r="H244" l="1"/>
  <c r="I244"/>
  <c r="D244"/>
  <c r="E244"/>
  <c r="F244"/>
  <c r="G244"/>
  <c r="B245"/>
  <c r="P244"/>
  <c r="Q244"/>
  <c r="R244"/>
  <c r="M244"/>
  <c r="C244"/>
  <c r="O244"/>
  <c r="J244"/>
  <c r="K244"/>
  <c r="L244"/>
  <c r="N244"/>
  <c r="B246" l="1"/>
  <c r="E245"/>
  <c r="D245"/>
  <c r="G245"/>
  <c r="H245"/>
  <c r="I245"/>
  <c r="F245"/>
  <c r="O245"/>
  <c r="K245"/>
  <c r="L245"/>
  <c r="P245"/>
  <c r="Q245"/>
  <c r="R245"/>
  <c r="J245"/>
  <c r="N245"/>
  <c r="M245"/>
  <c r="C245"/>
  <c r="I246" l="1"/>
  <c r="E246"/>
  <c r="F246"/>
  <c r="B247"/>
  <c r="H246"/>
  <c r="D246"/>
  <c r="G246"/>
  <c r="N246"/>
  <c r="M246"/>
  <c r="C246"/>
  <c r="O246"/>
  <c r="J246"/>
  <c r="K246"/>
  <c r="P246"/>
  <c r="R246"/>
  <c r="L246"/>
  <c r="Q246"/>
  <c r="H247" l="1"/>
  <c r="F247"/>
  <c r="I247"/>
  <c r="E247"/>
  <c r="B248"/>
  <c r="G247"/>
  <c r="D247"/>
  <c r="L247"/>
  <c r="Q247"/>
  <c r="N247"/>
  <c r="P247"/>
  <c r="R247"/>
  <c r="O247"/>
  <c r="M247"/>
  <c r="J247"/>
  <c r="K247"/>
  <c r="C247"/>
  <c r="G248" l="1"/>
  <c r="H248"/>
  <c r="E248"/>
  <c r="I248"/>
  <c r="F248"/>
  <c r="B249"/>
  <c r="D248"/>
  <c r="K248"/>
  <c r="M248"/>
  <c r="L248"/>
  <c r="R248"/>
  <c r="N248"/>
  <c r="P248"/>
  <c r="J248"/>
  <c r="C248"/>
  <c r="O248"/>
  <c r="Q248"/>
  <c r="F249" l="1"/>
  <c r="G249"/>
  <c r="I249"/>
  <c r="B250"/>
  <c r="H249"/>
  <c r="D249"/>
  <c r="E249"/>
  <c r="J249"/>
  <c r="C249"/>
  <c r="P249"/>
  <c r="K249"/>
  <c r="O249"/>
  <c r="R249"/>
  <c r="L249"/>
  <c r="N249"/>
  <c r="M249"/>
  <c r="Q249"/>
  <c r="E250" l="1"/>
  <c r="B251"/>
  <c r="F250"/>
  <c r="G250"/>
  <c r="I250"/>
  <c r="D250"/>
  <c r="H250"/>
  <c r="M250"/>
  <c r="N250"/>
  <c r="J250"/>
  <c r="C250"/>
  <c r="K250"/>
  <c r="O250"/>
  <c r="P250"/>
  <c r="Q250"/>
  <c r="R250"/>
  <c r="L250"/>
  <c r="D251" l="1"/>
  <c r="E251"/>
  <c r="F251"/>
  <c r="I251"/>
  <c r="G251"/>
  <c r="H251"/>
  <c r="B252"/>
  <c r="Q251"/>
  <c r="R251"/>
  <c r="O251"/>
  <c r="M251"/>
  <c r="L251"/>
  <c r="N251"/>
  <c r="J251"/>
  <c r="C251"/>
  <c r="P251"/>
  <c r="K251"/>
  <c r="G252" l="1"/>
  <c r="H252"/>
  <c r="I252"/>
  <c r="D252"/>
  <c r="E252"/>
  <c r="B253"/>
  <c r="F252"/>
  <c r="P252"/>
  <c r="L252"/>
  <c r="Q252"/>
  <c r="J252"/>
  <c r="C252"/>
  <c r="M252"/>
  <c r="N252"/>
  <c r="K252"/>
  <c r="O252"/>
  <c r="R252"/>
  <c r="B254" l="1"/>
  <c r="F253"/>
  <c r="G253"/>
  <c r="H253"/>
  <c r="D253"/>
  <c r="E253"/>
  <c r="I253"/>
  <c r="O253"/>
  <c r="J253"/>
  <c r="P253"/>
  <c r="C253"/>
  <c r="Q253"/>
  <c r="R253"/>
  <c r="K253"/>
  <c r="L253"/>
  <c r="N253"/>
  <c r="M253"/>
  <c r="I254" l="1"/>
  <c r="D254"/>
  <c r="B255"/>
  <c r="E254"/>
  <c r="G254"/>
  <c r="H254"/>
  <c r="F254"/>
  <c r="N254"/>
  <c r="K254"/>
  <c r="O254"/>
  <c r="M254"/>
  <c r="C254"/>
  <c r="P254"/>
  <c r="L254"/>
  <c r="Q254"/>
  <c r="R254"/>
  <c r="J254"/>
  <c r="H255" l="1"/>
  <c r="F255"/>
  <c r="I255"/>
  <c r="B256"/>
  <c r="E255"/>
  <c r="G255"/>
  <c r="D255"/>
  <c r="L255"/>
  <c r="R255"/>
  <c r="M255"/>
  <c r="C255"/>
  <c r="N255"/>
  <c r="Q255"/>
  <c r="O255"/>
  <c r="J255"/>
  <c r="K255"/>
  <c r="P255"/>
  <c r="G256" l="1"/>
  <c r="D256"/>
  <c r="H256"/>
  <c r="I256"/>
  <c r="F256"/>
  <c r="B257"/>
  <c r="E256"/>
  <c r="K256"/>
  <c r="P256"/>
  <c r="Q256"/>
  <c r="M256"/>
  <c r="L256"/>
  <c r="N256"/>
  <c r="O256"/>
  <c r="R256"/>
  <c r="J256"/>
  <c r="C256"/>
  <c r="F257" l="1"/>
  <c r="B258"/>
  <c r="G257"/>
  <c r="I257"/>
  <c r="D257"/>
  <c r="H257"/>
  <c r="E257"/>
  <c r="J257"/>
  <c r="C257"/>
  <c r="R257"/>
  <c r="K257"/>
  <c r="O257"/>
  <c r="P257"/>
  <c r="Q257"/>
  <c r="L257"/>
  <c r="M257"/>
  <c r="N257"/>
  <c r="D258" l="1"/>
  <c r="H258"/>
  <c r="E258"/>
  <c r="F258"/>
  <c r="I258"/>
  <c r="G258"/>
  <c r="J258"/>
  <c r="K258"/>
  <c r="C258"/>
  <c r="N258"/>
  <c r="L258"/>
  <c r="O258"/>
  <c r="M258"/>
  <c r="P258"/>
  <c r="Q258"/>
  <c r="R258"/>
</calcChain>
</file>

<file path=xl/sharedStrings.xml><?xml version="1.0" encoding="utf-8"?>
<sst xmlns="http://schemas.openxmlformats.org/spreadsheetml/2006/main" count="5853" uniqueCount="2077">
  <si>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</si>
  <si>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</si>
  <si>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</si>
  <si>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</si>
  <si>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</si>
  <si>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</si>
  <si>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</si>
  <si>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</si>
  <si>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</si>
  <si>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</si>
  <si>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</si>
  <si>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</si>
  <si>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</si>
  <si>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</si>
  <si>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</si>
  <si>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</si>
  <si>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</si>
  <si>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</si>
  <si>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</si>
  <si>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</si>
  <si>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</si>
  <si>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</si>
  <si>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</si>
  <si>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</si>
  <si>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</si>
  <si>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</si>
  <si>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</si>
  <si>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</si>
  <si>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</si>
  <si>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</si>
  <si>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</si>
  <si>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</si>
  <si>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</si>
  <si>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</si>
  <si>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</si>
  <si>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</si>
  <si>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</si>
  <si>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</si>
  <si>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</si>
  <si>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</si>
  <si>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</si>
  <si>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</si>
  <si>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</si>
  <si>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</si>
  <si>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</si>
  <si>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</si>
  <si>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</si>
  <si>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</si>
  <si>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</si>
  <si>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</si>
  <si>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</si>
  <si>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</si>
  <si>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</si>
  <si>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</si>
  <si>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</si>
  <si>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</si>
  <si>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</si>
  <si>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</si>
  <si>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</si>
  <si>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</si>
  <si>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</si>
  <si>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</si>
  <si>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</si>
  <si>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</si>
  <si>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</si>
  <si>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</si>
  <si>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</si>
  <si>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</si>
  <si>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</si>
  <si>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</si>
  <si>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</si>
  <si>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</si>
  <si>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</si>
  <si>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</si>
  <si>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</si>
  <si>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</si>
  <si>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</si>
  <si>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</si>
  <si>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</si>
  <si>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</si>
  <si>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</si>
  <si>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</si>
  <si>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</si>
  <si>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</si>
  <si>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</si>
  <si>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</si>
  <si>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</si>
  <si>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</si>
  <si>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</si>
  <si>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</si>
  <si>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</si>
  <si>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</si>
  <si>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</si>
  <si>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</si>
  <si>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</si>
  <si>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</si>
  <si>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</si>
  <si>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</si>
  <si>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</si>
  <si>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</si>
  <si>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</si>
  <si>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</si>
  <si>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</si>
  <si>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</si>
  <si>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</si>
  <si>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</si>
  <si>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</si>
  <si>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</si>
  <si>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</si>
  <si>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</si>
  <si>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</si>
  <si>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</si>
  <si>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</si>
  <si>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</si>
  <si>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</si>
  <si>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</si>
  <si>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</si>
  <si>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</si>
  <si>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</si>
  <si>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</si>
  <si>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</si>
  <si>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</si>
  <si>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</si>
  <si>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</si>
  <si>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</si>
  <si>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</si>
  <si>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</si>
  <si>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</si>
  <si>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</si>
  <si>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</si>
  <si>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</si>
  <si>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</si>
  <si>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</si>
  <si>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</si>
  <si>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</si>
  <si>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</si>
  <si>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</si>
  <si>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</si>
  <si>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</si>
  <si>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</si>
  <si>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</si>
  <si>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</si>
  <si>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</si>
  <si>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</si>
  <si>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</si>
  <si>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</si>
  <si>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</si>
  <si>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</si>
  <si>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</si>
  <si>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</si>
  <si>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</si>
  <si>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</si>
  <si>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</si>
  <si>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</si>
  <si>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</si>
  <si>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</si>
  <si>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</si>
  <si>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</si>
  <si>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</si>
  <si>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</si>
  <si>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</si>
  <si>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</si>
  <si>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</si>
  <si>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</si>
  <si>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</si>
  <si>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</si>
  <si>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</si>
  <si>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</si>
  <si>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</si>
  <si>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</si>
  <si>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</si>
  <si>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</si>
  <si>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</si>
  <si>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</si>
  <si>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</si>
  <si>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</si>
  <si>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</si>
  <si>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</si>
  <si>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</si>
  <si>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</si>
  <si>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</si>
  <si>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</si>
  <si>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</si>
  <si>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</si>
  <si>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</si>
  <si>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</si>
  <si>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</si>
  <si>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</si>
  <si>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</si>
  <si>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</si>
  <si>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</si>
  <si>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</si>
  <si>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</si>
  <si>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</si>
  <si>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</si>
  <si>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</si>
  <si>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</si>
  <si>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</si>
  <si>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</si>
  <si>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</si>
  <si>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</si>
  <si>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</si>
  <si>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</si>
  <si>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</si>
  <si>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</si>
  <si>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</si>
  <si>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</si>
  <si>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</si>
  <si>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</si>
  <si>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</si>
  <si>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</si>
  <si>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</si>
  <si>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</si>
  <si>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</si>
  <si>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</si>
  <si>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</si>
  <si>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</si>
  <si>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</si>
  <si>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</si>
  <si>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</si>
  <si>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</si>
  <si>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</si>
  <si>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</si>
  <si>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</si>
  <si>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</si>
  <si>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</si>
  <si>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</si>
  <si>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</si>
  <si>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</si>
  <si>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</si>
  <si>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</si>
  <si>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</si>
  <si>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</si>
  <si>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</si>
  <si>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</si>
  <si>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</si>
  <si>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</si>
  <si>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</si>
  <si>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</si>
  <si>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</si>
  <si>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</si>
  <si>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</si>
  <si>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</si>
  <si>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</si>
  <si>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</si>
  <si>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</si>
  <si>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</si>
  <si>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</si>
  <si>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</si>
  <si>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</si>
  <si>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</si>
  <si>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</si>
  <si>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</si>
  <si>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</si>
  <si>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</si>
  <si>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</si>
  <si>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</si>
  <si>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</si>
  <si>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</si>
  <si>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</si>
  <si>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</si>
  <si>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</si>
  <si>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</si>
  <si>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</si>
  <si>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</si>
  <si>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</si>
  <si>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</si>
  <si>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</si>
  <si>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</si>
  <si>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</si>
  <si>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</si>
  <si>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</si>
  <si>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</si>
  <si>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</si>
  <si>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</si>
  <si>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</si>
  <si>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</si>
  <si>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</si>
  <si>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</si>
  <si>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</si>
  <si>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</si>
  <si>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</si>
  <si>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</si>
  <si>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</si>
  <si>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</si>
  <si>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</si>
  <si>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</si>
  <si>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</si>
  <si>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</si>
  <si>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</si>
  <si>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</si>
  <si>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</si>
  <si>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</si>
  <si>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</si>
  <si>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</si>
  <si>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</si>
  <si>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</si>
  <si>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</si>
  <si>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</si>
  <si>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</si>
  <si>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</si>
  <si>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</si>
  <si>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</si>
  <si>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</si>
  <si>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</si>
  <si>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</si>
  <si>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</si>
  <si>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</si>
  <si>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</si>
  <si>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</si>
  <si>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</si>
  <si>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</si>
  <si>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</si>
  <si>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</si>
  <si>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</si>
  <si>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</si>
  <si>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</si>
  <si>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</si>
  <si>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</si>
  <si>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</si>
  <si>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</si>
  <si>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</si>
  <si>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</si>
  <si>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</si>
  <si>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</si>
  <si>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</si>
  <si>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</si>
  <si>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</si>
  <si>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</si>
  <si>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</si>
  <si>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</si>
  <si>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</si>
  <si>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</si>
  <si>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</si>
  <si>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</si>
  <si>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</si>
  <si>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</si>
  <si>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</si>
  <si>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</si>
  <si>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</si>
  <si>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</si>
  <si>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</si>
  <si>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</si>
  <si>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</si>
  <si>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</si>
  <si>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</si>
  <si>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</si>
  <si>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</si>
  <si>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</si>
  <si>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</si>
  <si>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</si>
  <si>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</si>
  <si>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</si>
  <si>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</si>
  <si>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</si>
  <si>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</si>
  <si>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</si>
  <si>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</si>
  <si>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</si>
  <si>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</si>
  <si>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</si>
  <si>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</si>
  <si>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</si>
  <si>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</si>
  <si>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</si>
  <si>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</si>
  <si>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</si>
  <si>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</si>
  <si>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</si>
  <si>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</si>
  <si>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</si>
  <si>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</si>
  <si>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</si>
  <si>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</si>
  <si>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</si>
  <si>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</si>
  <si>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</si>
  <si>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</si>
  <si>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</si>
  <si>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</si>
  <si>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</si>
  <si>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</si>
  <si>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</si>
  <si>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</si>
  <si>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</si>
  <si>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</si>
  <si>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</si>
  <si>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</si>
  <si>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</si>
  <si>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</si>
  <si>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</si>
  <si>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</si>
  <si>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</si>
  <si>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</si>
  <si>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</si>
  <si>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</si>
  <si>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</si>
  <si>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</si>
  <si>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</si>
  <si>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</si>
  <si>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</si>
  <si>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</si>
  <si>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</si>
  <si>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</si>
  <si>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</si>
  <si>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</si>
  <si>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</si>
  <si>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</si>
  <si>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</si>
  <si>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</si>
  <si>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</si>
  <si>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</si>
  <si>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</si>
  <si>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</si>
  <si>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</si>
  <si>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</si>
  <si>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</si>
  <si>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</si>
  <si>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</si>
  <si>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</si>
  <si>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</si>
  <si>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</si>
  <si>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</si>
  <si>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</si>
  <si>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</si>
  <si>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</si>
  <si>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</si>
  <si>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</si>
  <si>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</si>
  <si>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</si>
  <si>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</si>
  <si>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</si>
  <si>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</si>
  <si>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</si>
  <si>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</si>
  <si>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</si>
  <si>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</si>
  <si>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</si>
  <si>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</si>
  <si>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</si>
  <si>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</si>
  <si>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</si>
  <si>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</si>
  <si>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</si>
  <si>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</si>
  <si>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</si>
  <si>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</si>
  <si>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</si>
  <si>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</si>
  <si>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</si>
  <si>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</si>
  <si>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</si>
  <si>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</si>
  <si>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</si>
  <si>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</si>
  <si>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</si>
  <si>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</si>
  <si>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</si>
  <si>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</si>
  <si>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</si>
  <si>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</si>
  <si>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</si>
  <si>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</si>
  <si>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</si>
  <si>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</si>
  <si>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</si>
  <si>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</si>
  <si>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</si>
  <si>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</si>
  <si>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</si>
  <si>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</si>
  <si>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</si>
  <si>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</si>
  <si>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</si>
  <si>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</si>
  <si>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</si>
  <si>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</si>
  <si>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</si>
  <si>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</si>
  <si>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</si>
  <si>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</si>
  <si>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</si>
  <si>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</si>
  <si>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</si>
  <si>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</si>
  <si>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</si>
  <si>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</si>
  <si>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</si>
  <si>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</si>
  <si>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</si>
  <si>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</si>
  <si>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</si>
  <si>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</si>
  <si>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</si>
  <si>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</si>
  <si>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</si>
  <si>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</si>
  <si>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</si>
  <si>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</si>
  <si>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</si>
  <si>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</si>
  <si>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</si>
  <si>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</si>
  <si>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</si>
  <si>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</si>
  <si>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</si>
  <si>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</si>
  <si>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</si>
  <si>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</si>
  <si>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</si>
  <si>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</si>
  <si>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</si>
  <si>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</si>
  <si>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</si>
  <si>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</si>
  <si>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</si>
  <si>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</si>
  <si>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</si>
  <si>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</si>
  <si>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</si>
  <si>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</si>
  <si>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</si>
  <si>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</si>
  <si>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</si>
  <si>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</si>
  <si>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</si>
  <si>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</si>
  <si>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</si>
  <si>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</si>
  <si>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</si>
  <si>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</si>
  <si>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</si>
  <si>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</si>
  <si>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</si>
  <si>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</si>
  <si>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</si>
  <si>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</si>
  <si>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</si>
  <si>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</si>
  <si>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</si>
  <si>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</si>
  <si>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</si>
  <si>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</si>
  <si>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</si>
  <si>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</si>
  <si>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</si>
  <si>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</si>
  <si>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</si>
  <si>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</si>
  <si>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</si>
  <si>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</si>
  <si>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</si>
  <si>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</si>
  <si>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</si>
  <si>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</si>
  <si>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</si>
  <si>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</si>
  <si>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</si>
  <si>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</si>
  <si>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</si>
  <si>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</si>
  <si>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</si>
  <si>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</si>
  <si>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</si>
  <si>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</si>
  <si>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</si>
  <si>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</si>
  <si>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</si>
  <si>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</si>
  <si>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</si>
  <si>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</si>
  <si>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</si>
  <si>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</si>
  <si>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</si>
  <si>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</si>
  <si>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</si>
  <si>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</si>
  <si>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</si>
  <si>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</si>
  <si>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</si>
  <si>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</si>
  <si>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</si>
  <si>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</si>
  <si>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</si>
  <si>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</si>
  <si>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</si>
  <si>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</si>
  <si>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</si>
  <si>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</si>
  <si>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</si>
  <si>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</si>
  <si>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</si>
  <si>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</si>
  <si>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</si>
  <si>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</si>
  <si>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</si>
  <si>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</si>
  <si>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</si>
  <si>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</si>
  <si>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</si>
  <si>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</si>
  <si>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</si>
  <si>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</si>
  <si>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</si>
  <si>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</si>
  <si>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</si>
  <si>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</si>
  <si>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</si>
  <si>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</si>
  <si>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</si>
  <si>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</si>
  <si>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</si>
  <si>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</si>
  <si>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</si>
  <si>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</si>
  <si>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</si>
  <si>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</si>
  <si>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</si>
  <si>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</si>
  <si>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</si>
  <si>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</si>
  <si>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</si>
  <si>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</si>
  <si>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</si>
  <si>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</si>
  <si>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</si>
  <si>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</si>
  <si>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</si>
  <si>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</si>
  <si>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</si>
  <si>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</si>
  <si>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</si>
  <si>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</si>
  <si>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</si>
  <si>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</si>
  <si>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</si>
  <si>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</si>
  <si>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</si>
  <si>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</si>
  <si>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</si>
  <si>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</si>
  <si>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</si>
  <si>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</si>
  <si>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</si>
  <si>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</si>
  <si>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</si>
  <si>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</si>
  <si>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</si>
  <si>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</si>
  <si>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</si>
  <si>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</si>
  <si>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</si>
  <si>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</si>
  <si>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</si>
  <si>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</si>
  <si>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</si>
  <si>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</si>
  <si>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</si>
  <si>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</si>
  <si>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</si>
  <si>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</si>
  <si>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</si>
  <si>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</si>
  <si>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</si>
  <si>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</si>
  <si>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</si>
  <si>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</si>
  <si>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</si>
  <si>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</si>
  <si>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</si>
  <si>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</si>
  <si>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</si>
  <si>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</si>
  <si>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</si>
  <si>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</si>
  <si>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</si>
  <si>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</si>
  <si>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</si>
  <si>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</si>
  <si>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</si>
  <si>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</si>
  <si>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</si>
  <si>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</si>
  <si>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</si>
  <si>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</si>
  <si>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</si>
  <si>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</si>
  <si>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</si>
  <si>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</si>
  <si>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</si>
  <si>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</si>
  <si>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</si>
  <si>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</si>
  <si>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</si>
  <si>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</si>
  <si>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</si>
  <si>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</si>
  <si>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</si>
  <si>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</si>
  <si>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</si>
  <si>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</si>
  <si>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</si>
  <si>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</si>
  <si>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</si>
  <si>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</si>
  <si>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</si>
  <si>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</si>
  <si>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</si>
  <si>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</si>
  <si>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</si>
  <si>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</si>
  <si>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</si>
  <si>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</si>
  <si>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</si>
  <si>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</si>
  <si>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</si>
  <si>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</si>
  <si>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</si>
  <si>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</si>
  <si>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</si>
  <si>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</si>
  <si>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</si>
  <si>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</si>
  <si>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</si>
  <si>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</si>
  <si>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</si>
  <si>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</si>
  <si>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</si>
  <si>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</si>
  <si>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</si>
  <si>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</si>
  <si>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</si>
  <si>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</si>
  <si>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</si>
  <si>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</si>
  <si>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</si>
  <si>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</si>
  <si>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</si>
  <si>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</si>
  <si>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</si>
  <si>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</si>
  <si>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</si>
  <si>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</si>
  <si>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</si>
  <si>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</si>
  <si>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</si>
  <si>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</si>
  <si>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</si>
  <si>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</si>
  <si>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</si>
  <si>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</si>
  <si>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</si>
  <si>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</si>
  <si>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</si>
  <si>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</si>
  <si>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</si>
  <si>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</si>
  <si>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</si>
  <si>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</si>
  <si>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hubs</t>
  </si>
  <si>
    <t>services</t>
  </si>
  <si>
    <t>items</t>
  </si>
  <si>
    <t>item_services</t>
  </si>
  <si>
    <t>pricelist</t>
  </si>
  <si>
    <t>pricelist_contents</t>
  </si>
  <si>
    <t>user_services</t>
  </si>
  <si>
    <t>hub_users</t>
  </si>
  <si>
    <t>customers</t>
  </si>
  <si>
    <t>orders</t>
  </si>
  <si>
    <t>order_items</t>
  </si>
  <si>
    <t>identity_labels</t>
  </si>
  <si>
    <t>order_item_services</t>
  </si>
  <si>
    <t>order_item_service_user</t>
  </si>
  <si>
    <t>receipts</t>
  </si>
  <si>
    <t>hub_shift</t>
  </si>
  <si>
    <t>hub_shift_items</t>
  </si>
  <si>
    <t>truncate</t>
  </si>
  <si>
    <t>Hub</t>
  </si>
  <si>
    <t>Service</t>
  </si>
  <si>
    <t>Item</t>
  </si>
  <si>
    <t>ItemService</t>
  </si>
  <si>
    <t>UserService</t>
  </si>
  <si>
    <t>HubUser</t>
  </si>
  <si>
    <t>Pricelist</t>
  </si>
  <si>
    <t>PricelistContent</t>
  </si>
  <si>
    <t>Customer</t>
  </si>
  <si>
    <t>IdentityLabel</t>
  </si>
  <si>
    <t>Order</t>
  </si>
  <si>
    <t>OrderItem</t>
  </si>
  <si>
    <t>OrderItemService</t>
  </si>
  <si>
    <t>OrderItemServiceUser</t>
  </si>
  <si>
    <t>Receipt</t>
  </si>
  <si>
    <t>HubShift</t>
  </si>
  <si>
    <t>HubShiftItem</t>
  </si>
  <si>
    <t>string</t>
  </si>
  <si>
    <t>index()</t>
  </si>
  <si>
    <t>address</t>
  </si>
  <si>
    <t>nullable()</t>
  </si>
  <si>
    <t>image</t>
  </si>
  <si>
    <t>phone</t>
  </si>
  <si>
    <t>email</t>
  </si>
  <si>
    <t>website</t>
  </si>
  <si>
    <t>status_active</t>
  </si>
  <si>
    <t>enum</t>
  </si>
  <si>
    <t>status</t>
  </si>
  <si>
    <t>['Active','Inactive']</t>
  </si>
  <si>
    <t>default('Active')</t>
  </si>
  <si>
    <t>foreign_hub_nullable</t>
  </si>
  <si>
    <t>foreignNullable</t>
  </si>
  <si>
    <t>hub</t>
  </si>
  <si>
    <t>foreign_hub_cascade</t>
  </si>
  <si>
    <t>foreignCascade</t>
  </si>
  <si>
    <t>foreign_service_nullable</t>
  </si>
  <si>
    <t>foreign_service_cascade</t>
  </si>
  <si>
    <t>service</t>
  </si>
  <si>
    <t>foreign_item_nullable</t>
  </si>
  <si>
    <t>foreign_item_cascade</t>
  </si>
  <si>
    <t>item</t>
  </si>
  <si>
    <t>foreign_pricelist_nullable</t>
  </si>
  <si>
    <t>foreign_pricelist_cascade</t>
  </si>
  <si>
    <t>pl</t>
  </si>
  <si>
    <t>foreign_item_service_nullable</t>
  </si>
  <si>
    <t>foreign_item_service_cascade</t>
  </si>
  <si>
    <t>is</t>
  </si>
  <si>
    <t>foreign_user_nullable</t>
  </si>
  <si>
    <t>foreign_user_cascade</t>
  </si>
  <si>
    <t>date_time</t>
  </si>
  <si>
    <t>date</t>
  </si>
  <si>
    <t>foreign_customer_nullable</t>
  </si>
  <si>
    <t>foreign_customer_cascade</t>
  </si>
  <si>
    <t>customer</t>
  </si>
  <si>
    <t>foreign_order_cascade</t>
  </si>
  <si>
    <t>foreign_order_nullable</t>
  </si>
  <si>
    <t>order</t>
  </si>
  <si>
    <t>foreign_label_nullable</t>
  </si>
  <si>
    <t>foreign_label_cascade</t>
  </si>
  <si>
    <t>foreign_order_item_nullable</t>
  </si>
  <si>
    <t>foreign_order_item_cascade</t>
  </si>
  <si>
    <t>oi</t>
  </si>
  <si>
    <t>foreign_order_item_service_nullable</t>
  </si>
  <si>
    <t>foreign_order_item_service_cascade</t>
  </si>
  <si>
    <t>ois</t>
  </si>
  <si>
    <t>invoices</t>
  </si>
  <si>
    <t>invoice_items</t>
  </si>
  <si>
    <t>foreign_invoice_nullable</t>
  </si>
  <si>
    <t>foreign_invoice_cascade</t>
  </si>
  <si>
    <t>invoice</t>
  </si>
  <si>
    <t>price</t>
  </si>
  <si>
    <t>float</t>
  </si>
  <si>
    <t>default(0)</t>
  </si>
  <si>
    <t>code</t>
  </si>
  <si>
    <t>delivery_date</t>
  </si>
  <si>
    <t>delivery</t>
  </si>
  <si>
    <t>current</t>
  </si>
  <si>
    <t>foreign_identity_label_current</t>
  </si>
  <si>
    <t>foreign_ois_after_current</t>
  </si>
  <si>
    <t>after</t>
  </si>
  <si>
    <t>dateTimeTz</t>
  </si>
  <si>
    <t>assigned_on</t>
  </si>
  <si>
    <t>default(DB::raw('CURRENT_TIMESTAMP'))</t>
  </si>
  <si>
    <t>foreign_assigned_by_nullable</t>
  </si>
  <si>
    <t>assigned_by</t>
  </si>
  <si>
    <t>ois_user_start_at</t>
  </si>
  <si>
    <t>start_at</t>
  </si>
  <si>
    <t>ois_user_end_at</t>
  </si>
  <si>
    <t>end_at</t>
  </si>
  <si>
    <t>ois_user_total_time</t>
  </si>
  <si>
    <t>ois_user_service_time</t>
  </si>
  <si>
    <t>service_time</t>
  </si>
  <si>
    <t>total_time</t>
  </si>
  <si>
    <t>unsignedBigInteger</t>
  </si>
  <si>
    <t>amount</t>
  </si>
  <si>
    <t>foreign_source_hub</t>
  </si>
  <si>
    <t>foreign_destination_hub</t>
  </si>
  <si>
    <t>source_hub</t>
  </si>
  <si>
    <t>destination_hub</t>
  </si>
  <si>
    <t>foreign_hub_shift_nullable</t>
  </si>
  <si>
    <t>foreign_hub_shift_cascade</t>
  </si>
  <si>
    <t>hs</t>
  </si>
  <si>
    <t>default('Vacant')</t>
  </si>
  <si>
    <t>['Vacant','Occupied','Inactive']</t>
  </si>
  <si>
    <t>progress_default</t>
  </si>
  <si>
    <t>progress</t>
  </si>
  <si>
    <t>['New','Processing','Completed']</t>
  </si>
  <si>
    <t>default('New')</t>
  </si>
  <si>
    <t>order_progress</t>
  </si>
  <si>
    <t>order_item_progress</t>
  </si>
  <si>
    <t>order_item_service_progress</t>
  </si>
  <si>
    <t>invoice_progress</t>
  </si>
  <si>
    <t>['Unpaid','Paid Partially','Paid']</t>
  </si>
  <si>
    <t>default('Unpaid')</t>
  </si>
  <si>
    <t>bigIncrements</t>
  </si>
  <si>
    <t>9,2</t>
  </si>
  <si>
    <t>Invoice</t>
  </si>
  <si>
    <t>InvoiceItem</t>
  </si>
  <si>
    <t>Hubs</t>
  </si>
  <si>
    <t>Services</t>
  </si>
  <si>
    <t>Items</t>
  </si>
  <si>
    <t>Item Services</t>
  </si>
  <si>
    <t>User Services</t>
  </si>
  <si>
    <t>Hub Users</t>
  </si>
  <si>
    <t>Price List</t>
  </si>
  <si>
    <t>Price List Contents</t>
  </si>
  <si>
    <t>Customers</t>
  </si>
  <si>
    <t>Identity Labels</t>
  </si>
  <si>
    <t>Orders</t>
  </si>
  <si>
    <t>Order Items</t>
  </si>
  <si>
    <t>Order Item Services</t>
  </si>
  <si>
    <t>Invoices</t>
  </si>
  <si>
    <t>Invoice Items</t>
  </si>
  <si>
    <t>Service Provider</t>
  </si>
  <si>
    <t>Receipts</t>
  </si>
  <si>
    <t>Delivery</t>
  </si>
  <si>
    <t>Delivery Items</t>
  </si>
  <si>
    <t>Hub Shift</t>
  </si>
  <si>
    <t>Hub Shift Items</t>
  </si>
  <si>
    <t>Services provided to customers and available in hubs by each users</t>
  </si>
  <si>
    <t>Items are materials or products that are rady to service</t>
  </si>
  <si>
    <t>Services that are applied to an item</t>
  </si>
  <si>
    <t>The services that a user can provide</t>
  </si>
  <si>
    <t>The users belongs to a hub, each user is able to provide some services</t>
  </si>
  <si>
    <t>The rack or small sections in hub where the order items can be stored temporarly</t>
  </si>
  <si>
    <t>Price lists</t>
  </si>
  <si>
    <t>Price of each item to service belongs to specified price list</t>
  </si>
  <si>
    <t>The label tag used to identify and separate the order items while servicing and packing</t>
  </si>
  <si>
    <t>Orders are the set of items that are submitted by a customer for servicing</t>
  </si>
  <si>
    <t>The items in the order that submitted by a customer</t>
  </si>
  <si>
    <t>The services to be applied on each order item</t>
  </si>
  <si>
    <t>Invoices which are generated automatiaclly when a order is placed</t>
  </si>
  <si>
    <t>The invoicable items in a invoice</t>
  </si>
  <si>
    <t>The user who responsible to perform a service on a order item</t>
  </si>
  <si>
    <t>Recepits when a customer made payments against a invoice</t>
  </si>
  <si>
    <t>The order items to be delivered</t>
  </si>
  <si>
    <t>Each item of a delivery</t>
  </si>
  <si>
    <t>Shifting of order items from one hub to another</t>
  </si>
  <si>
    <t>Each items in a shift</t>
  </si>
  <si>
    <t>Hub is considered as premises where the services are provided. Hub may be some outlets, service stations or delivery or pickup vehicle</t>
  </si>
  <si>
    <t>HubUsers</t>
  </si>
  <si>
    <t>HubDeliveries</t>
  </si>
  <si>
    <t>ShiftFromHub</t>
  </si>
  <si>
    <t>ShiftToHub</t>
  </si>
  <si>
    <t>hasMany</t>
  </si>
  <si>
    <t>hasOne</t>
  </si>
  <si>
    <t>Users belongs to a hub. Users are responsible to provide services</t>
  </si>
  <si>
    <t>Storage racks in a hub</t>
  </si>
  <si>
    <t>The default rack used to store all non storage specified items</t>
  </si>
  <si>
    <t>The deliveries done from the hub</t>
  </si>
  <si>
    <t>The items shifts initiated from this hub</t>
  </si>
  <si>
    <t>The items shifts which are targeing this hub</t>
  </si>
  <si>
    <t>HubServices</t>
  </si>
  <si>
    <t>The services that are available in a hub</t>
  </si>
  <si>
    <t>hasManyThrough</t>
  </si>
  <si>
    <t>Deliveries</t>
  </si>
  <si>
    <t>ShiftsFrom</t>
  </si>
  <si>
    <t>ShiftsTowards</t>
  </si>
  <si>
    <t>Users of the application</t>
  </si>
  <si>
    <t>SerivceProvider</t>
  </si>
  <si>
    <t>ServiceHubs</t>
  </si>
  <si>
    <t>ServicePrice</t>
  </si>
  <si>
    <t>Price of service for different items</t>
  </si>
  <si>
    <t>ServiceItems</t>
  </si>
  <si>
    <t>The items where this service can applicable</t>
  </si>
  <si>
    <t>NewItems</t>
  </si>
  <si>
    <t>ProcessingItems</t>
  </si>
  <si>
    <t>The new items which are to be serviced</t>
  </si>
  <si>
    <t>The items which are servicing</t>
  </si>
  <si>
    <t>The users who provide this service</t>
  </si>
  <si>
    <t>The hubs where this service is available</t>
  </si>
  <si>
    <t>The items which are awaiting for this service</t>
  </si>
  <si>
    <t>Prices</t>
  </si>
  <si>
    <t>Processing</t>
  </si>
  <si>
    <t>Awaiting</t>
  </si>
  <si>
    <t>['New','Assigned','Processing','Completed','Awaiting']</t>
  </si>
  <si>
    <t>Unassigned</t>
  </si>
  <si>
    <t>Assigned</t>
  </si>
  <si>
    <t>AssignedItems</t>
  </si>
  <si>
    <t>The service which are assigned</t>
  </si>
  <si>
    <t>belongsToMany</t>
  </si>
  <si>
    <t>NewService</t>
  </si>
  <si>
    <t>AssignedService</t>
  </si>
  <si>
    <t>ProcessingService</t>
  </si>
  <si>
    <t>AwaitingService</t>
  </si>
  <si>
    <t>AwaitingItems</t>
  </si>
  <si>
    <t>ItemServices</t>
  </si>
  <si>
    <t>ItemServiceCost</t>
  </si>
  <si>
    <t>ServicingUsers</t>
  </si>
  <si>
    <t>Services available for the item</t>
  </si>
  <si>
    <t>Prices for each service for this item</t>
  </si>
  <si>
    <t>Items which are awaiting for service from the order items</t>
  </si>
  <si>
    <t>Items which are processing from the order items</t>
  </si>
  <si>
    <t>Items which are assigned in the order items</t>
  </si>
  <si>
    <t>Items which are unassigned in the order items</t>
  </si>
  <si>
    <t>The users who are servicing this item from order items</t>
  </si>
  <si>
    <t>belongsTo</t>
  </si>
  <si>
    <t>HubOrders</t>
  </si>
  <si>
    <t>The orders placed in this hub</t>
  </si>
  <si>
    <t>OrderItems</t>
  </si>
  <si>
    <t>OrderInvoice</t>
  </si>
  <si>
    <t>CustomerDetail</t>
  </si>
  <si>
    <t>delivery_items</t>
  </si>
  <si>
    <t>identity_label_current</t>
  </si>
  <si>
    <t>foreign_delivery_nullable</t>
  </si>
  <si>
    <t>foreign_delivery_cascade</t>
  </si>
  <si>
    <t>DeliveryItem</t>
  </si>
  <si>
    <t>OrderDetail</t>
  </si>
  <si>
    <t>ItemShifts</t>
  </si>
  <si>
    <t>Shifts</t>
  </si>
  <si>
    <t>ItemDetail</t>
  </si>
  <si>
    <t>ServiceDetail</t>
  </si>
  <si>
    <t>Details of item of particular entry</t>
  </si>
  <si>
    <t>Details of service of particular entry</t>
  </si>
  <si>
    <t>UserDetail</t>
  </si>
  <si>
    <t>Details of user</t>
  </si>
  <si>
    <t>HubDetail</t>
  </si>
  <si>
    <t>Details of Hub</t>
  </si>
  <si>
    <t>shelf</t>
  </si>
  <si>
    <t>foreign_shelf_nullable</t>
  </si>
  <si>
    <t>foreign_shelf_cascade</t>
  </si>
  <si>
    <t>shelf_status</t>
  </si>
  <si>
    <t>hub_default_shelf</t>
  </si>
  <si>
    <t>2019_04_27_000045_create_hubs_table.php</t>
  </si>
  <si>
    <t>2019_04_27_000046_create_services_table.php</t>
  </si>
  <si>
    <t>2019_04_27_000047_create_items_table.php</t>
  </si>
  <si>
    <t>2019_04_27_000048_create_item_services_table.php</t>
  </si>
  <si>
    <t>2019_04_27_000049_create_user_services_table.php</t>
  </si>
  <si>
    <t>2019_04_27_000050_create_hub_users_table.php</t>
  </si>
  <si>
    <t>2019_04_27_000053_create_pricelist_table.php</t>
  </si>
  <si>
    <t>2019_04_27_000054_create_pricelist_contents_table.php</t>
  </si>
  <si>
    <t>2019_04_27_000055_create_customers_table.php</t>
  </si>
  <si>
    <t>Shelf</t>
  </si>
  <si>
    <t>HubDefaultShelf</t>
  </si>
  <si>
    <t>Hub Shelves</t>
  </si>
  <si>
    <t>A default storage shelf for each hub where all or non storage specified items to be placed</t>
  </si>
  <si>
    <t>Default Hub Shelf</t>
  </si>
  <si>
    <t>Detail of Hub where this shelf belongs to</t>
  </si>
  <si>
    <t>The order items in the specified shelf</t>
  </si>
  <si>
    <t>HubShelves</t>
  </si>
  <si>
    <t>Shelves</t>
  </si>
  <si>
    <t>DefaultShelf</t>
  </si>
  <si>
    <t>ShelfDetail</t>
  </si>
  <si>
    <t>Detail of shelf</t>
  </si>
  <si>
    <t>Contents</t>
  </si>
  <si>
    <t>Contents of a price list</t>
  </si>
  <si>
    <t>ItemServicePrices</t>
  </si>
  <si>
    <t>Prices for each item service</t>
  </si>
  <si>
    <t>Price</t>
  </si>
  <si>
    <t>PLDetail</t>
  </si>
  <si>
    <t>Primary details of the price list</t>
  </si>
  <si>
    <t>Detail of item service</t>
  </si>
  <si>
    <t>LabelledItem</t>
  </si>
  <si>
    <t>The item to which this label attached</t>
  </si>
  <si>
    <t>OrderDeliveries</t>
  </si>
  <si>
    <t>The serviceable items in a order</t>
  </si>
  <si>
    <t>Customer detail</t>
  </si>
  <si>
    <t>Hub Detail</t>
  </si>
  <si>
    <t>Generated Invoice</t>
  </si>
  <si>
    <t>Deliveries done on the basis of this order</t>
  </si>
  <si>
    <t>The detail of order this item belongs to</t>
  </si>
  <si>
    <t>Item detail</t>
  </si>
  <si>
    <t>Detail of the label attached</t>
  </si>
  <si>
    <t>Detail of the shelf this item placed</t>
  </si>
  <si>
    <t>List of services to be applied</t>
  </si>
  <si>
    <t>Details of the shifts of this item</t>
  </si>
  <si>
    <t>OrderItemDetail</t>
  </si>
  <si>
    <t>Detail of order item</t>
  </si>
  <si>
    <t>Detail of service</t>
  </si>
  <si>
    <t>Order details this invoice belongs to</t>
  </si>
  <si>
    <t>Customer to which invoice generated</t>
  </si>
  <si>
    <t>InvoiceItems</t>
  </si>
  <si>
    <t>List of items and service in the invoice</t>
  </si>
  <si>
    <t>List of receipts on the basis of this invoice</t>
  </si>
  <si>
    <t>InvoiceDetail</t>
  </si>
  <si>
    <t>Primary details of the invoice</t>
  </si>
  <si>
    <t>Item details</t>
  </si>
  <si>
    <t>Service details</t>
  </si>
  <si>
    <t>Detail of order item service</t>
  </si>
  <si>
    <t>User detail</t>
  </si>
  <si>
    <t>Detail of invoice this receipt is generating</t>
  </si>
  <si>
    <t>Order details of which this delivery is</t>
  </si>
  <si>
    <t>List of Order Items</t>
  </si>
  <si>
    <t>FromHub</t>
  </si>
  <si>
    <t>ToHub</t>
  </si>
  <si>
    <t>Source</t>
  </si>
  <si>
    <t>Target</t>
  </si>
  <si>
    <t>Destination hub detail</t>
  </si>
  <si>
    <t>Source hub detail</t>
  </si>
  <si>
    <t>Lists of order items in a shift</t>
  </si>
  <si>
    <t>Primary shift detail of a hub shift item</t>
  </si>
  <si>
    <t>Shift</t>
  </si>
  <si>
    <t>ShiftItem</t>
  </si>
  <si>
    <t>Providers</t>
  </si>
  <si>
    <t>OrderReceipts</t>
  </si>
  <si>
    <t>Receipts based on a order</t>
  </si>
  <si>
    <t>DeliveryDetail</t>
  </si>
  <si>
    <t>Primary delivery detail</t>
  </si>
  <si>
    <t>Order item detail</t>
  </si>
  <si>
    <t>Shelf detail</t>
  </si>
  <si>
    <t>Administrator</t>
  </si>
  <si>
    <t>Managers</t>
  </si>
  <si>
    <t>Service Providers</t>
  </si>
  <si>
    <t>CustomerOrders</t>
  </si>
  <si>
    <t>CustomerInvoices</t>
  </si>
  <si>
    <t>CustomerReceipts</t>
  </si>
  <si>
    <t>List of orders the customer placed</t>
  </si>
  <si>
    <t>List of invoices created for the customer</t>
  </si>
  <si>
    <t>Receipts created for the customer</t>
  </si>
  <si>
    <t>llm_users</t>
  </si>
  <si>
    <t>All users of the application</t>
  </si>
  <si>
    <t>managers</t>
  </si>
  <si>
    <t>Managers of the organizations</t>
  </si>
  <si>
    <t>service_providers</t>
  </si>
  <si>
    <t>The users who are responsible to provide item services</t>
  </si>
  <si>
    <t>employees</t>
  </si>
  <si>
    <t>All employees of the organization</t>
  </si>
  <si>
    <t>Employees</t>
  </si>
  <si>
    <t>owner</t>
  </si>
  <si>
    <t>The owners of the organization</t>
  </si>
  <si>
    <t>Owners</t>
  </si>
  <si>
    <t>Owner have access to all resources</t>
  </si>
  <si>
    <t>Owner</t>
  </si>
  <si>
    <t>Manages activities related to a hub</t>
  </si>
  <si>
    <t>Manager</t>
  </si>
  <si>
    <t>service_provider</t>
  </si>
  <si>
    <t>Manages service related activities</t>
  </si>
  <si>
    <t>owners</t>
  </si>
  <si>
    <t>actions_availability</t>
  </si>
  <si>
    <t>actions</t>
  </si>
  <si>
    <t>All</t>
  </si>
  <si>
    <t>password</t>
  </si>
  <si>
    <t>Setup</t>
  </si>
  <si>
    <t>setup@llm.com</t>
  </si>
  <si>
    <t>admin@llm.com</t>
  </si>
  <si>
    <t>Developer</t>
  </si>
  <si>
    <t>dev@llm.com</t>
  </si>
  <si>
    <t>NewCustomerForm</t>
  </si>
  <si>
    <t>Save</t>
  </si>
  <si>
    <t>NewOwnerForm</t>
  </si>
  <si>
    <t>text</t>
  </si>
  <si>
    <t>Owner Name</t>
  </si>
  <si>
    <t>Login Email</t>
  </si>
  <si>
    <t>Password</t>
  </si>
  <si>
    <t>NewOwnerFormAction</t>
  </si>
  <si>
    <t>New Owner</t>
  </si>
  <si>
    <t>Groups where the users can accommadate</t>
  </si>
  <si>
    <t>GroupUsers</t>
  </si>
  <si>
    <t>The list of users in a group</t>
  </si>
  <si>
    <t>UserGroups</t>
  </si>
  <si>
    <t>The groups where the user belongs to</t>
  </si>
  <si>
    <t>customer_details</t>
  </si>
  <si>
    <t>The extra details of a customer</t>
  </si>
  <si>
    <t>Customer Details</t>
  </si>
  <si>
    <t>Extra details of a customer</t>
  </si>
  <si>
    <t>Customer/NewCustomerForm</t>
  </si>
  <si>
    <t>textarea</t>
  </si>
  <si>
    <t>Customer Name</t>
  </si>
  <si>
    <t>Phone Number</t>
  </si>
  <si>
    <t>Address</t>
  </si>
  <si>
    <t>(Forms) Customer/NewCustomerForm</t>
  </si>
  <si>
    <t>New Customer</t>
  </si>
  <si>
    <t>NewCustomerFormAction</t>
  </si>
  <si>
    <t>2019_04_27_000051_create_shelf_table.php</t>
  </si>
  <si>
    <t>2019_04_27_000052_create_hub_default_shelf_table.php</t>
  </si>
  <si>
    <t>Customer/Detail</t>
  </si>
  <si>
    <t>2019_04_27_000057_create_identity_labels_table.php</t>
  </si>
  <si>
    <t>2019_04_27_000058_create_orders_table.php</t>
  </si>
  <si>
    <t>2019_04_27_000059_create_order_items_table.php</t>
  </si>
  <si>
    <t>2019_04_27_000060_create_order_item_services_table.php</t>
  </si>
  <si>
    <t>2019_04_27_000061_create_invoices_table.php</t>
  </si>
  <si>
    <t>2019_04_27_000062_create_invoice_items_table.php</t>
  </si>
  <si>
    <t>2019_04_27_000063_create_order_item_service_user_table.php</t>
  </si>
  <si>
    <t>2019_04_27_000064_create_receipts_table.php</t>
  </si>
  <si>
    <t>2019_04_27_000065_create_delivery_table.php</t>
  </si>
  <si>
    <t>2019_04_27_000066_create_delivery_items_table.php</t>
  </si>
  <si>
    <t>2019_04_27_000067_create_hub_shift_table.php</t>
  </si>
  <si>
    <t>2019_04_27_000068_create_hub_shift_items_table.php</t>
  </si>
  <si>
    <t>The customers of the organization</t>
  </si>
  <si>
    <t>CustomerGroup</t>
  </si>
  <si>
    <t>The details of group a customer belongs to</t>
  </si>
  <si>
    <t>NewHubCreateFrom</t>
  </si>
  <si>
    <t>Hub/NewHubCreateFrom</t>
  </si>
  <si>
    <t>file</t>
  </si>
  <si>
    <t>Image</t>
  </si>
  <si>
    <t>Email</t>
  </si>
  <si>
    <t>Website</t>
  </si>
  <si>
    <t>AddNewServiceForm</t>
  </si>
  <si>
    <t>Service/AddNewServiceForm</t>
  </si>
  <si>
    <t>Service Name</t>
  </si>
  <si>
    <t>AddNewItemForm</t>
  </si>
  <si>
    <t>Item/AddNewItemForm</t>
  </si>
  <si>
    <t>select</t>
  </si>
  <si>
    <t>Status</t>
  </si>
  <si>
    <t>Enum</t>
  </si>
  <si>
    <t>Service/AddNewServiceForm/name</t>
  </si>
  <si>
    <t>inline</t>
  </si>
  <si>
    <t>Service/AddNewServiceForm/description</t>
  </si>
  <si>
    <t>Service/AddNewServiceForm/status</t>
  </si>
  <si>
    <t>Item/AddNewItemForm/name</t>
  </si>
  <si>
    <t>Item/AddNewItemForm/description</t>
  </si>
  <si>
    <t>Item/AddNewItemForm/status</t>
  </si>
  <si>
    <t>AddServicesToItemForm</t>
  </si>
  <si>
    <t>ItemService/AddServicesToItemForm</t>
  </si>
  <si>
    <t>Select Item</t>
  </si>
  <si>
    <t>Name the item service</t>
  </si>
  <si>
    <t>Select Service</t>
  </si>
  <si>
    <t>ItemService/AddServicesToItemForm/item</t>
  </si>
  <si>
    <t>Item/Services</t>
  </si>
  <si>
    <t>All services assigned to a user</t>
  </si>
  <si>
    <t>CreateNewShelfForm</t>
  </si>
  <si>
    <t>Shelf/CreateNewShelfForm</t>
  </si>
  <si>
    <t>Select Hub</t>
  </si>
  <si>
    <t>AssignHubsDefaultShelf</t>
  </si>
  <si>
    <t>Default Shelf</t>
  </si>
  <si>
    <t>HubDefaultShelf/AssignHubsDefaultShelf</t>
  </si>
  <si>
    <t>Select Shelf</t>
  </si>
  <si>
    <t>CreateNewPLForm</t>
  </si>
  <si>
    <t>Pricelist/CreateNewPLForm</t>
  </si>
  <si>
    <t>Enter a name</t>
  </si>
  <si>
    <t>AddContentsToPL</t>
  </si>
  <si>
    <t>PricelistContent/AddContentsToPL</t>
  </si>
  <si>
    <t>Select Price List</t>
  </si>
  <si>
    <t>Pricelist/Contents</t>
  </si>
  <si>
    <t>PricelistContent/AddContentsToPL/pl</t>
  </si>
  <si>
    <t>UpdatePLContent</t>
  </si>
  <si>
    <t>Price List Content</t>
  </si>
  <si>
    <t>PricelistContent/UpdatePLContent</t>
  </si>
  <si>
    <t>Change Price To</t>
  </si>
  <si>
    <t>NewIdentityLabelForm</t>
  </si>
  <si>
    <t>Identity Label</t>
  </si>
  <si>
    <t>IdentityLabel/NewIdentityLabelForm</t>
  </si>
  <si>
    <t>Enter code on label</t>
  </si>
  <si>
    <t>Shelf/CreateNewShelfForm/hub</t>
  </si>
  <si>
    <t>Shelf/CreateNewShelfForm/status</t>
  </si>
  <si>
    <t>HubDefaultShelf/AssignHubsDefaultShelf/hub</t>
  </si>
  <si>
    <t>HubDefaultShelf/AssignHubsDefaultShelf/shelf</t>
  </si>
  <si>
    <t>Pricelist/CreateNewPLForm/name</t>
  </si>
  <si>
    <t>Pricelist/CreateNewPLForm/description</t>
  </si>
  <si>
    <t>Pricelist/CreateNewPLForm/status</t>
  </si>
  <si>
    <t>PricelistContent/UpdatePLContent/price</t>
  </si>
  <si>
    <t>PricelistContent/UpdatePLContent/status</t>
  </si>
  <si>
    <t>IdentityLabel/NewIdentityLabelForm/code</t>
  </si>
  <si>
    <t>IdentityLabel/NewIdentityLabelForm/status</t>
  </si>
  <si>
    <t>NewOrderForm</t>
  </si>
  <si>
    <t>Order/NewOrderForm</t>
  </si>
  <si>
    <t>Select Customer</t>
  </si>
  <si>
    <t>Enter date (yyyy-mm-dd)</t>
  </si>
  <si>
    <t>Order/NewOrderForm/customer</t>
  </si>
  <si>
    <t>Order/NewOrderForm/date</t>
  </si>
  <si>
    <t>AddOrderItemForm</t>
  </si>
  <si>
    <t>OrderItem/AddOrderItemForm</t>
  </si>
  <si>
    <t>Select Order</t>
  </si>
  <si>
    <t>multiselect</t>
  </si>
  <si>
    <t>OrderItem/Services</t>
  </si>
  <si>
    <t>UpdateOrderItem</t>
  </si>
  <si>
    <t>OrderItem/UpdateOrderItem</t>
  </si>
  <si>
    <t>Attached Label</t>
  </si>
  <si>
    <t>Storage Shelf</t>
  </si>
  <si>
    <t>Delivery Date</t>
  </si>
  <si>
    <t>OrderItem/UpdateOrderItem/label</t>
  </si>
  <si>
    <t>OrderItem/UpdateOrderItem/shelf</t>
  </si>
  <si>
    <t>OrderItem/UpdateOrderItem/delivery</t>
  </si>
  <si>
    <t>Order/NewOrderForm/pl</t>
  </si>
  <si>
    <t>UpdateItemsService</t>
  </si>
  <si>
    <t>ItemService/UpdateItemsService</t>
  </si>
  <si>
    <t>Change name to</t>
  </si>
  <si>
    <t>ItemService/UpdateItemsService/name</t>
  </si>
  <si>
    <t>ItemService/UpdateItemsService/service</t>
  </si>
  <si>
    <t>ItemService/UpdateItemsService/status</t>
  </si>
  <si>
    <t>AssignProviderToOIS</t>
  </si>
  <si>
    <t>OrderItemServiceUser/AssignProviderToOIS</t>
  </si>
  <si>
    <t>Order Item Service</t>
  </si>
  <si>
    <t>Select Provider</t>
  </si>
  <si>
    <t>OrderItemServiceUser/AssignProviderToOIS/ois</t>
  </si>
  <si>
    <t>OrderItemServiceUser/AssignProviderToOIS/user</t>
  </si>
  <si>
    <t>NewReceiptForm</t>
  </si>
  <si>
    <t>Receipt/NewReceiptForm</t>
  </si>
  <si>
    <t>Select Invoice to be paid</t>
  </si>
  <si>
    <t>Amount</t>
  </si>
  <si>
    <t>Receipt/NewReceiptForm/date</t>
  </si>
  <si>
    <t>Receipt/NewReceiptForm/invoice</t>
  </si>
  <si>
    <t>Receipt/NewReceiptForm/amount</t>
  </si>
  <si>
    <t>NewOrderDeliveryForm</t>
  </si>
  <si>
    <t>Order Delivery</t>
  </si>
  <si>
    <t>Delivery/NewOrderDeliveryForm</t>
  </si>
  <si>
    <t>Delivery/NewOrderDeliveryForm/date</t>
  </si>
  <si>
    <t>AddDeliveryItemsForm</t>
  </si>
  <si>
    <t>Delivery Contents</t>
  </si>
  <si>
    <t>Select Order Item</t>
  </si>
  <si>
    <t>NewHubShiftProcessForm</t>
  </si>
  <si>
    <t>HubShift/NewHubShiftProcessForm</t>
  </si>
  <si>
    <t>Select From Hub</t>
  </si>
  <si>
    <t>Select To Hub</t>
  </si>
  <si>
    <t>HubShift/NewHubShiftProcessForm/source_hub</t>
  </si>
  <si>
    <t>HubShift/NewHubShiftProcessForm/destination_hub</t>
  </si>
  <si>
    <t>HubShift/NewHubShiftProcessForm/status</t>
  </si>
  <si>
    <t>Delivery/NewOrderDeliveryForm/oi</t>
  </si>
  <si>
    <t>Delivery/NewOrderDeliveryForm/order</t>
  </si>
  <si>
    <t>(Forms) Hub/NewHubCreateFrom</t>
  </si>
  <si>
    <t>(Forms) Service/AddNewServiceForm</t>
  </si>
  <si>
    <t>(Forms) Item/AddNewItemForm</t>
  </si>
  <si>
    <t>(Forms) Shelf/CreateNewShelfForm</t>
  </si>
  <si>
    <t>(Forms) HubDefaultShelf/AssignHubsDefaultShelf</t>
  </si>
  <si>
    <t>(Forms) Pricelist/CreateNewPLForm</t>
  </si>
  <si>
    <t>(Forms) IdentityLabel/NewIdentityLabelForm</t>
  </si>
  <si>
    <t>(Forms) Order/NewOrderForm</t>
  </si>
  <si>
    <t>(Forms) Receipt/NewReceiptForm</t>
  </si>
  <si>
    <t>(Forms) Delivery/NewOrderDeliveryForm</t>
  </si>
  <si>
    <t>(Forms) HubShift/NewHubShiftProcessForm</t>
  </si>
  <si>
    <t>NewHubAction</t>
  </si>
  <si>
    <t>AddServiceAction</t>
  </si>
  <si>
    <t>AddItemAction</t>
  </si>
  <si>
    <t>CreateShelfAction</t>
  </si>
  <si>
    <t>AssignDefaultShelfAction</t>
  </si>
  <si>
    <t>NewPLAction</t>
  </si>
  <si>
    <t>NewILAction</t>
  </si>
  <si>
    <t>NewOrderAction</t>
  </si>
  <si>
    <t>NewReceiptAction</t>
  </si>
  <si>
    <t>NewDeliveryAction</t>
  </si>
  <si>
    <t>NewHubShiftAction</t>
  </si>
  <si>
    <t>New Hub</t>
  </si>
  <si>
    <t>New Service</t>
  </si>
  <si>
    <t>New Item</t>
  </si>
  <si>
    <t>New Shelf</t>
  </si>
  <si>
    <t>Assign Defaulf Shelf</t>
  </si>
  <si>
    <t>New Price List</t>
  </si>
  <si>
    <t>New Identity Label</t>
  </si>
  <si>
    <t>New Order</t>
  </si>
  <si>
    <t>New Receipt</t>
  </si>
  <si>
    <t>New Delivery</t>
  </si>
  <si>
    <t>New Hub Shift</t>
  </si>
  <si>
    <t>Order/Items</t>
  </si>
  <si>
    <t>OrderItem/AddOrderItemForm/order</t>
  </si>
  <si>
    <t>Date</t>
  </si>
  <si>
    <t>HubShift/NewHubShiftProcessForm/date</t>
  </si>
  <si>
    <t>Customer/NewCustomerForm/name</t>
  </si>
  <si>
    <t>Customer/NewCustomerForm/phone</t>
  </si>
  <si>
    <t>Customer/NewCustomerForm/address</t>
  </si>
  <si>
    <t>Customers of the organization</t>
  </si>
  <si>
    <t>Employee</t>
  </si>
  <si>
    <t>Owners of the organization</t>
  </si>
  <si>
    <t>Employees of the organization</t>
  </si>
  <si>
    <t>The employees who are managers to the organisation</t>
  </si>
  <si>
    <t>The employees who are service providers to the organisation</t>
  </si>
  <si>
    <t>providers</t>
  </si>
  <si>
    <t>2019_04_27_000056_create_customer_details_table.php</t>
  </si>
  <si>
    <t>2019_05_02_014454_create_owners_table.php</t>
  </si>
  <si>
    <t>2019_05_02_014509_create_employees_table.php</t>
  </si>
  <si>
    <t>NewEmployee</t>
  </si>
  <si>
    <t>Owner/NewOwnerForm</t>
  </si>
  <si>
    <t>Employee/NewEmployee</t>
  </si>
  <si>
    <t>Owner/NewOwnerForm/name</t>
  </si>
  <si>
    <t>Owner/NewOwnerForm/email</t>
  </si>
  <si>
    <t>Owner/NewOwnerForm/password</t>
  </si>
  <si>
    <t>Employee/NewEmployee/name</t>
  </si>
  <si>
    <t>Employee/NewEmployee/email</t>
  </si>
  <si>
    <t>Employee/NewEmployee/password</t>
  </si>
  <si>
    <t>NewEmployeeFormAction</t>
  </si>
  <si>
    <t>New Employee</t>
  </si>
  <si>
    <t>(Forms) Owner/NewOwnerForm</t>
  </si>
  <si>
    <t>(Forms) Employee/NewEmployee</t>
  </si>
  <si>
    <t>employeeGroups</t>
  </si>
  <si>
    <t>Groups that assigned for employees</t>
  </si>
  <si>
    <t>EmployeeGroups</t>
  </si>
  <si>
    <t>The groups that can be assigned to a employee</t>
  </si>
  <si>
    <t>Employee Groups</t>
  </si>
  <si>
    <t>Group/EmployeeGroups</t>
  </si>
  <si>
    <t>EmployeeGroup</t>
  </si>
  <si>
    <t>The groups where the employee belongs</t>
  </si>
  <si>
    <t>EmployeeServices</t>
  </si>
  <si>
    <t>Employee Type</t>
  </si>
  <si>
    <t>Employee/Groups</t>
  </si>
  <si>
    <t>Employee/NewEmployee/group</t>
  </si>
  <si>
    <t>Shelf/CreateNewShelfForm/name</t>
  </si>
  <si>
    <t>-</t>
  </si>
  <si>
    <t>required</t>
  </si>
  <si>
    <t>unique</t>
  </si>
  <si>
    <t>Already in Use, try another one</t>
  </si>
  <si>
    <t>users,email</t>
  </si>
  <si>
    <t>OwnerGroups</t>
  </si>
  <si>
    <t>Owner/Groups</t>
  </si>
  <si>
    <t>Email Required</t>
  </si>
  <si>
    <t>Hub/NewHubCreateFrom/name</t>
  </si>
  <si>
    <t>Name Required</t>
  </si>
  <si>
    <t>NewServiceProvider</t>
  </si>
  <si>
    <t>Employee/NewServiceProvider</t>
  </si>
  <si>
    <t>Employee/NewServiceProvider/email</t>
  </si>
  <si>
    <t>NewProviderFormAction</t>
  </si>
  <si>
    <t>New Service Provider</t>
  </si>
  <si>
    <t>(Forms) Employee/NewServiceProvider</t>
  </si>
  <si>
    <t>ID No</t>
  </si>
  <si>
    <t>Employee/NewServiceProvider/name</t>
  </si>
  <si>
    <t>Employee/NewServiceProvider/password</t>
  </si>
  <si>
    <t>Contact Number</t>
  </si>
  <si>
    <t>OwnerList</t>
  </si>
  <si>
    <t>EmployeeList</t>
  </si>
  <si>
    <t>ManagersList</t>
  </si>
  <si>
    <t>Employee/ManagersList</t>
  </si>
  <si>
    <t>Employee/Managers</t>
  </si>
  <si>
    <t>ServiceProvidersList</t>
  </si>
  <si>
    <t>MyHubProviderList</t>
  </si>
  <si>
    <t>EmployeeHubs</t>
  </si>
  <si>
    <t>RequestorHubServiceProviders</t>
  </si>
  <si>
    <t>The service providers who are assigned to hubs that are assigned to the requestor</t>
  </si>
  <si>
    <t>myHubProviders</t>
  </si>
  <si>
    <t>CustomerList</t>
  </si>
  <si>
    <t>HubList</t>
  </si>
  <si>
    <t>ServiceList</t>
  </si>
  <si>
    <t>ItemList</t>
  </si>
  <si>
    <t>ShelveList</t>
  </si>
  <si>
    <t>PriceList</t>
  </si>
  <si>
    <t>IdentityLabelList</t>
  </si>
  <si>
    <t>OrderList</t>
  </si>
  <si>
    <t>InvoiceList</t>
  </si>
  <si>
    <t>ReceiptList</t>
  </si>
  <si>
    <t>DeliveryList</t>
  </si>
  <si>
    <t>HubShiftList</t>
  </si>
  <si>
    <t>Hub Shifts</t>
  </si>
  <si>
    <t>(Lists) Owner/OwnerList</t>
  </si>
  <si>
    <t>(Lists) Employee/EmployeeList</t>
  </si>
  <si>
    <t>(Lists) Employee/ManagersList</t>
  </si>
  <si>
    <t>(Lists) Employee/ServiceProvidersList</t>
  </si>
  <si>
    <t>(Lists) Customer/CustomerList</t>
  </si>
  <si>
    <t>(Lists) Hub/HubList</t>
  </si>
  <si>
    <t>(Lists) Service/ServiceList</t>
  </si>
  <si>
    <t>(Lists) Item/ItemList</t>
  </si>
  <si>
    <t>(Lists) Shelf/ShelveList</t>
  </si>
  <si>
    <t>(Lists) Pricelist/PriceList</t>
  </si>
  <si>
    <t>(Lists) IdentityLabel/IdentityLabelList</t>
  </si>
  <si>
    <t>(Lists) Order/OrderList</t>
  </si>
  <si>
    <t>(Lists) Invoice/InvoiceList</t>
  </si>
  <si>
    <t>(Lists) Receipt/ReceiptList</t>
  </si>
  <si>
    <t>(Lists) Delivery/DeliveryList</t>
  </si>
  <si>
    <t>(Lists) HubShift/HubShiftList</t>
  </si>
  <si>
    <t>OwnerListAction</t>
  </si>
  <si>
    <t>EmployeeListAction</t>
  </si>
  <si>
    <t>ManagerListAction</t>
  </si>
  <si>
    <t>ProviderListAction</t>
  </si>
  <si>
    <t>CustomerListAction</t>
  </si>
  <si>
    <t>HubListAction</t>
  </si>
  <si>
    <t>ServiceListAction</t>
  </si>
  <si>
    <t>ItemListAction</t>
  </si>
  <si>
    <t>ShelfListAction</t>
  </si>
  <si>
    <t>PriceListAction</t>
  </si>
  <si>
    <t>LabelListAction</t>
  </si>
  <si>
    <t>OrderListAction</t>
  </si>
  <si>
    <t>InvoiceListAction</t>
  </si>
  <si>
    <t>ReceiptListAction</t>
  </si>
  <si>
    <t>DeliveryListAction</t>
  </si>
  <si>
    <t>HubShiftListAction</t>
  </si>
  <si>
    <t>Employee/ServiceProvidersList</t>
  </si>
  <si>
    <t>ServiceProviders</t>
  </si>
  <si>
    <t>Employee/ServiceProviders</t>
  </si>
  <si>
    <t>Owner/OwnerList</t>
  </si>
  <si>
    <t>Employee/EmployeeList</t>
  </si>
  <si>
    <t>Employee/Services</t>
  </si>
  <si>
    <t>Employee/Hubs</t>
  </si>
  <si>
    <t>Customer/CustomerList</t>
  </si>
  <si>
    <t>Phone</t>
  </si>
  <si>
    <t>Hub/HubList</t>
  </si>
  <si>
    <t>Service/ServiceList</t>
  </si>
  <si>
    <t>Cost</t>
  </si>
  <si>
    <t>Service/Prices</t>
  </si>
  <si>
    <t>Item/ItemList</t>
  </si>
  <si>
    <t>ItemService/Service</t>
  </si>
  <si>
    <t>Shelf/ShelveList</t>
  </si>
  <si>
    <t>Shelf/Hub</t>
  </si>
  <si>
    <t>Pricelist/PriceList</t>
  </si>
  <si>
    <t>IdentityLabel/IdentityLabelList</t>
  </si>
  <si>
    <t>Current</t>
  </si>
  <si>
    <t>Code</t>
  </si>
  <si>
    <t>IdentityLabel/Item</t>
  </si>
  <si>
    <t>Order/OrderList</t>
  </si>
  <si>
    <t>Progress</t>
  </si>
  <si>
    <t>Order/Customer</t>
  </si>
  <si>
    <t>Invoice/InvoiceList</t>
  </si>
  <si>
    <t>Invoice/Customer</t>
  </si>
  <si>
    <t>Invoice/Order</t>
  </si>
  <si>
    <t>Receipt/ReceiptList</t>
  </si>
  <si>
    <t>Receipt/Invoice</t>
  </si>
  <si>
    <t>Invoice Progress</t>
  </si>
  <si>
    <t>Delivery/DeliveryList</t>
  </si>
  <si>
    <t>Delivery/Hub</t>
  </si>
  <si>
    <t>HubShift/HubShiftList</t>
  </si>
  <si>
    <t>From</t>
  </si>
  <si>
    <t>To</t>
  </si>
  <si>
    <t>HubShift/Source</t>
  </si>
  <si>
    <t>HubShift/Target</t>
  </si>
  <si>
    <t>Delivery/Order</t>
  </si>
  <si>
    <t>(Relation) Hub/Users</t>
  </si>
  <si>
    <t>HubEmployeeManageAction</t>
  </si>
  <si>
    <t>Mange Employees</t>
  </si>
  <si>
    <t>ManageRelation</t>
  </si>
  <si>
    <t>Hub/HubEmployeeManageAction</t>
  </si>
  <si>
    <t>List of hubs a employee belongs</t>
  </si>
  <si>
    <t>Hub-HubUsers</t>
  </si>
  <si>
    <t>List of users belongs to a hub</t>
  </si>
  <si>
    <t>EmployeeGroup-Displayable</t>
  </si>
  <si>
    <t>The groups which can be viewable while fetching employee groups</t>
  </si>
  <si>
    <t>GroupsDisplayable</t>
  </si>
  <si>
    <t>Employee/GroupsDisplayable</t>
  </si>
  <si>
    <t>ManagersManageHubAction</t>
  </si>
  <si>
    <t>Add/Remove Hubs</t>
  </si>
  <si>
    <t>(Relation) Employee/Hubs</t>
  </si>
  <si>
    <t>Employee/ManagersManageHubAction</t>
  </si>
  <si>
    <t>ProvidersManageHubs</t>
  </si>
  <si>
    <t>Employee/ProvidersManageHubs</t>
  </si>
  <si>
    <t>ProvidersManageServices</t>
  </si>
  <si>
    <t>Add/Remove Services</t>
  </si>
  <si>
    <t>(Relation) Employee/Services</t>
  </si>
  <si>
    <t>Employee/ProvidersManageServices</t>
  </si>
  <si>
    <t>UpdateEmployeeDetails</t>
  </si>
  <si>
    <t>Add Service Provider</t>
  </si>
  <si>
    <t>Save Employee</t>
  </si>
  <si>
    <t>Edit Employee Details</t>
  </si>
  <si>
    <t>Update Details</t>
  </si>
  <si>
    <t>Employee/UpdateEmployeeDetails</t>
  </si>
  <si>
    <t>Employee/UpdateEmployeeDetails/name</t>
  </si>
  <si>
    <t>Employee/UpdateEmployeeDetails/email</t>
  </si>
  <si>
    <t>Employee/UpdateEmployeeDetails/password</t>
  </si>
  <si>
    <t>View Details</t>
  </si>
  <si>
    <t>UserServicesListAction</t>
  </si>
  <si>
    <t>View Services</t>
  </si>
  <si>
    <t>ListRelation</t>
  </si>
  <si>
    <t>(Relation) Service/Providers</t>
  </si>
  <si>
    <t>Service/UserServicesListAction</t>
  </si>
  <si>
    <t>HubServicesListAction</t>
  </si>
  <si>
    <t>(Relation) Hub/Services</t>
  </si>
  <si>
    <t>Hub/HubServicesListAction</t>
  </si>
  <si>
    <t>ServiceHubsListAction</t>
  </si>
  <si>
    <t>View Hubs</t>
  </si>
  <si>
    <t>(Relation) Service/Hubs</t>
  </si>
  <si>
    <t>Service/ServiceHubsListAction</t>
  </si>
  <si>
    <t>UpdateEmployeeAction</t>
  </si>
  <si>
    <t>(Forms) Employee/UpdateEmployeeDetails</t>
  </si>
  <si>
    <t>Employee/UpdateEmployeeAction</t>
  </si>
  <si>
    <t>Hub/Users</t>
  </si>
  <si>
    <t>Hub/Services</t>
  </si>
  <si>
    <t>Hub/Shelves</t>
  </si>
  <si>
    <t>Hub/DefaultShelf</t>
  </si>
  <si>
    <t>Hub Details</t>
  </si>
  <si>
    <t>Service/Providers</t>
  </si>
  <si>
    <t>Shelf/Items</t>
  </si>
  <si>
    <t>UpdateHubAction</t>
  </si>
  <si>
    <t>Hub/UpdateHubAction</t>
  </si>
  <si>
    <t>View Providers</t>
  </si>
  <si>
    <t>UserService/User</t>
  </si>
  <si>
    <t>User/Groups</t>
  </si>
  <si>
    <t>UserService/Service</t>
  </si>
  <si>
    <t>HubData</t>
  </si>
  <si>
    <t>EmployeeData</t>
  </si>
  <si>
    <t>CustomerData</t>
  </si>
  <si>
    <t>Employee/EmployeeData</t>
  </si>
  <si>
    <t>Hub/HubData</t>
  </si>
  <si>
    <t>(Data) Employee/EmployeeData</t>
  </si>
  <si>
    <t>(Data) Hub/HubData</t>
  </si>
  <si>
    <t>Customer/CustomerData</t>
  </si>
  <si>
    <t>Employee/EmployeeData/1</t>
  </si>
  <si>
    <t>Hub/HubData/1</t>
  </si>
  <si>
    <t>Hub/HubData/2</t>
  </si>
  <si>
    <t>Hub/HubData/3</t>
  </si>
  <si>
    <t>Hub/HubData/4</t>
  </si>
  <si>
    <t>CustomerDataAction</t>
  </si>
  <si>
    <t>HubDataAction</t>
  </si>
  <si>
    <t>EmployeeDataAction</t>
  </si>
  <si>
    <t>(Data) Customer/CustomerData</t>
  </si>
  <si>
    <t>UpdateCustomerAction</t>
  </si>
  <si>
    <t>Edit Customer</t>
  </si>
  <si>
    <t>Edit Hub</t>
  </si>
  <si>
    <t>Edit Employee</t>
  </si>
  <si>
    <t>Customer/CustomerDataAction</t>
  </si>
  <si>
    <t>Customer/UpdateCustomerAction</t>
  </si>
  <si>
    <t>Employee/EmployeeDataAction</t>
  </si>
  <si>
    <t>Hub/HubDataAction</t>
  </si>
  <si>
    <t>Customer/CustomerData/1</t>
  </si>
  <si>
    <t>ServiceData</t>
  </si>
  <si>
    <t>ServiceDataAction</t>
  </si>
  <si>
    <t>(Data) Service/ServiceData</t>
  </si>
  <si>
    <t>Service/ServiceDataAction</t>
  </si>
  <si>
    <t>Service/ServiceData</t>
  </si>
  <si>
    <t>Service/Hubs</t>
  </si>
  <si>
    <t>Service/Items</t>
  </si>
  <si>
    <t>PricelistContent/Pricelist</t>
  </si>
  <si>
    <t>Service/ServiceData/1</t>
  </si>
  <si>
    <t>Service/ServiceData/2</t>
  </si>
  <si>
    <t>Service/ServiceData/3</t>
  </si>
  <si>
    <t>Service/ServiceData/4</t>
  </si>
  <si>
    <t>Item Service</t>
  </si>
  <si>
    <t>UpdateServiceAction</t>
  </si>
  <si>
    <t>Edit Service</t>
  </si>
  <si>
    <t>Service/UpdateServiceAction</t>
  </si>
  <si>
    <t>read_name</t>
  </si>
  <si>
    <t>ListHubShelvesAction</t>
  </si>
  <si>
    <t>List Shelves</t>
  </si>
  <si>
    <t>(Relation) Hub/Shelves</t>
  </si>
  <si>
    <t>Hub/ListHubShelvesAction</t>
  </si>
  <si>
    <t>AddHubShelfAction</t>
  </si>
  <si>
    <t>Add Shelf</t>
  </si>
  <si>
    <t>AddRelation</t>
  </si>
  <si>
    <t>(Fields) Shelf/CreateNewShelfForm/hub</t>
  </si>
  <si>
    <t>ListPLContentsAction</t>
  </si>
  <si>
    <t>List Contents</t>
  </si>
  <si>
    <t>(Relation) Pricelist/Contents</t>
  </si>
  <si>
    <t>PLContentsList</t>
  </si>
  <si>
    <t>PricelistContent/PLContentsList</t>
  </si>
  <si>
    <t>PricelistContent/ItemService</t>
  </si>
  <si>
    <t>(Lists) PricelistContent/PLContentsList</t>
  </si>
  <si>
    <t>Pricelist/ListPLContentsAction</t>
  </si>
  <si>
    <t>AddPLContentsAction</t>
  </si>
  <si>
    <t>Add Content</t>
  </si>
  <si>
    <t>(Forms) PricelistContent/AddContentsToPL</t>
  </si>
  <si>
    <t>(Fields) PricelistContent/AddContentsToPL/pl</t>
  </si>
  <si>
    <t>ListItemsServicesAction</t>
  </si>
  <si>
    <t>Service List</t>
  </si>
  <si>
    <t>ItemServiceList</t>
  </si>
  <si>
    <t>ItemService/ItemServiceList</t>
  </si>
  <si>
    <t>ItemService/Item</t>
  </si>
  <si>
    <t>ItemService/Price</t>
  </si>
  <si>
    <t>price_and_pl</t>
  </si>
  <si>
    <t>(Lists) ItemService/ItemServiceList</t>
  </si>
  <si>
    <t>Item/ListItemsServicesAction</t>
  </si>
  <si>
    <t>AddServiceToItemAction</t>
  </si>
  <si>
    <t>Add Service</t>
  </si>
  <si>
    <t>(Forms) ItemService/AddServicesToItemForm</t>
  </si>
  <si>
    <t>(Fields) ItemService/AddServicesToItemForm/item</t>
  </si>
  <si>
    <t>ServiceDiffPriceList</t>
  </si>
  <si>
    <t>(Relation) Service/Prices</t>
  </si>
  <si>
    <t>Service/ServiceDiffPriceList</t>
  </si>
  <si>
    <t>OrderItemsList</t>
  </si>
  <si>
    <t>OrderItem/OrderItemsList</t>
  </si>
  <si>
    <t>OrderItem/Item</t>
  </si>
  <si>
    <t>OrderItem/Label</t>
  </si>
  <si>
    <t>OrderItem/Shelf</t>
  </si>
  <si>
    <t>OrderItemsListAction</t>
  </si>
  <si>
    <t>View Items</t>
  </si>
  <si>
    <t>(Relation) Order/Items</t>
  </si>
  <si>
    <t>(Lists) OrderItem/OrderItemsList</t>
  </si>
  <si>
    <t>Order/OrderItemsListAction</t>
  </si>
  <si>
    <t>hub_shelf_name</t>
  </si>
  <si>
    <t>OIS</t>
  </si>
  <si>
    <t>OrderItemServices</t>
  </si>
  <si>
    <t>OISList</t>
  </si>
  <si>
    <t>OI Services</t>
  </si>
  <si>
    <t>OrderItemService/OISList</t>
  </si>
  <si>
    <t>OrderItemService/OrderItem</t>
  </si>
  <si>
    <t>Order Item</t>
  </si>
  <si>
    <t>OrderItemService/Service</t>
  </si>
  <si>
    <t>OrderItemService/Users</t>
  </si>
  <si>
    <t>AssignedUsers</t>
  </si>
  <si>
    <t>The list of users assigned to provide service</t>
  </si>
  <si>
    <t>List of users responsible to provide service</t>
  </si>
  <si>
    <t>OISListAction</t>
  </si>
  <si>
    <t>Service Details</t>
  </si>
  <si>
    <t>(Relation) OrderItem/OIS</t>
  </si>
  <si>
    <t>(Lists) OrderItemService/OISList</t>
  </si>
  <si>
    <t>OrderItem/OISListAction</t>
  </si>
  <si>
    <t>OISUList</t>
  </si>
  <si>
    <t>OrderItemServiceUser/OISUList</t>
  </si>
  <si>
    <t>OrderItemServiceUser/OIS</t>
  </si>
  <si>
    <t>OrderItemServiceUser/User</t>
  </si>
  <si>
    <t>OI Service</t>
  </si>
  <si>
    <t>Service Start At</t>
  </si>
  <si>
    <t>Service End At</t>
  </si>
  <si>
    <t>Serviced Time</t>
  </si>
  <si>
    <t>Total Time</t>
  </si>
  <si>
    <t>AssignedBy</t>
  </si>
  <si>
    <t>The user who assigned this service to a provider</t>
  </si>
  <si>
    <t>assigned</t>
  </si>
  <si>
    <t>Provider</t>
  </si>
  <si>
    <t>OISUListAction</t>
  </si>
  <si>
    <t>User Progress</t>
  </si>
  <si>
    <t>(Relation) OrderItemService/Assigned</t>
  </si>
  <si>
    <t>(Lists) OrderItemServiceUser/OISUList</t>
  </si>
  <si>
    <t>OrderItemService/OISUListAction</t>
  </si>
  <si>
    <t>OIS Users</t>
  </si>
  <si>
    <t>available</t>
  </si>
  <si>
    <t>The labels which are available to attach</t>
  </si>
  <si>
    <t>AvailableLabels</t>
  </si>
  <si>
    <t>ActiveLabels</t>
  </si>
  <si>
    <t>The labels which are active means, not deleted or lost</t>
  </si>
  <si>
    <t>active</t>
  </si>
  <si>
    <t>Available Labels</t>
  </si>
  <si>
    <t>AvailableLabelsList</t>
  </si>
  <si>
    <t>IdentityLabel/AvailableLabelsList</t>
  </si>
  <si>
    <t>IdentityLabel/AvailableLabels</t>
  </si>
  <si>
    <t>IdentityLabel/ActiveLabels</t>
  </si>
  <si>
    <t>ItemsServiceList</t>
  </si>
  <si>
    <t>List all services applicable on item</t>
  </si>
  <si>
    <t>(Relation) Item/ItemServices</t>
  </si>
  <si>
    <t>EmployeeHubManageAction</t>
  </si>
  <si>
    <t>Employee/EmployeeHubManageAction</t>
  </si>
  <si>
    <t>['New','In Service','Service Completed','Ready To Deliver','Delivered Partially','Delivered']</t>
  </si>
  <si>
    <t>RecentOrderList</t>
  </si>
  <si>
    <t>RecentOrders</t>
  </si>
  <si>
    <t>The orders which have date beyond the recent limit</t>
  </si>
  <si>
    <t>recent</t>
  </si>
  <si>
    <t>Undelivered</t>
  </si>
  <si>
    <t>undelivered</t>
  </si>
  <si>
    <t>The orders whose progress is not delivered</t>
  </si>
  <si>
    <t>The orders whose progress is in service</t>
  </si>
  <si>
    <t>processing</t>
  </si>
  <si>
    <t>Recent Orders</t>
  </si>
  <si>
    <t>Order/RecentOrderList</t>
  </si>
  <si>
    <t>Order/RecentOrders</t>
  </si>
  <si>
    <t>HubRecentOrderListAction</t>
  </si>
  <si>
    <t>(Relation) Hub/Orders</t>
  </si>
  <si>
    <t>(Lists) Order/RecentOrderList</t>
  </si>
  <si>
    <t>Hub/HubRecentOrderListAction</t>
  </si>
  <si>
    <t>ShelfData</t>
  </si>
  <si>
    <t>Shelf/ShelfData</t>
  </si>
  <si>
    <t>Shelf/ShelfData/1</t>
  </si>
  <si>
    <t>Current Items</t>
  </si>
  <si>
    <t>ShelfDataAction</t>
  </si>
  <si>
    <t>Shelf Details</t>
  </si>
  <si>
    <t>(Data) Shelf/ShelfData</t>
  </si>
  <si>
    <t>Shelf/ShelfDataAction</t>
  </si>
  <si>
    <t>UpdateShelfAction</t>
  </si>
  <si>
    <t>Edit Detail</t>
  </si>
  <si>
    <t>Shelf/UpdateShelfAction</t>
  </si>
  <si>
    <t>=</t>
  </si>
  <si>
    <t>Yes</t>
  </si>
  <si>
    <t>CustomerOrdersList</t>
  </si>
  <si>
    <t>Customer/CustomerOrdersList</t>
  </si>
  <si>
    <t>(Relation) Customer/Orders</t>
  </si>
  <si>
    <t>Delivery Date (yyyy-mm-dd)</t>
  </si>
  <si>
    <t>OrderItem/UpdateOrderItem/status</t>
  </si>
  <si>
    <t>OrderItemData</t>
  </si>
  <si>
    <t>OrderItem/OrderItemData</t>
  </si>
  <si>
    <t>OrderItem/OIS</t>
  </si>
  <si>
    <t>OrderItem/OrderItemData/1</t>
  </si>
  <si>
    <t>Service Users</t>
  </si>
  <si>
    <t>OrderItem/OrderItemData/2</t>
  </si>
  <si>
    <t>(Data) OrderItem/OrderItemData</t>
  </si>
  <si>
    <t>EditOrderItemAction</t>
  </si>
  <si>
    <t>Edit Details</t>
  </si>
  <si>
    <t>(Forms) OrderItem/UpdateOrderItem</t>
  </si>
  <si>
    <t>OrderItem/EditOrderItemAction</t>
  </si>
  <si>
    <t>Add New Order</t>
  </si>
  <si>
    <t>(Fields) Order/NewOrderForm/customer</t>
  </si>
  <si>
    <t>EditItemServiceAction</t>
  </si>
  <si>
    <t>(Forms) ItemService/UpdateItemsService</t>
  </si>
  <si>
    <t>ItemServiceEditData</t>
  </si>
  <si>
    <t>(Data) ItemService/ItemServiceEditData</t>
  </si>
  <si>
    <t>ItemService/EditItemServiceAction</t>
  </si>
  <si>
    <t>AddCustomerOrderAction</t>
  </si>
  <si>
    <t>IdentityLabel/NewIdentityLabelForm/hub</t>
  </si>
  <si>
    <t>LabelEditData</t>
  </si>
  <si>
    <t>EditLabelAction</t>
  </si>
  <si>
    <t>Edit</t>
  </si>
  <si>
    <t>(Data) IdentityLabel/LabelEditData</t>
  </si>
  <si>
    <t>IdentityLabel/EditLabelAction</t>
  </si>
  <si>
    <t>EditPricelistForm</t>
  </si>
  <si>
    <t>Pricelist/EditPricelistForm</t>
  </si>
  <si>
    <t>Pricelist/EditPricelistForm/name</t>
  </si>
  <si>
    <t>Pricelist/EditPricelistForm/description</t>
  </si>
  <si>
    <t>Pricelist/EditPricelistForm/status</t>
  </si>
  <si>
    <t>PricelistEditData</t>
  </si>
  <si>
    <t>UpdatePricelistAction</t>
  </si>
  <si>
    <t>(Forms) Pricelist/EditPricelistForm</t>
  </si>
  <si>
    <t>(Data) Pricelist/PricelistEditData</t>
  </si>
  <si>
    <t>Pricelist/UpdatePricelistAction</t>
  </si>
  <si>
    <t>ActivePL</t>
  </si>
  <si>
    <t>Content which has active price list master</t>
  </si>
  <si>
    <t>activePL</t>
  </si>
  <si>
    <t>ItemEditData</t>
  </si>
  <si>
    <t>EditItemForm</t>
  </si>
  <si>
    <t>Edit Item</t>
  </si>
  <si>
    <t>Update Item</t>
  </si>
  <si>
    <t>Item/EditItemForm</t>
  </si>
  <si>
    <t>UpdateItemAction</t>
  </si>
  <si>
    <t>(Forms) Item/EditItemForm</t>
  </si>
  <si>
    <t>(Data) Item/ItemEditData</t>
  </si>
  <si>
    <t>Item/UpdateItemAction</t>
  </si>
  <si>
    <t>LabelParentHub</t>
  </si>
  <si>
    <t>Hub detail where the label belongs to</t>
  </si>
  <si>
    <t>IdentityLabel/Hub</t>
  </si>
  <si>
    <t>OrderEditData</t>
  </si>
  <si>
    <t>EditOrderForm</t>
  </si>
  <si>
    <t>Edit Order</t>
  </si>
  <si>
    <t>Update Order</t>
  </si>
  <si>
    <t>Order/EditOrderForm</t>
  </si>
  <si>
    <t>UpdateOrderAction</t>
  </si>
  <si>
    <t>(Forms) Order/EditOrderForm</t>
  </si>
  <si>
    <t>(Data) Order/OrderEditData</t>
  </si>
  <si>
    <t>Order/UpdateOrderAction</t>
  </si>
  <si>
    <t>Item/ItemServices</t>
  </si>
  <si>
    <t>OrderPricelist</t>
  </si>
  <si>
    <t>The pricelist applied to a order</t>
  </si>
  <si>
    <t>(Relation) Order/Invoice</t>
  </si>
  <si>
    <t>CustomerInvoicesListAction</t>
  </si>
  <si>
    <t>Customer/CustomerInvoicesListAction</t>
  </si>
  <si>
    <t>OrderInvoiceListAction</t>
  </si>
  <si>
    <t>Order/OrderInvoiceListAction</t>
  </si>
  <si>
    <t>InvoiceItemsListAction</t>
  </si>
  <si>
    <t>InvoiceItemsList</t>
  </si>
  <si>
    <t>InvoiceItem/InvoiceItemsList</t>
  </si>
  <si>
    <t>InvoiceItem/Item</t>
  </si>
  <si>
    <t>InvoiceItem/Service</t>
  </si>
  <si>
    <t>(Relation) Invoice/Items</t>
  </si>
  <si>
    <t>(Lists) InvoiceItem/InvoiceItemsList</t>
  </si>
  <si>
    <t>Invoice/InvoiceItemsListAction</t>
  </si>
  <si>
    <t>Total</t>
  </si>
  <si>
    <t>total</t>
  </si>
  <si>
    <t>(Relation) Customer/Invoices</t>
  </si>
  <si>
    <t>PendingInvoices</t>
  </si>
  <si>
    <t>pending</t>
  </si>
  <si>
    <t>PendingInvoiceList</t>
  </si>
  <si>
    <t>Invoice/PendingInvoiceList</t>
  </si>
  <si>
    <t>Invoice/PendingInvoices</t>
  </si>
  <si>
    <t>All Invoices</t>
  </si>
  <si>
    <t>Pending Invoices</t>
  </si>
  <si>
    <t>Pending</t>
  </si>
  <si>
    <t>(Lists) Invoice/PendingInvoiceList</t>
  </si>
  <si>
    <t>CustomerPendingInvoices</t>
  </si>
  <si>
    <t>Customer/CustomerPendingInvoices</t>
  </si>
  <si>
    <t>InvoiceAddReceiptAction</t>
  </si>
  <si>
    <t>Add Receipt</t>
  </si>
  <si>
    <t>(Relation) Invoice/Receipts</t>
  </si>
  <si>
    <t>(Fields) Receipt/NewReceiptForm/invoice</t>
  </si>
  <si>
    <t>Invoice/InvoiceAddReceiptAction</t>
  </si>
  <si>
    <t>InvoiceReceiptsList</t>
  </si>
  <si>
    <t>View Receipts</t>
  </si>
  <si>
    <t>Invoice/InvoiceReceiptsList</t>
  </si>
  <si>
    <t>OrderController</t>
  </si>
  <si>
    <t>Firumon\LLM\Controller</t>
  </si>
  <si>
    <t>ReceiptController</t>
  </si>
  <si>
    <t>getCurrentDateDependentValue</t>
  </si>
  <si>
    <t>getBalanceReceiptAmount</t>
  </si>
  <si>
    <t>Paid</t>
  </si>
  <si>
    <t>paid</t>
  </si>
  <si>
    <t>PaidInvoiceList</t>
  </si>
  <si>
    <t>Paid Invoices</t>
  </si>
  <si>
    <t>Invoice/PaidInvoiceList</t>
  </si>
  <si>
    <t>PaidInvoices</t>
  </si>
  <si>
    <t>Invoices which are not paid</t>
  </si>
  <si>
    <t>Invoices which are paid</t>
  </si>
  <si>
    <t>Invoice/PaidInvoices</t>
  </si>
  <si>
    <t>PaidInvoiceListAction</t>
  </si>
  <si>
    <t>(Lists) Invoice/PaidInvoiceList</t>
  </si>
  <si>
    <t>OISAssignUsersAction</t>
  </si>
  <si>
    <t>Assign Providers</t>
  </si>
  <si>
    <t>(Forms) OrderItemServiceUser/AssignProviderToOIS</t>
  </si>
  <si>
    <t>OrderItemService/OISAssignUsersAction</t>
  </si>
  <si>
    <t>(Fields) OrderItemServiceUser/AssignProviderToOIS/ois</t>
  </si>
  <si>
    <t>Order/Hub</t>
  </si>
  <si>
    <t>Add Provider to OIS</t>
  </si>
  <si>
    <t>OrderItemHub</t>
  </si>
  <si>
    <t>The hub in which the Item currently resides</t>
  </si>
  <si>
    <t>HubOrderItems</t>
  </si>
  <si>
    <t>The order items in a hub currently</t>
  </si>
  <si>
    <t>OrderItem/Hub</t>
  </si>
  <si>
    <t>Current Hub</t>
  </si>
  <si>
    <t>Employee/MyHubProviderList</t>
  </si>
  <si>
    <t>Employee/RequestorHubServiceProviders</t>
  </si>
  <si>
    <t>OrderItem/UpdateOrderItem/hub</t>
  </si>
  <si>
    <t>name_and_services</t>
  </si>
  <si>
    <t>HubShiftController</t>
  </si>
  <si>
    <t>OwnHubs</t>
  </si>
  <si>
    <t>Only hubs which are assigned to the request user</t>
  </si>
  <si>
    <t>ownHubs</t>
  </si>
  <si>
    <t>OwnHubList</t>
  </si>
  <si>
    <t>Hub/OwnHubList</t>
  </si>
  <si>
    <t>Hub/OwnHubs</t>
  </si>
  <si>
    <t>HubShiftEditData</t>
  </si>
  <si>
    <t>HubShiftUpdateAction</t>
  </si>
  <si>
    <t>(Data) HubShift/HubShiftEditData</t>
  </si>
  <si>
    <t>HubShift/HubShiftUpdateAction</t>
  </si>
  <si>
    <t>OwnHubItems</t>
  </si>
  <si>
    <t>The order items which belongs to the hubs assigned to the requestor</t>
  </si>
  <si>
    <t>ownHubItems</t>
  </si>
  <si>
    <t>OwnHubOrderItems</t>
  </si>
  <si>
    <t>OrderItem/OwnHubOrderItems</t>
  </si>
  <si>
    <t>OrderItem/OwnHubItems</t>
  </si>
  <si>
    <t>ManageHubShiftItems</t>
  </si>
  <si>
    <t>Add/Remove Items</t>
  </si>
  <si>
    <t>HubShift/ManageHubShiftItems</t>
  </si>
  <si>
    <t>ManageShiftItems</t>
  </si>
  <si>
    <t>ManageItems</t>
  </si>
  <si>
    <t>The list of order items which can be managed</t>
  </si>
  <si>
    <t>(Relation) HubShift/ManageItems</t>
  </si>
  <si>
    <t>EmployeeJobServices</t>
  </si>
  <si>
    <t>Tasks</t>
  </si>
  <si>
    <t>The job services assigned to an provider</t>
  </si>
  <si>
    <t>ManageEmployeeJobTasks</t>
  </si>
  <si>
    <t>Manage Tasks</t>
  </si>
  <si>
    <t>(Relation) Employee/Tasks</t>
  </si>
  <si>
    <t>Employee/ManageEmployeeJobTasks</t>
  </si>
  <si>
    <t>ManageServiceEmployees</t>
  </si>
  <si>
    <t>Add/Remove Employees</t>
  </si>
  <si>
    <t>(Relation) OrderItemService/Users</t>
  </si>
  <si>
    <t>OrderItemService/ManageServiceEmployees</t>
  </si>
  <si>
    <t>TaskList</t>
  </si>
  <si>
    <t>The job details assigned to an provider</t>
  </si>
  <si>
    <t>OwnHubOrders</t>
  </si>
  <si>
    <t>Order/OwnHubOrders</t>
  </si>
  <si>
    <t>The orders which are created from within hubs assigned</t>
  </si>
  <si>
    <t>ownHub</t>
  </si>
  <si>
    <t>OwnHubOrdersListAction</t>
  </si>
  <si>
    <t>(Lists) Order/OwnHubOrders</t>
  </si>
  <si>
    <t>OwnHubOrderItemServices</t>
  </si>
  <si>
    <t>The services which are to be performed from within assiged hubs</t>
  </si>
  <si>
    <t>OwnHubOISList</t>
  </si>
  <si>
    <t>OrderItemService/OwnHubOISList</t>
  </si>
  <si>
    <t>OrderItemService/OwnHubOrderItemServices</t>
  </si>
  <si>
    <t>(Lists) OrderItemService/OwnHubOISList</t>
  </si>
  <si>
    <t>JobsListAction</t>
  </si>
  <si>
    <t>Jobs</t>
  </si>
  <si>
    <t>OwnHubOISUs</t>
  </si>
  <si>
    <t>The Jobs which are available within own hub</t>
  </si>
  <si>
    <t>OwnJobs</t>
  </si>
  <si>
    <t>Jobs/Tasks which are assigned to the current user</t>
  </si>
  <si>
    <t>myJobs</t>
  </si>
  <si>
    <t>OwnHubOISUList</t>
  </si>
  <si>
    <t>OrderItemServiceUser/OwnHubOISUList</t>
  </si>
  <si>
    <t>OrderItemServiceUser/OwnHubOISUs</t>
  </si>
  <si>
    <t>Start</t>
  </si>
  <si>
    <t>End</t>
  </si>
  <si>
    <t>Service Time</t>
  </si>
  <si>
    <t>(Lists) OrderItemServiceUser/OwnHubOISUList</t>
  </si>
  <si>
    <t>OwnJobsListAction</t>
  </si>
  <si>
    <t>My Jobs</t>
  </si>
  <si>
    <t>MyJobs</t>
  </si>
  <si>
    <t>OrderItemServiceUser/MyJobs</t>
  </si>
  <si>
    <t>OrderItemServiceUser/OwnJobs</t>
  </si>
  <si>
    <t>Assigned On</t>
  </si>
  <si>
    <t>Started</t>
  </si>
  <si>
    <t>Ended</t>
  </si>
  <si>
    <t>new</t>
  </si>
  <si>
    <t>inService</t>
  </si>
  <si>
    <t>completed</t>
  </si>
  <si>
    <t>NewJobs</t>
  </si>
  <si>
    <t>InServiceJobs</t>
  </si>
  <si>
    <t>Jobs which are assigned but not started</t>
  </si>
  <si>
    <t>Jobs which are started but not finished</t>
  </si>
  <si>
    <t>Jobs which are finished</t>
  </si>
  <si>
    <t>NewJobsListAction</t>
  </si>
  <si>
    <t>New Jobs</t>
  </si>
  <si>
    <t>ServicingJobsListAction</t>
  </si>
  <si>
    <t>In Service Jobs</t>
  </si>
  <si>
    <t>CompletedJobsListAction</t>
  </si>
  <si>
    <t>Completed Jobs</t>
  </si>
  <si>
    <t>OrderItemServiceUser/NewJobs</t>
  </si>
  <si>
    <t>OrderItemServiceUser/InServiceJobs</t>
  </si>
  <si>
    <t>CompletedJobs</t>
  </si>
  <si>
    <t>OrderItemServiceUser/CompletedJobs</t>
  </si>
  <si>
    <t>OrderItemServiceUser/AssignedBy</t>
  </si>
  <si>
    <t>Assigned By</t>
  </si>
  <si>
    <t>Started At</t>
  </si>
  <si>
    <t>Ended At</t>
  </si>
  <si>
    <t>MyCompleted</t>
  </si>
  <si>
    <t>My New Jobs</t>
  </si>
  <si>
    <t>My Servicing Jobs</t>
  </si>
  <si>
    <t>My Completed Jobs</t>
  </si>
  <si>
    <t>OrderItemServiceUser/MyCompleted</t>
  </si>
  <si>
    <t>Servicing Jobs</t>
  </si>
  <si>
    <t>MyNewJobsList</t>
  </si>
  <si>
    <t>CompletedJobsList</t>
  </si>
  <si>
    <t>NewJobsList</t>
  </si>
  <si>
    <t>ServicingJobsList</t>
  </si>
  <si>
    <t>MyInServiceJobs</t>
  </si>
  <si>
    <t>(Lists) OrderItemServiceUser/MyJobs</t>
  </si>
  <si>
    <t>(Lists) OrderItemServiceUser/MyNewJobsList</t>
  </si>
  <si>
    <t>(Lists) OrderItemServiceUser/MyInServiceJobs</t>
  </si>
  <si>
    <t>(Lists) OrderItemServiceUser/MyCompleted</t>
  </si>
  <si>
    <t>OrderItemServiceUser/NewJobsList</t>
  </si>
  <si>
    <t>OrderItemServiceUser/ServicingJobsList</t>
  </si>
  <si>
    <t>OrderItemServiceUser/CompletedJobsList</t>
  </si>
  <si>
    <t>OrderItemServiceUser/MyNewJobsList</t>
  </si>
  <si>
    <t>OrderItemServiceUser/MyInServiceJobs</t>
  </si>
  <si>
    <t>Service Jobs</t>
  </si>
  <si>
    <t>OwnNewJobsListAction</t>
  </si>
  <si>
    <t>OwnServicingJobsListAction</t>
  </si>
  <si>
    <t>OwnCompletedJobsListAction</t>
  </si>
  <si>
    <t>(Lists) OrderItemServiceUser/NewJobsList</t>
  </si>
  <si>
    <t>(Lists) OrderItemServiceUser/ServicingJobsList</t>
  </si>
  <si>
    <t>(Lists) OrderItemServiceUser/CompletedJobsList</t>
  </si>
  <si>
    <t>JobStartForm</t>
  </si>
  <si>
    <t>Start Job</t>
  </si>
  <si>
    <t>OrderItemServiceUser/JobStartForm</t>
  </si>
  <si>
    <t>Start Date and Time</t>
  </si>
  <si>
    <t>OrderItemServiceUser/JobStartForm/start_at</t>
  </si>
  <si>
    <t>FinishJobForm</t>
  </si>
  <si>
    <t>Finish Job</t>
  </si>
  <si>
    <t>Done</t>
  </si>
  <si>
    <t>OrderItemServiceUser/FinishJobForm</t>
  </si>
  <si>
    <t>Finied on Date and Time</t>
  </si>
  <si>
    <t>OrderItemServiceUser/FinishJobForm/end_at</t>
  </si>
  <si>
    <t>StartJobAction</t>
  </si>
  <si>
    <t>(Forms) OrderItemServiceUser/JobStartForm</t>
  </si>
  <si>
    <t>(Forms) OrderItemServiceUser/FinishJobForm</t>
  </si>
  <si>
    <t>FinishJobAction</t>
  </si>
  <si>
    <t>OrderItemServiceData</t>
  </si>
  <si>
    <t>(Data) OrderItemServiceUser/OrderItemServiceData</t>
  </si>
  <si>
    <t>OrderItemServiceUser/StartJobAction</t>
  </si>
  <si>
    <t>Update Start Time</t>
  </si>
  <si>
    <t>Update Finish Time</t>
  </si>
  <si>
    <t>OrderItemServiceUser/FinishJobAction</t>
  </si>
  <si>
    <t>OrderItemServiceUserController</t>
  </si>
  <si>
    <t>currentStartAtDateTime</t>
  </si>
  <si>
    <t>currentEndAtDateTime</t>
  </si>
  <si>
    <t>All Jobs</t>
  </si>
  <si>
    <t>My All Jobs</t>
  </si>
  <si>
    <t>['New','In Service','Service Completed','Ready To Deliver','Delivered']</t>
  </si>
  <si>
    <t>OrderItemDeliveryRecord</t>
  </si>
  <si>
    <t>The record of delivery where this item belongs to</t>
  </si>
  <si>
    <t>DeliveryController</t>
  </si>
  <si>
    <t>ServiceCompletedOrders</t>
  </si>
  <si>
    <t>deliverable</t>
  </si>
  <si>
    <t>Orders which are deliverable</t>
  </si>
  <si>
    <t>DeliverableOrders</t>
  </si>
  <si>
    <t>Order/ServiceCompletedOrders</t>
  </si>
  <si>
    <t>Order/DeliverableOrders</t>
  </si>
  <si>
    <t>Order/OrderEditData</t>
  </si>
  <si>
    <t>Order/EditOrderForm/customer</t>
  </si>
  <si>
    <t>TaskAssignableServices</t>
  </si>
  <si>
    <t>assignable</t>
  </si>
  <si>
    <t>OwnHubAssignableOISList</t>
  </si>
  <si>
    <t>OrderItemService/OwnHubAssignableOISList</t>
  </si>
  <si>
    <t>OrderItemService/TaskAssignableServices</t>
  </si>
  <si>
    <t>(Lists) OrderItemService/OwnHubAssignableOISList</t>
  </si>
  <si>
    <t>UndeliveredOrders</t>
  </si>
  <si>
    <t>Order/Undelivered</t>
  </si>
  <si>
    <t>UndeliveredOwnHubOrders</t>
  </si>
  <si>
    <t>Order/UndeliveredOwnHubOrders</t>
  </si>
  <si>
    <t>All Orders</t>
  </si>
  <si>
    <t>(Lists) Order/UndeliveredOwnHubOrders</t>
  </si>
  <si>
    <t>UndeliveredOrderItems</t>
  </si>
  <si>
    <t>Order Item Services which are available to assign</t>
  </si>
  <si>
    <t>Order items which are undelivered</t>
  </si>
  <si>
    <t>OrderItem/UndeliveredOrderItems</t>
  </si>
  <si>
    <t>UndeliveredOwnHubOrderItems</t>
  </si>
  <si>
    <t>OrderItem/UndeliveredOwnHubOrderItems</t>
  </si>
  <si>
    <t>(Lists) OrderItem/UndeliveredOwnHubOrderItems</t>
  </si>
  <si>
    <t>owner@llm.com</t>
  </si>
  <si>
    <t>manager@llm.com</t>
  </si>
  <si>
    <t>provider@llm.com</t>
  </si>
  <si>
    <t>Only</t>
  </si>
  <si>
    <t>2133119,2133181</t>
  </si>
  <si>
    <t>Except</t>
  </si>
  <si>
    <t>OwnInvoices</t>
  </si>
  <si>
    <t>Invoices which of orders created in the hub assigned to requester</t>
  </si>
  <si>
    <t>own</t>
  </si>
  <si>
    <t>OwnInvoiceList</t>
  </si>
  <si>
    <t>Invoice/OwnInvoiceList</t>
  </si>
  <si>
    <t>Invoice/OwnInvoices</t>
  </si>
  <si>
    <t>OwnUnPaidInvoices</t>
  </si>
  <si>
    <t>Unpaid Invoices</t>
  </si>
  <si>
    <t>OwnPaidInvoices</t>
  </si>
  <si>
    <t>Invoice/OwnUnPaidInvoices</t>
  </si>
  <si>
    <t>Invoice/OwnPaidInvoices</t>
  </si>
  <si>
    <t>(Lists) Invoice/OwnInvoiceList</t>
  </si>
  <si>
    <t>OwnUnpaidInvoices</t>
  </si>
  <si>
    <t>Unpaid</t>
  </si>
  <si>
    <t>(Lists) Invoice/OwnUnPaidInvoices</t>
  </si>
  <si>
    <t>(Lists) Invoice/OwnPaidInvoices</t>
  </si>
  <si>
    <t>2133128,2133172,2133177</t>
  </si>
  <si>
    <t>2133185,2133187,2133188,2133189</t>
  </si>
  <si>
    <t>OwnReceipts</t>
  </si>
  <si>
    <t>Receipts which of own invoices</t>
  </si>
  <si>
    <t>Receipt/OwnReceipts</t>
  </si>
  <si>
    <t>OwnReceiptsAction</t>
  </si>
  <si>
    <t>(Lists) Receipt/OwnReceipts</t>
  </si>
  <si>
    <t>2133129</t>
  </si>
  <si>
    <t>OwnDeliveries</t>
  </si>
  <si>
    <t>Deliveries which are of own hubs</t>
  </si>
  <si>
    <t>Delivery/OwnDeliveries</t>
  </si>
  <si>
    <t>(Lists) Delivery/OwnDeliveries</t>
  </si>
  <si>
    <t>2133130</t>
  </si>
  <si>
    <t>OwnShift</t>
  </si>
  <si>
    <t>Shifts where either source or target hub assigned to assigner</t>
  </si>
  <si>
    <t>OwnHubShifts</t>
  </si>
  <si>
    <t>HubShift/OwnHubShifts</t>
  </si>
  <si>
    <t>HubShift/OwnShift</t>
  </si>
  <si>
    <t>(Lists) HubShift/OwnHubShifts</t>
  </si>
  <si>
    <t>2133131</t>
  </si>
  <si>
    <t>2133185,2133190,2133191,2133192,2133193,2133194</t>
  </si>
  <si>
    <t>quantity</t>
  </si>
  <si>
    <t>unsignedSmallInteger</t>
  </si>
  <si>
    <t>default('1')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</si>
</sst>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/>
    <xf numFmtId="0" fontId="13" fillId="0" borderId="0" xfId="0" applyNumberFormat="1" applyFont="1"/>
    <xf numFmtId="0" fontId="13" fillId="0" borderId="0" xfId="0" applyFont="1" applyBorder="1"/>
    <xf numFmtId="0" fontId="13" fillId="0" borderId="0" xfId="0" applyNumberFormat="1" applyFont="1" applyBorder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NumberFormat="1" applyFont="1" applyBorder="1" applyAlignment="1">
      <alignment horizontal="left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Border="1"/>
    <xf numFmtId="0" fontId="14" fillId="0" borderId="0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center"/>
    </xf>
    <xf numFmtId="0" fontId="4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/>
    <xf numFmtId="0" fontId="1" fillId="0" borderId="0" xfId="0" applyFont="1" applyFill="1" applyBorder="1"/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3" borderId="0" xfId="0" applyFont="1" applyFill="1" applyBorder="1"/>
    <xf numFmtId="0" fontId="13" fillId="4" borderId="0" xfId="0" applyFont="1" applyFill="1" applyBorder="1"/>
    <xf numFmtId="0" fontId="13" fillId="4" borderId="0" xfId="0" applyNumberFormat="1" applyFont="1" applyFill="1" applyBorder="1"/>
    <xf numFmtId="0" fontId="13" fillId="4" borderId="0" xfId="0" applyNumberFormat="1" applyFont="1" applyFill="1" applyBorder="1" applyAlignment="1">
      <alignment horizontal="left"/>
    </xf>
    <xf numFmtId="0" fontId="13" fillId="4" borderId="0" xfId="0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NumberFormat="1" applyFont="1" applyFill="1" applyBorder="1" applyAlignment="1">
      <alignment horizontal="center"/>
    </xf>
    <xf numFmtId="0" fontId="13" fillId="2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2" borderId="0" xfId="0" applyNumberFormat="1" applyFont="1" applyFill="1" applyBorder="1"/>
    <xf numFmtId="0" fontId="4" fillId="0" borderId="0" xfId="0" applyFont="1" applyBorder="1" applyAlignment="1">
      <alignment horizontal="left"/>
    </xf>
    <xf numFmtId="0" fontId="5" fillId="0" borderId="0" xfId="0" applyFont="1"/>
    <xf numFmtId="49" fontId="13" fillId="0" borderId="0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Border="1" applyAlignment="1">
      <alignment horizontal="left"/>
    </xf>
    <xf numFmtId="49" fontId="13" fillId="0" borderId="0" xfId="0" applyNumberFormat="1" applyFont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8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1" totalsRowShown="0" dataDxfId="467">
  <autoFilter ref="A1:J71"/>
  <tableColumns count="10">
    <tableColumn id="2" name="Name" dataDxfId="466"/>
    <tableColumn id="10" name="Table" dataDxfId="465">
      <calculatedColumnFormula>[Name]</calculatedColumnFormula>
    </tableColumn>
    <tableColumn id="5" name="Singular Name" dataDxfId="464">
      <calculatedColumnFormula>IF(RIGHT([Name],3)="ies",MID([Name],1,LEN([Name])-3)&amp;"y",IF(RIGHT([Name],1)="s",MID([Name],1,LEN([Name])-1),[Name]))</calculatedColumnFormula>
    </tableColumn>
    <tableColumn id="8" name="Model NS" dataDxfId="463">
      <calculatedColumnFormula>"Firumon\LLM\Model"</calculatedColumnFormula>
    </tableColumn>
    <tableColumn id="4" name="Class Name" dataDxfId="462">
      <calculatedColumnFormula>SUBSTITUTE(PROPER([Singular Name]),"_","")</calculatedColumnFormula>
    </tableColumn>
    <tableColumn id="1" name="Migration Artisan" dataDxfId="461">
      <calculatedColumnFormula>"php artisan make:migration create_"&amp;[Table]&amp;"_table --create="&amp;[Table]</calculatedColumnFormula>
    </tableColumn>
    <tableColumn id="6" name="Model Artisan" dataDxfId="460">
      <calculatedColumnFormula>"php artisan make:model "&amp;[Class Name]</calculatedColumnFormula>
    </tableColumn>
    <tableColumn id="3" name="Model Statement" dataDxfId="459">
      <calculatedColumnFormula>"protected $table = '"&amp;[Table]&amp;"';"</calculatedColumnFormula>
    </tableColumn>
    <tableColumn id="7" name="Seeder Artisan" dataDxfId="458">
      <calculatedColumnFormula>"php artisan make:seed "&amp;[Class Name]&amp;"TableSeeder"</calculatedColumnFormula>
    </tableColumn>
    <tableColumn id="9" name="Seeder Class" dataDxfId="45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103" totalsRowShown="0" headerRowDxfId="349" dataDxfId="348">
  <autoFilter ref="A1:Y103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7">
      <calculatedColumnFormula>'Table Seed Map'!$A$34&amp;"-"&amp;(COUNTA($E$1:ResourceAction[[#This Row],[Resource]])-2)</calculatedColumnFormula>
    </tableColumn>
    <tableColumn id="13" name="Display" dataDxfId="346">
      <calculatedColumnFormula>ResourceAction[[#This Row],[Resource Name]]&amp;"/"&amp;ResourceAction[[#This Row],[Name]]</calculatedColumnFormula>
    </tableColumn>
    <tableColumn id="2" name="Resource Name" dataDxfId="345"/>
    <tableColumn id="11" name="No" dataDxfId="344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3">
      <calculatedColumnFormula>IFERROR(VLOOKUP(ResourceAction[[#This Row],[Resource Name]],ResourceTable[[RName]:[No]],3,0),"resource")</calculatedColumnFormula>
    </tableColumn>
    <tableColumn id="4" name="Name" dataDxfId="342"/>
    <tableColumn id="6" name="Description" dataDxfId="341"/>
    <tableColumn id="7" name="Title" dataDxfId="340"/>
    <tableColumn id="8" name="Type" dataDxfId="339"/>
    <tableColumn id="9" name="Menu" dataDxfId="338"/>
    <tableColumn id="20" name="Primary Method" dataDxfId="337">
      <calculatedColumnFormula>'Table Seed Map'!$A$35&amp;"-"&amp;(COUNTA($E$1:ResourceAction[[#This Row],[Resource]])-2)</calculatedColumnFormula>
    </tableColumn>
    <tableColumn id="12" name="Method ID" dataDxfId="336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5">
      <calculatedColumnFormula>IF(ResourceAction[[#This Row],[No]]="id","resource_action",ResourceAction[[#This Row],[No]])</calculatedColumnFormula>
    </tableColumn>
    <tableColumn id="15" name="Method Type" dataDxfId="334"/>
    <tableColumn id="16" name="IDN 1" dataDxfId="333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2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1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0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9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8"/>
    <tableColumn id="22" name="IDN2" dataDxfId="327"/>
    <tableColumn id="24" name="IDN3" dataDxfId="326"/>
    <tableColumn id="25" name="IDN4" dataDxfId="325"/>
    <tableColumn id="23" name="IDN5" dataDxfId="324"/>
    <tableColumn id="1" name="AID" dataDxfId="323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66" totalsRowShown="0" headerRowDxfId="322" dataDxfId="321">
  <autoFilter ref="AA1:AL66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20"/>
    <tableColumn id="3" name="Action" dataDxfId="319">
      <calculatedColumnFormula>VLOOKUP(ActionListNData[[#This Row],[Action Name]],ResourceAction[[Display]:[No]],3,0)</calculatedColumnFormula>
    </tableColumn>
    <tableColumn id="5" name="Resource List" dataDxfId="318"/>
    <tableColumn id="6" name="Resource Data" dataDxfId="317"/>
    <tableColumn id="9" name="Primary List" dataDxfId="316">
      <calculatedColumnFormula>'Table Seed Map'!$A$37&amp;"-"&amp;-1+COUNTA($AC$1:ActionListNData[[#This Row],[Resource List]])</calculatedColumnFormula>
    </tableColumn>
    <tableColumn id="10" name="List ID" dataDxfId="315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4">
      <calculatedColumnFormula>ActionListNData[[#This Row],[Action]]</calculatedColumnFormula>
    </tableColumn>
    <tableColumn id="4" name="List" dataDxfId="313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2">
      <calculatedColumnFormula>'Table Seed Map'!$A$38&amp;"-"&amp;-1+COUNTA($AD$1:ActionListNData[[#This Row],[Resource Data]])</calculatedColumnFormula>
    </tableColumn>
    <tableColumn id="12" name="Data ID" dataDxfId="311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0">
      <calculatedColumnFormula>ActionListNData[[#This Row],[Action]]</calculatedColumnFormula>
    </tableColumn>
    <tableColumn id="2" name="Data" dataDxfId="309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8" dataDxfId="307">
  <autoFilter ref="AN1:AS2"/>
  <tableColumns count="6">
    <tableColumn id="1" name="Action Name for Attr" dataDxfId="306"/>
    <tableColumn id="5" name="Primary" dataDxfId="305">
      <calculatedColumnFormula>'Table Seed Map'!$A$36&amp;"-"&amp;(COUNTA($AN$2:ActionAttr[[#This Row],[Action Name for Attr]]))</calculatedColumnFormula>
    </tableColumn>
    <tableColumn id="6" name="No" dataDxfId="304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3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2"/>
    <tableColumn id="3" name="Value" dataDxfId="301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31" totalsRowShown="0" headerRowDxfId="300" dataDxfId="299">
  <autoFilter ref="A1:K31">
    <filterColumn colId="1"/>
    <filterColumn colId="2"/>
    <filterColumn colId="4"/>
    <filterColumn colId="7"/>
    <filterColumn colId="10"/>
  </autoFilter>
  <tableColumns count="11">
    <tableColumn id="1" name="Primary" dataDxfId="298">
      <calculatedColumnFormula>'Table Seed Map'!$A$11&amp;"-"&amp;(COUNTA($F$1:ResourceForms[[#This Row],[Resource]])-2)</calculatedColumnFormula>
    </tableColumn>
    <tableColumn id="11" name="FormName" dataDxfId="297">
      <calculatedColumnFormula>ResourceForms[[#This Row],[Resource Name]]&amp;"/"&amp;ResourceForms[[#This Row],[Name]]</calculatedColumnFormula>
    </tableColumn>
    <tableColumn id="10" name="No" dataDxfId="296">
      <calculatedColumnFormula>COUNTA($A$1:ResourceForms[[#This Row],[Primary]])-2</calculatedColumnFormula>
    </tableColumn>
    <tableColumn id="2" name="Resource Name" dataDxfId="295"/>
    <tableColumn id="12" name="ID" dataDxfId="294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3">
      <calculatedColumnFormula>IFERROR(VLOOKUP(ResourceForms[[#This Row],[Resource Name]],ResourceTable[[RName]:[No]],3,0),"resource")</calculatedColumnFormula>
    </tableColumn>
    <tableColumn id="4" name="Name" dataDxfId="292"/>
    <tableColumn id="5" name="Description" dataDxfId="291"/>
    <tableColumn id="6" name="Title" dataDxfId="290"/>
    <tableColumn id="7" name="Action Text" dataDxfId="289"/>
    <tableColumn id="8" name="Form ID" dataDxfId="288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89" headerRowDxfId="287" dataDxfId="286">
  <autoFilter ref="M1:BA89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5">
      <calculatedColumnFormula>'Table Seed Map'!$A$12&amp;"-"&amp;FormFields[[#This Row],[No]]</calculatedColumnFormula>
    </tableColumn>
    <tableColumn id="1" name="Form Name" totalsRowLabel="Total" dataDxfId="284"/>
    <tableColumn id="44" name="No" dataDxfId="283">
      <calculatedColumnFormula>COUNTA($N$1:FormFields[[#This Row],[Form Name]])-1</calculatedColumnFormula>
    </tableColumn>
    <tableColumn id="24" name="Field Name" dataDxfId="282">
      <calculatedColumnFormula>FormFields[[#This Row],[Form Name]]&amp;"/"&amp;FormFields[[#This Row],[Name]]</calculatedColumnFormula>
    </tableColumn>
    <tableColumn id="11" name="ID" dataDxfId="281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0">
      <calculatedColumnFormula>IFERROR(VLOOKUP(FormFields[[#This Row],[Form Name]],ResourceForms[[FormName]:[ID]],4,0),"resource_form")</calculatedColumnFormula>
    </tableColumn>
    <tableColumn id="3" name="Name" dataDxfId="279"/>
    <tableColumn id="4" name="Type" dataDxfId="278"/>
    <tableColumn id="5" name="Label" dataDxfId="277"/>
    <tableColumn id="6" name="Rel" dataDxfId="276"/>
    <tableColumn id="7" name="Rel1" dataDxfId="275"/>
    <tableColumn id="8" name="Rel2" dataDxfId="274"/>
    <tableColumn id="9" name="Rel3" dataDxfId="273"/>
    <tableColumn id="45" name="Primary FD" dataDxfId="272">
      <calculatedColumnFormula>'Table Seed Map'!$A$13&amp;"-"&amp;FormFields[[#This Row],[NO2]]</calculatedColumnFormula>
    </tableColumn>
    <tableColumn id="46" name="NO2" dataDxfId="271">
      <calculatedColumnFormula>COUNTIFS($AB$1:FormFields[[#This Row],[Exists]],1)-1</calculatedColumnFormula>
    </tableColumn>
    <tableColumn id="49" name="Exists" dataDxfId="270">
      <calculatedColumnFormula>IF(AND(FormFields[[#This Row],[Attribute]]="",FormFields[[#This Row],[Rel]]=""),0,1)</calculatedColumnFormula>
    </tableColumn>
    <tableColumn id="47" name="NO3" dataDxfId="269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8">
      <calculatedColumnFormula>IF(FormFields[[#This Row],[ID]]="id","form_field",FormFields[[#This Row],[ID]])</calculatedColumnFormula>
    </tableColumn>
    <tableColumn id="40" name="Attribute" dataDxfId="267">
      <calculatedColumnFormula>IF(FormFields[[#This Row],[No]]=0,"attribute",FormFields[[#This Row],[Name]])</calculatedColumnFormula>
    </tableColumn>
    <tableColumn id="12" name="Relation" dataDxfId="266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5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4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3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2">
      <calculatedColumnFormula>IF(OR(FormFields[[#This Row],[Option Type]]="",FormFields[[#This Row],[Option Type]]="type"),0,1)</calculatedColumnFormula>
    </tableColumn>
    <tableColumn id="50" name="Primary FO" dataDxfId="261">
      <calculatedColumnFormula>'Table Seed Map'!$A$14&amp;"-"&amp;FormFields[[#This Row],[NO4]]</calculatedColumnFormula>
    </tableColumn>
    <tableColumn id="51" name="NO4" dataDxfId="260">
      <calculatedColumnFormula>COUNTIF($AJ$2:FormFields[[#This Row],[Exists FO]],1)</calculatedColumnFormula>
    </tableColumn>
    <tableColumn id="53" name="NO5" dataDxfId="259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8">
      <calculatedColumnFormula>IF(FormFields[[#This Row],[ID]]="id","form_field",FormFields[[#This Row],[ID]])</calculatedColumnFormula>
    </tableColumn>
    <tableColumn id="18" name="Option Type" dataDxfId="257"/>
    <tableColumn id="19" name="Detail" dataDxfId="256"/>
    <tableColumn id="20" name="Value Attr" dataDxfId="255"/>
    <tableColumn id="21" name="Label Attr" dataDxfId="254"/>
    <tableColumn id="22" name="Preload" dataDxfId="253"/>
    <tableColumn id="67" name="Exists FL" dataDxfId="252">
      <calculatedColumnFormula>IF(OR(FormFields[[#This Row],[Colspan]]="",FormFields[[#This Row],[Colspan]]="colspan"),0,1)</calculatedColumnFormula>
    </tableColumn>
    <tableColumn id="68" name="Primary FL" dataDxfId="251">
      <calculatedColumnFormula>'Table Seed Map'!$A$19&amp;"-"&amp;FormFields[[#This Row],[NO8]]</calculatedColumnFormula>
    </tableColumn>
    <tableColumn id="69" name="NO8" dataDxfId="250">
      <calculatedColumnFormula>COUNTIF($AT$1:FormFields[[#This Row],[Exists FL]],1)</calculatedColumnFormula>
    </tableColumn>
    <tableColumn id="70" name="FL ID" dataDxfId="249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8">
      <calculatedColumnFormula>[Form]</calculatedColumnFormula>
    </tableColumn>
    <tableColumn id="42" name="Layout Field ID" dataDxfId="247">
      <calculatedColumnFormula>IF(FormFields[[#This Row],[ID]]="id","form_field",FormFields[[#This Row],[ID]])</calculatedColumnFormula>
    </tableColumn>
    <tableColumn id="43" name="Colspan" dataDxfId="246"/>
    <tableColumn id="16" name="Field ID" dataDxfId="245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5" totalsRowShown="0" headerRowDxfId="244" dataDxfId="243">
  <autoFilter ref="BC1:BH65">
    <filterColumn colId="1"/>
    <filterColumn colId="2"/>
    <filterColumn colId="3"/>
  </autoFilter>
  <tableColumns count="6">
    <tableColumn id="1" name="ATTR Field" dataDxfId="242"/>
    <tableColumn id="5" name="Primary" dataDxfId="241">
      <calculatedColumnFormula>'Table Seed Map'!$A$15&amp;"-"&amp;(-1+COUNTA($BC$1:FieldAttrs[[#This Row],[ATTR Field]]))</calculatedColumnFormula>
    </tableColumn>
    <tableColumn id="6" name="No" dataDxfId="240">
      <calculatedColumnFormula>IF(FieldAttrs[[#This Row],[ATTR Field]]="","id",-1+COUNTA($BC$1:FieldAttrs[[#This Row],[ATTR Field]])+VLOOKUP('Table Seed Map'!$A$15,SeedMap[],9,0))</calculatedColumnFormula>
    </tableColumn>
    <tableColumn id="4" name="Field" dataDxfId="239">
      <calculatedColumnFormula>IFERROR(VLOOKUP([ATTR Field],FormFields[[Field Name]:[ID]],2,0),"form_field")</calculatedColumnFormula>
    </tableColumn>
    <tableColumn id="2" name="Name" dataDxfId="238"/>
    <tableColumn id="3" name="Value" dataDxfId="237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4" totalsRowShown="0" headerRowDxfId="236" dataDxfId="235">
  <autoFilter ref="BJ1:BS14">
    <filterColumn colId="1"/>
    <filterColumn colId="2"/>
    <filterColumn colId="3"/>
    <filterColumn colId="4"/>
  </autoFilter>
  <tableColumns count="10">
    <tableColumn id="1" name="Validation Field" dataDxfId="234"/>
    <tableColumn id="10" name="ID No" dataDxfId="233">
      <calculatedColumnFormula>COUNTA($BJ$2:FieldValidations[[#This Row],[Validation Field]])</calculatedColumnFormula>
    </tableColumn>
    <tableColumn id="8" name="Primary" dataDxfId="232">
      <calculatedColumnFormula>'Table Seed Map'!$A$17&amp;"-"&amp;FieldValidations[[#This Row],[ID No]]</calculatedColumnFormula>
    </tableColumn>
    <tableColumn id="9" name="No" dataDxfId="231">
      <calculatedColumnFormula>IF(FieldValidations[[#This Row],[ID No]]=0,"id",FieldValidations[[#This Row],[ID No]]+VLOOKUP('Table Seed Map'!$A$17,SeedMap[],9,0))</calculatedColumnFormula>
    </tableColumn>
    <tableColumn id="7" name="Field" dataDxfId="230">
      <calculatedColumnFormula>VLOOKUP([Validation Field],FormFields[[Field Name]:[ID]],2,0)</calculatedColumnFormula>
    </tableColumn>
    <tableColumn id="2" name="Rule" dataDxfId="229"/>
    <tableColumn id="3" name="Message" dataDxfId="228"/>
    <tableColumn id="4" name="Arg 1" dataDxfId="227"/>
    <tableColumn id="5" name="Arg 2" dataDxfId="226"/>
    <tableColumn id="6" name="Arg 3" dataDxfId="225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7" totalsRowShown="0" dataDxfId="224">
  <autoFilter ref="CF1:CZ7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21" name="No" dataDxfId="223">
      <calculatedColumnFormula>COUNTA($CH$1:FormDefault[[#This Row],[Form for Default]])-1</calculatedColumnFormula>
    </tableColumn>
    <tableColumn id="1" name="Primary" dataDxfId="222">
      <calculatedColumnFormula>'Table Seed Map'!$A$21&amp;"-"&amp;FormDefault[[#This Row],[No]]</calculatedColumnFormula>
    </tableColumn>
    <tableColumn id="2" name="Form for Default" dataDxfId="221"/>
    <tableColumn id="3" name="ID" dataDxfId="220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9">
      <calculatedColumnFormula>IFERROR(VLOOKUP(FormDefault[[#This Row],[Form for Default]],ResourceForms[[FormName]:[ID]],4,0),"resource_form")</calculatedColumnFormula>
    </tableColumn>
    <tableColumn id="4" name="Name" dataDxfId="218"/>
    <tableColumn id="5" name="Value" dataDxfId="217"/>
    <tableColumn id="6" name="Relation" dataDxfId="216">
      <calculatedColumnFormula>IFERROR(VLOOKUP(FormDefault[[#This Row],[R]],RelationTable[[Display]:[RELID]],2,0),"")</calculatedColumnFormula>
    </tableColumn>
    <tableColumn id="7" name="Attribute" dataDxfId="215"/>
    <tableColumn id="20" name="REL1" dataDxfId="214">
      <calculatedColumnFormula>IFERROR(VLOOKUP(FormDefault[[#This Row],[R1]],RelationTable[[Display]:[RELID]],2,0),"")</calculatedColumnFormula>
    </tableColumn>
    <tableColumn id="19" name="REL2" dataDxfId="213">
      <calculatedColumnFormula>IFERROR(VLOOKUP(FormDefault[[#This Row],[R2]],RelationTable[[Display]:[RELID]],2,0),"")</calculatedColumnFormula>
    </tableColumn>
    <tableColumn id="18" name="REL3" dataDxfId="212">
      <calculatedColumnFormula>IFERROR(VLOOKUP(FormDefault[[#This Row],[R3]],RelationTable[[Display]:[RELID]],2,0),"")</calculatedColumnFormula>
    </tableColumn>
    <tableColumn id="13" name="Method" dataDxfId="211"/>
    <tableColumn id="17" name="R" dataDxfId="210"/>
    <tableColumn id="14" name="R1" dataDxfId="209"/>
    <tableColumn id="15" name="R2" dataDxfId="208"/>
    <tableColumn id="16" name="R3" dataDxfId="207"/>
    <tableColumn id="8" name="R12" dataDxfId="206"/>
    <tableColumn id="9" name="R22" dataDxfId="205"/>
    <tableColumn id="10" name="R32" dataDxfId="204"/>
    <tableColumn id="11" name="Method2" dataDxfId="203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5" totalsRowShown="0" headerRowDxfId="202" dataDxfId="201">
  <autoFilter ref="BU1:CD5"/>
  <tableColumns count="10">
    <tableColumn id="1" name="Primary" dataDxfId="200">
      <calculatedColumnFormula>'Table Seed Map'!$A$22&amp;"-"&amp;COUNTA($BV$1:FormCollection[[#This Row],[Main Form for Collection]])-1</calculatedColumnFormula>
    </tableColumn>
    <tableColumn id="2" name="Main Form for Collection" dataDxfId="199"/>
    <tableColumn id="3" name="Collection Form" dataDxfId="198"/>
    <tableColumn id="4" name="Relation" dataDxfId="197"/>
    <tableColumn id="5" name="Foreign Field" dataDxfId="196"/>
    <tableColumn id="6" name="No" dataDxfId="195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4">
      <calculatedColumnFormula>IFERROR(VLOOKUP([Main Form for Collection],ResourceForms[[FormName]:[ID]],4,0),"resource_form")</calculatedColumnFormula>
    </tableColumn>
    <tableColumn id="8" name="Collection Form2" dataDxfId="193">
      <calculatedColumnFormula>IFERROR(VLOOKUP([Collection Form],ResourceForms[[FormName]:[ID]],4,0),"collection_form")</calculatedColumnFormula>
    </tableColumn>
    <tableColumn id="9" name="Relation3" dataDxfId="192">
      <calculatedColumnFormula>IFERROR(VLOOKUP([Relation],RelationTable[[Display]:[RELID]],2,0),"")</calculatedColumnFormula>
    </tableColumn>
    <tableColumn id="10" name="Foreign" dataDxfId="191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12" totalsRowShown="0" headerRowDxfId="190" dataDxfId="189">
  <autoFilter ref="DB1:DL12">
    <filterColumn colId="1"/>
    <filterColumn colId="2"/>
    <filterColumn colId="3"/>
    <filterColumn colId="8"/>
  </autoFilter>
  <tableColumns count="11">
    <tableColumn id="1" name="Field for Depend" dataDxfId="188"/>
    <tableColumn id="9" name="Primary" dataDxfId="187">
      <calculatedColumnFormula>'Table Seed Map'!$A$18&amp;"-"&amp;COUNTA($DB$2:FieldDepends[[#This Row],[Field for Depend]])</calculatedColumnFormula>
    </tableColumn>
    <tableColumn id="10" name="ID" dataDxfId="186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5">
      <calculatedColumnFormula>IFERROR(VLOOKUP(FieldDepends[[#This Row],[Field for Depend]],FormFields[[Field Name]:[ID]],2,0),"form_field")</calculatedColumnFormula>
    </tableColumn>
    <tableColumn id="2" name="Field name - depends on" dataDxfId="184"/>
    <tableColumn id="3" name="Database Field" dataDxfId="183"/>
    <tableColumn id="4" name="Operator" dataDxfId="182"/>
    <tableColumn id="5" name="Compare Method" dataDxfId="181"/>
    <tableColumn id="11" name="Method" dataDxfId="180"/>
    <tableColumn id="6" name="Value DB Field" dataDxfId="179"/>
    <tableColumn id="7" name="Ignore Null" dataDxfId="178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66" totalsRowShown="0" dataDxfId="455">
  <autoFilter ref="A1:J66">
    <filterColumn colId="9"/>
  </autoFilter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7" dataDxfId="176">
  <autoFilter ref="DN1:DW2"/>
  <tableColumns count="10">
    <tableColumn id="1" name="Field for Dynamic" dataDxfId="175"/>
    <tableColumn id="9" name="Primary" dataDxfId="174">
      <calculatedColumnFormula>'Table Seed Map'!$A$16&amp;"-"&amp;COUNTA($DN$2:FieldDynamic[[#This Row],[Field for Dynamic]])</calculatedColumnFormula>
    </tableColumn>
    <tableColumn id="10" name="ID" dataDxfId="173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2">
      <calculatedColumnFormula>IFERROR(VLOOKUP(FieldDynamic[[#This Row],[Field for Dynamic]],FormFields[[Field Name]:[ID]],2,0),"form_field")</calculatedColumnFormula>
    </tableColumn>
    <tableColumn id="2" name="Type" dataDxfId="171"/>
    <tableColumn id="3" name="Depend Field" dataDxfId="170"/>
    <tableColumn id="4" name="Alter On" dataDxfId="169"/>
    <tableColumn id="5" name="Value" dataDxfId="168"/>
    <tableColumn id="11" name="Values" dataDxfId="167"/>
    <tableColumn id="6" name="Operator" dataDxfId="166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9" totalsRowShown="0" headerRowDxfId="165" dataDxfId="164">
  <autoFilter ref="DY1:ES9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3"/>
    <tableColumn id="2" name="Resource Data" dataDxfId="162"/>
    <tableColumn id="3" name="Form Field" dataDxfId="161"/>
    <tableColumn id="4" name="Primary" dataDxfId="160">
      <calculatedColumnFormula>'Table Seed Map'!$A$20&amp;"-"&amp;-1+COUNTA($DY$1:FormDataMapping[[#This Row],[Form for Data Mapping]])</calculatedColumnFormula>
    </tableColumn>
    <tableColumn id="5" name="ID" dataDxfId="159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8">
      <calculatedColumnFormula>IF(FormDataMapping[[#This Row],[Form for Data Mapping]]="","resource_form",VLOOKUP([Form for Data Mapping],ResourceForms[[FormName]:[ID]],4,0))</calculatedColumnFormula>
    </tableColumn>
    <tableColumn id="7" name="Data" dataDxfId="157">
      <calculatedColumnFormula>IF(FormDataMapping[[#This Row],[Form for Data Mapping]]="","resource_data",VLOOKUP([Resource Data],ResourceData[[DataDisplayName]:[ID]],8,0))</calculatedColumnFormula>
    </tableColumn>
    <tableColumn id="8" name="Field" dataDxfId="156">
      <calculatedColumnFormula>IF(FormDataMapping[[#This Row],[Form for Data Mapping]]="","form_field",VLOOKUP([Form Field],FormFields[[Field Name]:[ID]],2,0))</calculatedColumnFormula>
    </tableColumn>
    <tableColumn id="9" name="Attribute" dataDxfId="155"/>
    <tableColumn id="10" name="R0" dataDxfId="154">
      <calculatedColumnFormula>IF(FormDataMapping[[#This Row],[Form for Data Mapping]]="","relation",IFERROR(VLOOKUP([Relation],RelationTable[[Display]:[RELID]],2,0),""))</calculatedColumnFormula>
    </tableColumn>
    <tableColumn id="11" name="R1" dataDxfId="153">
      <calculatedColumnFormula>IF(FormDataMapping[[#This Row],[Form for Data Mapping]]="","nest_relation1",IFERROR(VLOOKUP([Rel1],RelationTable[[Display]:[RELID]],2,0),""))</calculatedColumnFormula>
    </tableColumn>
    <tableColumn id="12" name="R2" dataDxfId="152">
      <calculatedColumnFormula>IF(FormDataMapping[[#This Row],[Form for Data Mapping]]="","nest_relation2",IFERROR(VLOOKUP([Rel2],RelationTable[[Display]:[RELID]],2,0),""))</calculatedColumnFormula>
    </tableColumn>
    <tableColumn id="13" name="R3" dataDxfId="151">
      <calculatedColumnFormula>IF(FormDataMapping[[#This Row],[Form for Data Mapping]]="","nest_relation3",IFERROR(VLOOKUP([Rel3],RelationTable[[Display]:[RELID]],2,0),""))</calculatedColumnFormula>
    </tableColumn>
    <tableColumn id="14" name="R4" dataDxfId="150">
      <calculatedColumnFormula>IF(FormDataMapping[[#This Row],[Form for Data Mapping]]="","nest_relation4",IFERROR(VLOOKUP([Rel4],RelationTable[[Display]:[RELID]],2,0),""))</calculatedColumnFormula>
    </tableColumn>
    <tableColumn id="15" name="R5" dataDxfId="149">
      <calculatedColumnFormula>IF(FormDataMapping[[#This Row],[Form for Data Mapping]]="","nest_relation5",IFERROR(VLOOKUP([Rel5],RelationTable[[Display]:[RELID]],2,0),""))</calculatedColumnFormula>
    </tableColumn>
    <tableColumn id="16" name="Relation" dataDxfId="148"/>
    <tableColumn id="17" name="Rel1" dataDxfId="147"/>
    <tableColumn id="18" name="Rel2" dataDxfId="146"/>
    <tableColumn id="19" name="Rel3" dataDxfId="145"/>
    <tableColumn id="20" name="Rel4" dataDxfId="144"/>
    <tableColumn id="21" name="Rel5" dataDxfId="143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7" totalsRowShown="0" dataDxfId="142">
  <autoFilter ref="A1:H27">
    <filterColumn colId="2"/>
  </autoFilter>
  <tableColumns count="8">
    <tableColumn id="1" name="No" dataDxfId="141">
      <calculatedColumnFormula>IFERROR($A1+1,1)</calculatedColumnFormula>
    </tableColumn>
    <tableColumn id="2" name="Filename" dataDxfId="140"/>
    <tableColumn id="9" name="Table" dataDxfId="139">
      <calculatedColumnFormula>MID([Filename],26,LEN([Filename])-35)</calculatedColumnFormula>
    </tableColumn>
    <tableColumn id="3" name="Date Part" dataDxfId="138">
      <calculatedColumnFormula>"2019_05_01_"</calculatedColumnFormula>
    </tableColumn>
    <tableColumn id="4" name="Sequence" dataDxfId="137">
      <calculatedColumnFormula>TEXT(MATCH(MigrationRenamer[[#This Row],[Table]],Tables[Table],0),"000000")</calculatedColumnFormula>
    </tableColumn>
    <tableColumn id="5" name="Name Part" dataDxfId="136">
      <calculatedColumnFormula>RIGHT([Filename],LEN([Filename])-LEN([Date Part])-LEN([Sequence]))</calculatedColumnFormula>
    </tableColumn>
    <tableColumn id="6" name="New Name" dataDxfId="135">
      <calculatedColumnFormula>[Date Part]&amp;[Sequence]&amp;[Name Part]</calculatedColumnFormula>
    </tableColumn>
    <tableColumn id="7" name="CMD" dataDxfId="134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52" totalsRowShown="0" dataDxfId="133">
  <autoFilter ref="A1:K52">
    <filterColumn colId="1">
      <filters>
        <filter val="OrderItemServiceUser"/>
      </filters>
    </filterColumn>
    <filterColumn colId="2"/>
    <filterColumn colId="4"/>
    <filterColumn colId="8"/>
    <filterColumn colId="9"/>
    <filterColumn colId="10"/>
  </autoFilter>
  <tableColumns count="11">
    <tableColumn id="1" name="Primary" dataDxfId="132">
      <calculatedColumnFormula>'Table Seed Map'!$A$24&amp;"-"&amp;COUNTA($B$1:ResourceList[[#This Row],[Resource Name]])-1</calculatedColumnFormula>
    </tableColumn>
    <tableColumn id="2" name="Resource Name" dataDxfId="131"/>
    <tableColumn id="8" name="ListDisplayName" dataDxfId="130">
      <calculatedColumnFormula>ResourceList[[#This Row],[Resource Name]]&amp;"/"&amp;ResourceList[[#This Row],[Name]]</calculatedColumnFormula>
    </tableColumn>
    <tableColumn id="3" name="No" dataDxfId="129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8">
      <calculatedColumnFormula>IFERROR(VLOOKUP(ResourceList[[#This Row],[Resource Name]],ResourceTable[[RName]:[No]],3,0),"resource")</calculatedColumnFormula>
    </tableColumn>
    <tableColumn id="4" name="Name" dataDxfId="127"/>
    <tableColumn id="5" name="Description" dataDxfId="126"/>
    <tableColumn id="6" name="Title" dataDxfId="125"/>
    <tableColumn id="11" name="Identity" dataDxfId="124"/>
    <tableColumn id="10" name="Page" dataDxfId="123"/>
    <tableColumn id="9" name="ID" dataDxfId="122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93" totalsRowShown="0" headerRowDxfId="121" dataDxfId="120">
  <autoFilter ref="M1:AD93">
    <filterColumn colId="0"/>
  </autoFilter>
  <tableColumns count="18">
    <tableColumn id="1" name="List Name" dataDxfId="119"/>
    <tableColumn id="2" name="LID" dataDxfId="118">
      <calculatedColumnFormula>VLOOKUP(ListExtras[[#This Row],[List Name]],ResourceList[[ListDisplayName]:[No]],2,0)</calculatedColumnFormula>
    </tableColumn>
    <tableColumn id="3" name="Scope Name" dataDxfId="117"/>
    <tableColumn id="4" name="Relation Name" dataDxfId="116"/>
    <tableColumn id="5" name="R1 Name" dataDxfId="115"/>
    <tableColumn id="6" name="R2 Name" dataDxfId="114"/>
    <tableColumn id="7" name="R3 Name" dataDxfId="113"/>
    <tableColumn id="8" name="Scope Primary" dataDxfId="112">
      <calculatedColumnFormula>'Table Seed Map'!$A$25&amp;"-"&amp;COUNT($W$1:ListExtras[[#This Row],[Scope ID]])</calculatedColumnFormula>
    </tableColumn>
    <tableColumn id="9" name="Scope Table ID" dataDxfId="111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0">
      <calculatedColumnFormula>IF(ListExtras[[#This Row],[LID]]=0,"resource_list",ListExtras[[#This Row],[LID]])</calculatedColumnFormula>
    </tableColumn>
    <tableColumn id="11" name="Scope ID" dataDxfId="109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8">
      <calculatedColumnFormula>'Table Seed Map'!$A$26&amp;"-"&amp;COUNT($AA$1:ListExtras[[#This Row],[Relation]])</calculatedColumnFormula>
    </tableColumn>
    <tableColumn id="13" name="Relation Table ID" dataDxfId="107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6">
      <calculatedColumnFormula>IF(ListExtras[[#This Row],[LID]]=0,"resource_list",ListExtras[[#This Row],[LID]])</calculatedColumnFormula>
    </tableColumn>
    <tableColumn id="15" name="Relation" dataDxfId="105">
      <calculatedColumnFormula>IFERROR(VLOOKUP(ListExtras[[#This Row],[Relation Name]],RelationTable[[Display]:[RELID]],2,0),IF(ListExtras[[#This Row],[LID]]=0,"relation",""))</calculatedColumnFormula>
    </tableColumn>
    <tableColumn id="16" name="R1" dataDxfId="104">
      <calculatedColumnFormula>IFERROR(VLOOKUP(ListExtras[[#This Row],[R1 Name]],RelationTable[[Display]:[RELID]],2,0),IF(ListExtras[[#This Row],[LID]]=0,"nest_relation1",""))</calculatedColumnFormula>
    </tableColumn>
    <tableColumn id="17" name="R2" dataDxfId="103">
      <calculatedColumnFormula>IFERROR(VLOOKUP(ListExtras[[#This Row],[R2 Name]],RelationTable[[Display]:[RELID]],2,0),IF(ListExtras[[#This Row],[LID]]=0,"nest_relation2",""))</calculatedColumnFormula>
    </tableColumn>
    <tableColumn id="18" name="R3" dataDxfId="102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1" dataDxfId="100">
  <autoFilter ref="AF1:AR2">
    <filterColumn colId="0"/>
  </autoFilter>
  <tableColumns count="13">
    <tableColumn id="13" name="Primary" dataDxfId="99">
      <calculatedColumnFormula>'Table Seed Map'!$A$28&amp;"-"&amp;COUNTA($AH$1:ListSearch[[#This Row],[No]])-2</calculatedColumnFormula>
    </tableColumn>
    <tableColumn id="1" name="List Name for Search" dataDxfId="98"/>
    <tableColumn id="2" name="No" dataDxfId="97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6">
      <calculatedColumnFormula>IFERROR(VLOOKUP(ListSearch[[#This Row],[List Name for Search]],ResourceList[[ListDisplayName]:[No]],2,0),"resource_list")</calculatedColumnFormula>
    </tableColumn>
    <tableColumn id="4" name="Field" dataDxfId="95"/>
    <tableColumn id="5" name="REL" dataDxfId="94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3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2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1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0"/>
    <tableColumn id="10" name="Relation 1" dataDxfId="89"/>
    <tableColumn id="11" name="Relation 2" dataDxfId="88"/>
    <tableColumn id="12" name="Relation 3" dataDxfId="87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208" totalsRowShown="0" headerRowDxfId="86" dataDxfId="85">
  <autoFilter ref="AT1:BE208">
    <filterColumn colId="1"/>
    <filterColumn colId="4"/>
  </autoFilter>
  <tableColumns count="12">
    <tableColumn id="13" name="Primary" dataDxfId="84">
      <calculatedColumnFormula>'Table Seed Map'!$A$27&amp;"-"&amp;COUNTA($AV$1:ListLayout[[#This Row],[No]])-2</calculatedColumnFormula>
    </tableColumn>
    <tableColumn id="1" name="List Name for Layout" dataDxfId="83"/>
    <tableColumn id="2" name="No" dataDxfId="82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1">
      <calculatedColumnFormula>IFERROR(VLOOKUP(ListLayout[[#This Row],[List Name for Layout]],ResourceList[[ListDisplayName]:[No]],2,0),"resource_list")</calculatedColumnFormula>
    </tableColumn>
    <tableColumn id="14" name="Label" dataDxfId="80"/>
    <tableColumn id="4" name="Field" dataDxfId="79"/>
    <tableColumn id="5" name="REL" dataDxfId="78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7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6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5"/>
    <tableColumn id="10" name="Relation 1" dataDxfId="74"/>
    <tableColumn id="11" name="Relation 2" dataDxfId="73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15" totalsRowShown="0" dataDxfId="72">
  <autoFilter ref="A1:J15">
    <filterColumn colId="2"/>
    <filterColumn colId="4"/>
    <filterColumn colId="8"/>
    <filterColumn colId="9"/>
  </autoFilter>
  <tableColumns count="10">
    <tableColumn id="1" name="Primary" dataDxfId="71">
      <calculatedColumnFormula>'Table Seed Map'!$A$29&amp;"-"&amp;COUNTA($E$1:ResourceData[[#This Row],[Resource]])-2</calculatedColumnFormula>
    </tableColumn>
    <tableColumn id="2" name="Resource Name" dataDxfId="70"/>
    <tableColumn id="8" name="DataDisplayName" dataDxfId="69">
      <calculatedColumnFormula>ResourceData[[#This Row],[Resource Name]]&amp;"/"&amp;ResourceData[[#This Row],[Name]]</calculatedColumnFormula>
    </tableColumn>
    <tableColumn id="3" name="No" dataDxfId="68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7">
      <calculatedColumnFormula>IFERROR(VLOOKUP(ResourceData[[#This Row],[Resource Name]],ResourceTable[[RName]:[No]],3,0),"resource")</calculatedColumnFormula>
    </tableColumn>
    <tableColumn id="4" name="Name" dataDxfId="66"/>
    <tableColumn id="5" name="Description" dataDxfId="65"/>
    <tableColumn id="6" name="Title Field" dataDxfId="64"/>
    <tableColumn id="9" name="Method" dataDxfId="63"/>
    <tableColumn id="10" name="ID" dataDxfId="62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3" totalsRowShown="0" headerRowDxfId="61" dataDxfId="60">
  <autoFilter ref="L1:AC23"/>
  <tableColumns count="18">
    <tableColumn id="1" name="Data Name" dataDxfId="59"/>
    <tableColumn id="2" name="DID" dataDxfId="58">
      <calculatedColumnFormula>VLOOKUP(DataExtra[[#This Row],[Data Name]],ResourceData[[DataDisplayName]:[No]],2,0)</calculatedColumnFormula>
    </tableColumn>
    <tableColumn id="3" name="Scope Name" dataDxfId="57"/>
    <tableColumn id="4" name="Relation Name" dataDxfId="56"/>
    <tableColumn id="5" name="R1 Name" dataDxfId="55"/>
    <tableColumn id="6" name="R2 Name" dataDxfId="54"/>
    <tableColumn id="7" name="R3 Name" dataDxfId="53"/>
    <tableColumn id="8" name="Scope Primary" dataDxfId="52">
      <calculatedColumnFormula>'Table Seed Map'!$A$30&amp;"-"&amp;COUNT($V$1:DataExtra[[#This Row],[Scope ID]])</calculatedColumnFormula>
    </tableColumn>
    <tableColumn id="9" name="Scope Table ID" dataDxfId="51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0">
      <calculatedColumnFormula>IF(DataExtra[[#This Row],[DID]]=0,"resource_data",DataExtra[[#This Row],[DID]])</calculatedColumnFormula>
    </tableColumn>
    <tableColumn id="11" name="Scope ID" dataDxfId="49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8">
      <calculatedColumnFormula>'Table Seed Map'!$A$31&amp;"-"&amp;COUNT($Z$1:DataExtra[[#This Row],[Relation]])</calculatedColumnFormula>
    </tableColumn>
    <tableColumn id="13" name="Relation Table ID" dataDxfId="47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6">
      <calculatedColumnFormula>IF(DataExtra[[#This Row],[DID]]=0,"resource_data",DataExtra[[#This Row],[DID]])</calculatedColumnFormula>
    </tableColumn>
    <tableColumn id="15" name="Relation" dataDxfId="45">
      <calculatedColumnFormula>IFERROR(VLOOKUP(DataExtra[[#This Row],[Relation Name]],RelationTable[[Display]:[RELID]],2,0),IF(DataExtra[[#This Row],[DID]]=0,"relation",""))</calculatedColumnFormula>
    </tableColumn>
    <tableColumn id="16" name="R1" dataDxfId="44">
      <calculatedColumnFormula>IFERROR(VLOOKUP(DataExtra[[#This Row],[R1 Name]],RelationTable[[Display]:[RELID]],2,0),IF(DataExtra[[#This Row],[DID]]=0,"nest_relation1",""))</calculatedColumnFormula>
    </tableColumn>
    <tableColumn id="17" name="R2" dataDxfId="43">
      <calculatedColumnFormula>IFERROR(VLOOKUP(DataExtra[[#This Row],[R2 Name]],RelationTable[[Display]:[RELID]],2,0),IF(DataExtra[[#This Row],[DID]]=0,"nest_relation2",""))</calculatedColumnFormula>
    </tableColumn>
    <tableColumn id="18" name="R3" dataDxfId="42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15" totalsRowShown="0" headerRowDxfId="41" dataDxfId="40">
  <autoFilter ref="AE1:AN15">
    <filterColumn colId="0"/>
    <filterColumn colId="2"/>
    <filterColumn colId="5"/>
    <filterColumn colId="6"/>
    <filterColumn colId="7"/>
  </autoFilter>
  <tableColumns count="10">
    <tableColumn id="13" name="Primary" dataDxfId="39">
      <calculatedColumnFormula>'Table Seed Map'!$A$32&amp;"-"&amp;COUNTA($AF$1:DataViewSection[[#This Row],[Data Name for Layout]])-1</calculatedColumnFormula>
    </tableColumn>
    <tableColumn id="1" name="Data Name for Layout" dataDxfId="38"/>
    <tableColumn id="17" name="DataSectionDisplayName" dataDxfId="37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6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5">
      <calculatedColumnFormula>IFERROR(VLOOKUP(DataViewSection[[#This Row],[Data Name for Layout]],ResourceData[[DataDisplayName]:[No]],2,0),"resource_data")</calculatedColumnFormula>
    </tableColumn>
    <tableColumn id="14" name="Title" dataDxfId="34"/>
    <tableColumn id="15" name="Title Field" dataDxfId="33"/>
    <tableColumn id="16" name="Rel" dataDxfId="32">
      <calculatedColumnFormula>IF(DataViewSection[[#This Row],[Data Name for Layout]]="","relation",IFERROR(VLOOKUP(DataViewSection[[#This Row],[Relation]],RelationTable[[Display]:[RELID]],2,0),""))</calculatedColumnFormula>
    </tableColumn>
    <tableColumn id="4" name="Colspan" dataDxfId="31"/>
    <tableColumn id="9" name="Relation" dataDxfId="3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46" totalsRowShown="0" dataDxfId="444">
  <autoFilter ref="A1:K146">
    <filterColumn colId="0"/>
  </autoFilter>
  <tableColumns count="11">
    <tableColumn id="2" name="Table" dataDxfId="443"/>
    <tableColumn id="3" name="Field" dataDxfId="442"/>
    <tableColumn id="5" name="Type" dataDxfId="441">
      <calculatedColumnFormula>VLOOKUP([Field],Columns[],2,0)&amp;"("</calculatedColumnFormula>
    </tableColumn>
    <tableColumn id="4" name="Name" dataDxfId="440">
      <calculatedColumnFormula>IF(VLOOKUP([Field],Columns[],3,0)&lt;&gt;"","'"&amp;VLOOKUP([Field],Columns[],3,0)&amp;"'","")</calculatedColumnFormula>
    </tableColumn>
    <tableColumn id="6" name="Arg2" dataDxfId="439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8">
      <calculatedColumnFormula>IF(VLOOKUP([Field],Columns[],5,0)=0,"","-&gt;"&amp;VLOOKUP([Field],Columns[],5,0))</calculatedColumnFormula>
    </tableColumn>
    <tableColumn id="8" name="Method2" dataDxfId="437">
      <calculatedColumnFormula>IF(VLOOKUP([Field],Columns[],6,0)=0,"","-&gt;"&amp;VLOOKUP([Field],Columns[],6,0))</calculatedColumnFormula>
    </tableColumn>
    <tableColumn id="9" name="Method3" dataDxfId="436">
      <calculatedColumnFormula>IF(VLOOKUP([Field],Columns[],7,0)=0,"","-&gt;"&amp;VLOOKUP([Field],Columns[],7,0))</calculatedColumnFormula>
    </tableColumn>
    <tableColumn id="10" name="Method4" dataDxfId="435">
      <calculatedColumnFormula>IF(VLOOKUP([Field],Columns[],8,0)=0,"","-&gt;"&amp;VLOOKUP([Field],Columns[],8,0))</calculatedColumnFormula>
    </tableColumn>
    <tableColumn id="11" name="Method5" dataDxfId="434">
      <calculatedColumnFormula>IF(VLOOKUP([Field],Columns[],9,0)=0,"","-&gt;"&amp;VLOOKUP([Field],Columns[],9,0))</calculatedColumnFormula>
    </tableColumn>
    <tableColumn id="12" name="Statement" dataDxfId="433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41" totalsRowShown="0" headerRowDxfId="29" dataDxfId="28">
  <autoFilter ref="AP1:AW41">
    <filterColumn colId="4"/>
  </autoFilter>
  <tableColumns count="8">
    <tableColumn id="13" name="Primary" dataDxfId="27">
      <calculatedColumnFormula>'Table Seed Map'!$A$33&amp;"-"&amp;-1+COUNTA($AQ$1:DataViewSectionItem[[#This Row],[Data Section for Items]])</calculatedColumnFormula>
    </tableColumn>
    <tableColumn id="1" name="Data Section for Items" dataDxfId="26"/>
    <tableColumn id="2" name="No" dataDxfId="25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4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3"/>
    <tableColumn id="4" name="Attribute" dataDxfId="22"/>
    <tableColumn id="5" name="REL" dataDxfId="21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0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9" dataDxfId="18">
  <autoFilter ref="A1:H6">
    <filterColumn colId="5"/>
    <filterColumn colId="6"/>
    <filterColumn colId="7"/>
  </autoFilter>
  <tableColumns count="8">
    <tableColumn id="1" name="Type" dataDxfId="17"/>
    <tableColumn id="2" name="Table Name" dataDxfId="16"/>
    <tableColumn id="3" name="Count Field" dataDxfId="15"/>
    <tableColumn id="4" name="Count Reduce" dataDxfId="14"/>
    <tableColumn id="5" name="Records" dataDxfId="13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2"/>
    <tableColumn id="8" name="Name Field Position" dataDxfId="11"/>
    <tableColumn id="9" name="ID Field Position" dataDxfId="10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9" dataDxfId="8">
  <autoFilter ref="J1:P501">
    <filterColumn colId="2"/>
    <filterColumn colId="3"/>
    <filterColumn colId="4"/>
    <filterColumn colId="5"/>
    <filterColumn colId="6"/>
  </autoFilter>
  <tableColumns count="7">
    <tableColumn id="1" name="No" dataDxfId="7">
      <calculatedColumnFormula>IFERROR($J1+1,1)</calculatedColumnFormula>
    </tableColumn>
    <tableColumn id="2" name="Type" dataDxfId="6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5">
      <calculatedColumnFormula>IF(IDNMaps[[#This Row],[Type]]="","",COUNTIF($K$1:IDNMaps[[#This Row],[Type]],IDNMaps[[#This Row],[Type]]))</calculatedColumnFormula>
    </tableColumn>
    <tableColumn id="4" name="Primary" dataDxfId="4">
      <calculatedColumnFormula>IFERROR(VLOOKUP(IDNMaps[[#This Row],[Type]],RecordCount[],6,0)&amp;"-"&amp;IDNMaps[[#This Row],[Type Count]],"")</calculatedColumnFormula>
    </tableColumn>
    <tableColumn id="5" name="Name" dataDxfId="3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2">
      <calculatedColumnFormula>IF(IDNMaps[[#This Row],[Name]]="","","("&amp;IDNMaps[[#This Row],[Type]]&amp;") "&amp;IDNMaps[[#This Row],[Name]])</calculatedColumnFormula>
    </tableColumn>
    <tableColumn id="7" name="ID" dataDxfId="1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83" totalsRowShown="0" headerRowDxfId="432" dataDxfId="431">
  <autoFilter ref="A1:R83">
    <filterColumn colId="1"/>
    <filterColumn colId="4"/>
  </autoFilter>
  <tableColumns count="18">
    <tableColumn id="19" name="TRCode" dataDxfId="430">
      <calculatedColumnFormula>[Table Name]&amp;"-"&amp;(COUNTIF($B$1:TableData[[#This Row],[Table Name]],TableData[[#This Row],[Table Name]])-1)</calculatedColumnFormula>
    </tableColumn>
    <tableColumn id="1" name="Table Name" dataDxfId="429"/>
    <tableColumn id="2" name="Record No" dataDxfId="428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7"/>
    <tableColumn id="4" name="2" dataDxfId="426"/>
    <tableColumn id="5" name="3" dataDxfId="425"/>
    <tableColumn id="6" name="4" dataDxfId="424"/>
    <tableColumn id="7" name="5" dataDxfId="423"/>
    <tableColumn id="8" name="6" dataDxfId="422"/>
    <tableColumn id="9" name="7" dataDxfId="421"/>
    <tableColumn id="10" name="8" dataDxfId="420"/>
    <tableColumn id="11" name="9" dataDxfId="419"/>
    <tableColumn id="12" name="10" dataDxfId="418"/>
    <tableColumn id="13" name="11" dataDxfId="417"/>
    <tableColumn id="14" name="12" dataDxfId="416"/>
    <tableColumn id="15" name="13" dataDxfId="415"/>
    <tableColumn id="16" name="14" dataDxfId="414"/>
    <tableColumn id="17" name="15" dataDxfId="41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7" totalsRowShown="0" dataDxfId="412">
  <autoFilter ref="A1:K67">
    <filterColumn colId="4"/>
    <filterColumn colId="5"/>
    <filterColumn colId="6"/>
    <filterColumn colId="8"/>
    <filterColumn colId="9"/>
    <filterColumn colId="10"/>
  </autoFilter>
  <tableColumns count="11">
    <tableColumn id="1" name="Name" dataDxfId="411"/>
    <tableColumn id="3" name="Table Name" dataDxfId="410"/>
    <tableColumn id="20" name="NS" dataDxfId="409">
      <calculatedColumnFormula>VLOOKUP([Table Name],Tables[],4,0)</calculatedColumnFormula>
    </tableColumn>
    <tableColumn id="21" name="Model" dataDxfId="408">
      <calculatedColumnFormula>VLOOKUP([Table Name],Tables[],5,0)</calculatedColumnFormula>
    </tableColumn>
    <tableColumn id="6" name="Data Table" dataDxfId="407"/>
    <tableColumn id="7" name="Data Range" dataDxfId="406"/>
    <tableColumn id="8" name="Skip Columns" dataDxfId="405"/>
    <tableColumn id="4" name="Query Method" dataDxfId="404"/>
    <tableColumn id="2" name="Last ID" dataDxfId="403"/>
    <tableColumn id="5" name="AI Change Query" dataDxfId="402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1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0" totalsRowShown="0" dataDxfId="400">
  <autoFilter ref="A1:M30">
    <filterColumn colId="0"/>
    <filterColumn colId="1"/>
    <filterColumn colId="2"/>
    <filterColumn colId="11"/>
    <filterColumn colId="12"/>
  </autoFilter>
  <tableColumns count="13">
    <tableColumn id="11" name="Primary" dataDxfId="399">
      <calculatedColumnFormula>Page&amp;"-"&amp;(COUNTA($E$1:ResourceTable[[#This Row],[Name]])-2)</calculatedColumnFormula>
    </tableColumn>
    <tableColumn id="12" name="RName" dataDxfId="398">
      <calculatedColumnFormula>ResourceTable[[#This Row],[Name]]</calculatedColumnFormula>
    </tableColumn>
    <tableColumn id="13" name="RID" dataDxfId="397">
      <calculatedColumnFormula>COUNTA($A$1:ResourceTable[[#This Row],[Primary]])-2</calculatedColumnFormula>
    </tableColumn>
    <tableColumn id="1" name="No" dataDxfId="396">
      <calculatedColumnFormula>IF(ResourceTable[[#This Row],[RID]]=0,"id",ResourceTable[[#This Row],[RID]]+IF(ISNUMBER(VLOOKUP(Page,SeedMap[],9,0)),VLOOKUP(Page,SeedMap[],9,0),0))</calculatedColumnFormula>
    </tableColumn>
    <tableColumn id="2" name="Name" dataDxfId="395"/>
    <tableColumn id="3" name="Description" dataDxfId="394"/>
    <tableColumn id="4" name="Title" dataDxfId="393"/>
    <tableColumn id="5" name="NS" dataDxfId="392">
      <calculatedColumnFormula>"Firumon\LLM\Model"</calculatedColumnFormula>
    </tableColumn>
    <tableColumn id="6" name="Table" dataDxfId="391"/>
    <tableColumn id="8" name="Controller" dataDxfId="390"/>
    <tableColumn id="9" name="Controller NS" dataDxfId="389"/>
    <tableColumn id="7" name="Development" dataDxfId="388"/>
    <tableColumn id="10" name="RID2" dataDxfId="387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6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5"/>
    <tableColumn id="2" name="List" dataDxfId="384"/>
    <tableColumn id="3" name="Form" dataDxfId="383"/>
    <tableColumn id="4" name="Data" dataDxfId="382"/>
    <tableColumn id="5" name="FormWithData" dataDxfId="381"/>
    <tableColumn id="6" name="Primary" dataDxfId="380">
      <calculatedColumnFormula>'Table Seed Map'!$A$39&amp;"-"&amp;COUNTA($O$2:ResourceDefaultsTable[[#This Row],[Select Resource for Default]])</calculatedColumnFormula>
    </tableColumn>
    <tableColumn id="12" name="ID" dataDxfId="379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8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7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6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5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4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101" totalsRowShown="0" dataDxfId="373">
  <autoFilter ref="A1:N101">
    <filterColumn colId="0"/>
    <filterColumn colId="2"/>
    <filterColumn colId="3"/>
    <filterColumn colId="6"/>
    <filterColumn colId="13"/>
  </autoFilter>
  <tableColumns count="14">
    <tableColumn id="11" name="Primary" dataDxfId="372">
      <calculatedColumnFormula>Page&amp;"-"&amp;(COUNTA($E$1:RelationTable[[#This Row],[Resource]])-1)</calculatedColumnFormula>
    </tableColumn>
    <tableColumn id="1" name="No" dataDxfId="371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0">
      <calculatedColumnFormula>RelationTable[[#This Row],[Resource]]&amp;"/"&amp;RelationTable[[#This Row],[Method]]</calculatedColumnFormula>
    </tableColumn>
    <tableColumn id="14" name="RELID" dataDxfId="369">
      <calculatedColumnFormula>RelationTable[[#This Row],[No]]</calculatedColumnFormula>
    </tableColumn>
    <tableColumn id="3" name="Resource" dataDxfId="368"/>
    <tableColumn id="4" name="Relate Resource" dataDxfId="367"/>
    <tableColumn id="12" name="ID" dataDxfId="366">
      <calculatedColumnFormula>RelationTable[[#This Row],[No]]</calculatedColumnFormula>
    </tableColumn>
    <tableColumn id="2" name="Resource Id" dataDxfId="365">
      <calculatedColumnFormula>IF(RelationTable[[#This Row],[No]]="id","resource",VLOOKUP([Resource],CHOOSE({1,2},ResourceTable[Name],ResourceTable[No]),2,0))</calculatedColumnFormula>
    </tableColumn>
    <tableColumn id="5" name="Name" dataDxfId="364"/>
    <tableColumn id="6" name="Description" dataDxfId="363"/>
    <tableColumn id="7" name="Method" dataDxfId="362"/>
    <tableColumn id="8" name="Type" dataDxfId="361"/>
    <tableColumn id="10" name="Relate Id" dataDxfId="360">
      <calculatedColumnFormula>VLOOKUP([Relate Resource],CHOOSE({1,2},ResourceTable[Name],ResourceTable[No]),2,0)</calculatedColumnFormula>
    </tableColumn>
    <tableColumn id="9" name="RID" dataDxfId="359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30" totalsRowShown="0" dataDxfId="358">
  <autoFilter ref="P1:W30">
    <filterColumn colId="2"/>
    <filterColumn colId="4"/>
  </autoFilter>
  <tableColumns count="8">
    <tableColumn id="1" name="Primary" dataDxfId="357">
      <calculatedColumnFormula>'Table Seed Map'!$A$9&amp;"-"&amp;COUNTA($Q$1:ResourceScopes[[#This Row],[Resource for Scope]])-1</calculatedColumnFormula>
    </tableColumn>
    <tableColumn id="2" name="Resource for Scope" dataDxfId="356"/>
    <tableColumn id="8" name="ScopesDisplayNames" dataDxfId="355">
      <calculatedColumnFormula>ResourceScopes[[#This Row],[Resource for Scope]]&amp;"/"&amp;ResourceScopes[[#This Row],[Name]]</calculatedColumnFormula>
    </tableColumn>
    <tableColumn id="3" name="No" dataDxfId="354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3">
      <calculatedColumnFormula>IFERROR(VLOOKUP(ResourceScopes[[#This Row],[Resource for Scope]],CHOOSE({1,2},ResourceTable[Name],ResourceTable[No]),2,0),"resource")</calculatedColumnFormula>
    </tableColumn>
    <tableColumn id="4" name="Name" dataDxfId="352"/>
    <tableColumn id="5" name="Description" dataDxfId="351"/>
    <tableColumn id="6" name="Method" dataDxfId="35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workbookViewId="0">
      <selection activeCell="A2" sqref="A2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9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9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7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7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7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7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9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7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7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7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7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9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7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7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7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7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9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7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9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9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9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9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9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62" t="s">
        <v>1124</v>
      </c>
      <c r="B46" s="63" t="str">
        <f>[Name]</f>
        <v>owners</v>
      </c>
      <c r="C46" s="63" t="str">
        <f>IF(RIGHT([Name],3)="ies",MID([Name],1,LEN([Name])-3)&amp;"y",IF(RIGHT([Name],1)="s",MID([Name],1,LEN([Name])-1),[Name]))</f>
        <v>owner</v>
      </c>
      <c r="D46" s="63" t="str">
        <f>"Firumon\LLM\Model"</f>
        <v>Firumon\LLM\Model</v>
      </c>
      <c r="E46" s="63" t="str">
        <f>SUBSTITUTE(PROPER([Singular Name]),"_","")</f>
        <v>Owner</v>
      </c>
      <c r="F46" s="63" t="str">
        <f>"php artisan make:migration create_"&amp;[Table]&amp;"_table --create="&amp;[Table]</f>
        <v>php artisan make:migration create_owners_table --create=owners</v>
      </c>
      <c r="G46" s="63" t="str">
        <f>"php artisan make:model "&amp;[Class Name]</f>
        <v>php artisan make:model Owner</v>
      </c>
      <c r="H46" s="63" t="str">
        <f>"protected $table = '"&amp;[Table]&amp;"';"</f>
        <v>protected $table = 'owners';</v>
      </c>
      <c r="I46" s="63" t="str">
        <f>"php artisan make:seed "&amp;[Class Name]&amp;"TableSeeder"</f>
        <v>php artisan make:seed OwnerTableSeeder</v>
      </c>
      <c r="J46" s="63" t="str">
        <f>[Class Name]&amp;"TableSeeder"&amp;"::class,"</f>
        <v>OwnerTableSeeder::class,</v>
      </c>
    </row>
    <row r="47" spans="1:10">
      <c r="A47" s="62" t="s">
        <v>1112</v>
      </c>
      <c r="B47" s="63" t="str">
        <f>[Name]</f>
        <v>employees</v>
      </c>
      <c r="C47" s="63" t="str">
        <f>IF(RIGHT([Name],3)="ies",MID([Name],1,LEN([Name])-3)&amp;"y",IF(RIGHT([Name],1)="s",MID([Name],1,LEN([Name])-1),[Name]))</f>
        <v>employee</v>
      </c>
      <c r="D47" s="63" t="str">
        <f>"Firumon\LLM\Model"</f>
        <v>Firumon\LLM\Model</v>
      </c>
      <c r="E47" s="63" t="str">
        <f>SUBSTITUTE(PROPER([Singular Name]),"_","")</f>
        <v>Employee</v>
      </c>
      <c r="F47" s="63" t="str">
        <f>"php artisan make:migration create_"&amp;[Table]&amp;"_table --create="&amp;[Table]</f>
        <v>php artisan make:migration create_employees_table --create=employees</v>
      </c>
      <c r="G47" s="63" t="str">
        <f>"php artisan make:model "&amp;[Class Name]</f>
        <v>php artisan make:model Employee</v>
      </c>
      <c r="H47" s="63" t="str">
        <f>"protected $table = '"&amp;[Table]&amp;"';"</f>
        <v>protected $table = 'employees';</v>
      </c>
      <c r="I47" s="63" t="str">
        <f>"php artisan make:seed "&amp;[Class Name]&amp;"TableSeeder"</f>
        <v>php artisan make:seed EmployeeTableSeeder</v>
      </c>
      <c r="J47" s="63" t="str">
        <f>[Class Name]&amp;"TableSeeder"&amp;"::class,"</f>
        <v>EmployeeTableSeeder::class,</v>
      </c>
    </row>
    <row r="48" spans="1:10">
      <c r="A48" s="62" t="s">
        <v>767</v>
      </c>
      <c r="B48" s="63" t="str">
        <f>[Name]</f>
        <v>customers</v>
      </c>
      <c r="C48" s="63" t="str">
        <f>IF(RIGHT([Name],3)="ies",MID([Name],1,LEN([Name])-3)&amp;"y",IF(RIGHT([Name],1)="s",MID([Name],1,LEN([Name])-1),[Name]))</f>
        <v>customer</v>
      </c>
      <c r="D48" s="63" t="str">
        <f>"Firumon\LLM\Model"</f>
        <v>Firumon\LLM\Model</v>
      </c>
      <c r="E48" s="63" t="str">
        <f>SUBSTITUTE(PROPER([Singular Name]),"_","")</f>
        <v>Customer</v>
      </c>
      <c r="F48" s="63" t="str">
        <f>"php artisan make:migration create_"&amp;[Table]&amp;"_table --create="&amp;[Table]</f>
        <v>php artisan make:migration create_customers_table --create=customers</v>
      </c>
      <c r="G48" s="63" t="str">
        <f>"php artisan make:model "&amp;[Class Name]</f>
        <v>php artisan make:model Customer</v>
      </c>
      <c r="H48" s="63" t="str">
        <f>"protected $table = '"&amp;[Table]&amp;"';"</f>
        <v>protected $table = 'customers';</v>
      </c>
      <c r="I48" s="63" t="str">
        <f>"php artisan make:seed "&amp;[Class Name]&amp;"TableSeeder"</f>
        <v>php artisan make:seed CustomerTableSeeder</v>
      </c>
      <c r="J48" s="63" t="str">
        <f>[Class Name]&amp;"TableSeeder"&amp;"::class,"</f>
        <v>CustomerTableSeeder::class,</v>
      </c>
    </row>
    <row r="49" spans="1:10">
      <c r="A49" s="62" t="s">
        <v>1148</v>
      </c>
      <c r="B49" s="63" t="str">
        <f>[Name]</f>
        <v>customer_details</v>
      </c>
      <c r="C49" s="63" t="str">
        <f>IF(RIGHT([Name],3)="ies",MID([Name],1,LEN([Name])-3)&amp;"y",IF(RIGHT([Name],1)="s",MID([Name],1,LEN([Name])-1),[Name]))</f>
        <v>customer_detail</v>
      </c>
      <c r="D49" s="63" t="str">
        <f>"Firumon\LLM\Model"</f>
        <v>Firumon\LLM\Model</v>
      </c>
      <c r="E49" s="63" t="str">
        <f>SUBSTITUTE(PROPER([Singular Name]),"_","")</f>
        <v>CustomerDetail</v>
      </c>
      <c r="F49" s="63" t="str">
        <f>"php artisan make:migration create_"&amp;[Table]&amp;"_table --create="&amp;[Table]</f>
        <v>php artisan make:migration create_customer_details_table --create=customer_details</v>
      </c>
      <c r="G49" s="63" t="str">
        <f>"php artisan make:model "&amp;[Class Name]</f>
        <v>php artisan make:model CustomerDetail</v>
      </c>
      <c r="H49" s="63" t="str">
        <f>"protected $table = '"&amp;[Table]&amp;"';"</f>
        <v>protected $table = 'customer_details';</v>
      </c>
      <c r="I49" s="63" t="str">
        <f>"php artisan make:seed "&amp;[Class Name]&amp;"TableSeeder"</f>
        <v>php artisan make:seed CustomerDetailTableSeeder</v>
      </c>
      <c r="J49" s="63" t="str">
        <f>[Class Name]&amp;"TableSeeder"&amp;"::class,"</f>
        <v>CustomerDetailTableSeeder::class,</v>
      </c>
    </row>
    <row r="50" spans="1:10">
      <c r="A50" s="2" t="s">
        <v>759</v>
      </c>
      <c r="B50" s="7" t="str">
        <f>[Name]</f>
        <v>hubs</v>
      </c>
      <c r="C50" s="7" t="str">
        <f>IF(RIGHT([Name],3)="ies",MID([Name],1,LEN([Name])-3)&amp;"y",IF(RIGHT([Name],1)="s",MID([Name],1,LEN([Name])-1),[Name]))</f>
        <v>hub</v>
      </c>
      <c r="D50" s="7" t="str">
        <f t="shared" ref="D50:D71" si="0">"Firumon\LLM\Model"</f>
        <v>Firumon\LLM\Model</v>
      </c>
      <c r="E50" s="7" t="str">
        <f>SUBSTITUTE(PROPER([Singular Name]),"_","")</f>
        <v>Hub</v>
      </c>
      <c r="F50" s="7" t="str">
        <f>"php artisan make:migration create_"&amp;[Table]&amp;"_table --create="&amp;[Table]</f>
        <v>php artisan make:migration create_hubs_table --create=hubs</v>
      </c>
      <c r="G50" s="7" t="str">
        <f>"php artisan make:model "&amp;[Class Name]</f>
        <v>php artisan make:model Hub</v>
      </c>
      <c r="H50" s="7" t="str">
        <f>"protected $table = '"&amp;[Table]&amp;"';"</f>
        <v>protected $table = 'hubs';</v>
      </c>
      <c r="I50" s="7" t="str">
        <f>"php artisan make:seed "&amp;[Class Name]&amp;"TableSeeder"</f>
        <v>php artisan make:seed HubTableSeeder</v>
      </c>
      <c r="J50" s="7" t="str">
        <f>[Class Name]&amp;"TableSeeder"&amp;"::class,"</f>
        <v>HubTableSeeder::class,</v>
      </c>
    </row>
    <row r="51" spans="1:10">
      <c r="A51" s="62" t="s">
        <v>760</v>
      </c>
      <c r="B51" s="63" t="str">
        <f>[Name]</f>
        <v>services</v>
      </c>
      <c r="C51" s="63" t="str">
        <f>IF(RIGHT([Name],3)="ies",MID([Name],1,LEN([Name])-3)&amp;"y",IF(RIGHT([Name],1)="s",MID([Name],1,LEN([Name])-1),[Name]))</f>
        <v>service</v>
      </c>
      <c r="D51" s="63" t="str">
        <f t="shared" si="0"/>
        <v>Firumon\LLM\Model</v>
      </c>
      <c r="E51" s="63" t="str">
        <f>SUBSTITUTE(PROPER([Singular Name]),"_","")</f>
        <v>Service</v>
      </c>
      <c r="F51" s="63" t="str">
        <f>"php artisan make:migration create_"&amp;[Table]&amp;"_table --create="&amp;[Table]</f>
        <v>php artisan make:migration create_services_table --create=services</v>
      </c>
      <c r="G51" s="63" t="str">
        <f>"php artisan make:model "&amp;[Class Name]</f>
        <v>php artisan make:model Service</v>
      </c>
      <c r="H51" s="63" t="str">
        <f>"protected $table = '"&amp;[Table]&amp;"';"</f>
        <v>protected $table = 'services';</v>
      </c>
      <c r="I51" s="63" t="str">
        <f>"php artisan make:seed "&amp;[Class Name]&amp;"TableSeeder"</f>
        <v>php artisan make:seed ServiceTableSeeder</v>
      </c>
      <c r="J51" s="63" t="str">
        <f>[Class Name]&amp;"TableSeeder"&amp;"::class,"</f>
        <v>ServiceTableSeeder::class,</v>
      </c>
    </row>
    <row r="52" spans="1:10">
      <c r="A52" s="62" t="s">
        <v>761</v>
      </c>
      <c r="B52" s="63" t="str">
        <f>[Name]</f>
        <v>items</v>
      </c>
      <c r="C52" s="63" t="str">
        <f>IF(RIGHT([Name],3)="ies",MID([Name],1,LEN([Name])-3)&amp;"y",IF(RIGHT([Name],1)="s",MID([Name],1,LEN([Name])-1),[Name]))</f>
        <v>item</v>
      </c>
      <c r="D52" s="63" t="str">
        <f t="shared" si="0"/>
        <v>Firumon\LLM\Model</v>
      </c>
      <c r="E52" s="63" t="str">
        <f>SUBSTITUTE(PROPER([Singular Name]),"_","")</f>
        <v>Item</v>
      </c>
      <c r="F52" s="63" t="str">
        <f>"php artisan make:migration create_"&amp;[Table]&amp;"_table --create="&amp;[Table]</f>
        <v>php artisan make:migration create_items_table --create=items</v>
      </c>
      <c r="G52" s="63" t="str">
        <f>"php artisan make:model "&amp;[Class Name]</f>
        <v>php artisan make:model Item</v>
      </c>
      <c r="H52" s="63" t="str">
        <f>"protected $table = '"&amp;[Table]&amp;"';"</f>
        <v>protected $table = 'items';</v>
      </c>
      <c r="I52" s="63" t="str">
        <f>"php artisan make:seed "&amp;[Class Name]&amp;"TableSeeder"</f>
        <v>php artisan make:seed ItemTableSeeder</v>
      </c>
      <c r="J52" s="63" t="str">
        <f>[Class Name]&amp;"TableSeeder"&amp;"::class,"</f>
        <v>ItemTableSeeder::class,</v>
      </c>
    </row>
    <row r="53" spans="1:10">
      <c r="A53" s="62" t="s">
        <v>762</v>
      </c>
      <c r="B53" s="63" t="str">
        <f>[Name]</f>
        <v>item_services</v>
      </c>
      <c r="C53" s="63" t="str">
        <f>IF(RIGHT([Name],3)="ies",MID([Name],1,LEN([Name])-3)&amp;"y",IF(RIGHT([Name],1)="s",MID([Name],1,LEN([Name])-1),[Name]))</f>
        <v>item_service</v>
      </c>
      <c r="D53" s="63" t="str">
        <f t="shared" si="0"/>
        <v>Firumon\LLM\Model</v>
      </c>
      <c r="E53" s="63" t="str">
        <f>SUBSTITUTE(PROPER([Singular Name]),"_","")</f>
        <v>ItemService</v>
      </c>
      <c r="F53" s="63" t="str">
        <f>"php artisan make:migration create_"&amp;[Table]&amp;"_table --create="&amp;[Table]</f>
        <v>php artisan make:migration create_item_services_table --create=item_services</v>
      </c>
      <c r="G53" s="63" t="str">
        <f>"php artisan make:model "&amp;[Class Name]</f>
        <v>php artisan make:model ItemService</v>
      </c>
      <c r="H53" s="63" t="str">
        <f>"protected $table = '"&amp;[Table]&amp;"';"</f>
        <v>protected $table = 'item_services';</v>
      </c>
      <c r="I53" s="63" t="str">
        <f>"php artisan make:seed "&amp;[Class Name]&amp;"TableSeeder"</f>
        <v>php artisan make:seed ItemServiceTableSeeder</v>
      </c>
      <c r="J53" s="63" t="str">
        <f>[Class Name]&amp;"TableSeeder"&amp;"::class,"</f>
        <v>ItemServiceTableSeeder::class,</v>
      </c>
    </row>
    <row r="54" spans="1:10">
      <c r="A54" s="62" t="s">
        <v>765</v>
      </c>
      <c r="B54" s="63" t="str">
        <f>[Name]</f>
        <v>user_services</v>
      </c>
      <c r="C54" s="63" t="str">
        <f>IF(RIGHT([Name],3)="ies",MID([Name],1,LEN([Name])-3)&amp;"y",IF(RIGHT([Name],1)="s",MID([Name],1,LEN([Name])-1),[Name]))</f>
        <v>user_service</v>
      </c>
      <c r="D54" s="63" t="str">
        <f t="shared" si="0"/>
        <v>Firumon\LLM\Model</v>
      </c>
      <c r="E54" s="63" t="str">
        <f>SUBSTITUTE(PROPER([Singular Name]),"_","")</f>
        <v>UserService</v>
      </c>
      <c r="F54" s="63" t="str">
        <f>"php artisan make:migration create_"&amp;[Table]&amp;"_table --create="&amp;[Table]</f>
        <v>php artisan make:migration create_user_services_table --create=user_services</v>
      </c>
      <c r="G54" s="63" t="str">
        <f>"php artisan make:model "&amp;[Class Name]</f>
        <v>php artisan make:model UserService</v>
      </c>
      <c r="H54" s="63" t="str">
        <f>"protected $table = '"&amp;[Table]&amp;"';"</f>
        <v>protected $table = 'user_services';</v>
      </c>
      <c r="I54" s="63" t="str">
        <f>"php artisan make:seed "&amp;[Class Name]&amp;"TableSeeder"</f>
        <v>php artisan make:seed UserServiceTableSeeder</v>
      </c>
      <c r="J54" s="63" t="str">
        <f>[Class Name]&amp;"TableSeeder"&amp;"::class,"</f>
        <v>UserServiceTableSeeder::class,</v>
      </c>
    </row>
    <row r="55" spans="1:10">
      <c r="A55" s="60" t="s">
        <v>766</v>
      </c>
      <c r="B55" s="63" t="str">
        <f>[Name]</f>
        <v>hub_users</v>
      </c>
      <c r="C55" s="63" t="str">
        <f>IF(RIGHT([Name],3)="ies",MID([Name],1,LEN([Name])-3)&amp;"y",IF(RIGHT([Name],1)="s",MID([Name],1,LEN([Name])-1),[Name]))</f>
        <v>hub_user</v>
      </c>
      <c r="D55" s="63" t="str">
        <f t="shared" si="0"/>
        <v>Firumon\LLM\Model</v>
      </c>
      <c r="E55" s="63" t="str">
        <f>SUBSTITUTE(PROPER([Singular Name]),"_","")</f>
        <v>HubUser</v>
      </c>
      <c r="F55" s="63" t="str">
        <f>"php artisan make:migration create_"&amp;[Table]&amp;"_table --create="&amp;[Table]</f>
        <v>php artisan make:migration create_hub_users_table --create=hub_users</v>
      </c>
      <c r="G55" s="63" t="str">
        <f>"php artisan make:model "&amp;[Class Name]</f>
        <v>php artisan make:model HubUser</v>
      </c>
      <c r="H55" s="63" t="str">
        <f>"protected $table = '"&amp;[Table]&amp;"';"</f>
        <v>protected $table = 'hub_users';</v>
      </c>
      <c r="I55" s="63" t="str">
        <f>"php artisan make:seed "&amp;[Class Name]&amp;"TableSeeder"</f>
        <v>php artisan make:seed HubUserTableSeeder</v>
      </c>
      <c r="J55" s="63" t="str">
        <f>[Class Name]&amp;"TableSeeder"&amp;"::class,"</f>
        <v>HubUserTableSeeder::class,</v>
      </c>
    </row>
    <row r="56" spans="1:10">
      <c r="A56" s="60" t="s">
        <v>1015</v>
      </c>
      <c r="B56" s="63" t="str">
        <f>[Name]</f>
        <v>shelf</v>
      </c>
      <c r="C56" s="63" t="str">
        <f>IF(RIGHT([Name],3)="ies",MID([Name],1,LEN([Name])-3)&amp;"y",IF(RIGHT([Name],1)="s",MID([Name],1,LEN([Name])-1),[Name]))</f>
        <v>shelf</v>
      </c>
      <c r="D56" s="63" t="str">
        <f t="shared" si="0"/>
        <v>Firumon\LLM\Model</v>
      </c>
      <c r="E56" s="63" t="str">
        <f>SUBSTITUTE(PROPER([Singular Name]),"_","")</f>
        <v>Shelf</v>
      </c>
      <c r="F56" s="63" t="str">
        <f>"php artisan make:migration create_"&amp;[Table]&amp;"_table --create="&amp;[Table]</f>
        <v>php artisan make:migration create_shelf_table --create=shelf</v>
      </c>
      <c r="G56" s="63" t="str">
        <f>"php artisan make:model "&amp;[Class Name]</f>
        <v>php artisan make:model Shelf</v>
      </c>
      <c r="H56" s="63" t="str">
        <f>"protected $table = '"&amp;[Table]&amp;"';"</f>
        <v>protected $table = 'shelf';</v>
      </c>
      <c r="I56" s="63" t="str">
        <f>"php artisan make:seed "&amp;[Class Name]&amp;"TableSeeder"</f>
        <v>php artisan make:seed ShelfTableSeeder</v>
      </c>
      <c r="J56" s="63" t="str">
        <f>[Class Name]&amp;"TableSeeder"&amp;"::class,"</f>
        <v>ShelfTableSeeder::class,</v>
      </c>
    </row>
    <row r="57" spans="1:10">
      <c r="A57" s="60" t="s">
        <v>1019</v>
      </c>
      <c r="B57" s="63" t="str">
        <f>[Name]</f>
        <v>hub_default_shelf</v>
      </c>
      <c r="C57" s="63" t="str">
        <f>IF(RIGHT([Name],3)="ies",MID([Name],1,LEN([Name])-3)&amp;"y",IF(RIGHT([Name],1)="s",MID([Name],1,LEN([Name])-1),[Name]))</f>
        <v>hub_default_shelf</v>
      </c>
      <c r="D57" s="63" t="str">
        <f t="shared" si="0"/>
        <v>Firumon\LLM\Model</v>
      </c>
      <c r="E57" s="63" t="str">
        <f>SUBSTITUTE(PROPER([Singular Name]),"_","")</f>
        <v>HubDefaultShelf</v>
      </c>
      <c r="F57" s="63" t="str">
        <f>"php artisan make:migration create_"&amp;[Table]&amp;"_table --create="&amp;[Table]</f>
        <v>php artisan make:migration create_hub_default_shelf_table --create=hub_default_shelf</v>
      </c>
      <c r="G57" s="63" t="str">
        <f>"php artisan make:model "&amp;[Class Name]</f>
        <v>php artisan make:model HubDefaultShelf</v>
      </c>
      <c r="H57" s="63" t="str">
        <f>"protected $table = '"&amp;[Table]&amp;"';"</f>
        <v>protected $table = 'hub_default_shelf';</v>
      </c>
      <c r="I57" s="63" t="str">
        <f>"php artisan make:seed "&amp;[Class Name]&amp;"TableSeeder"</f>
        <v>php artisan make:seed HubDefaultShelfTableSeeder</v>
      </c>
      <c r="J57" s="63" t="str">
        <f>[Class Name]&amp;"TableSeeder"&amp;"::class,"</f>
        <v>HubDefaultShelfTableSeeder::class,</v>
      </c>
    </row>
    <row r="58" spans="1:10">
      <c r="A58" s="62" t="s">
        <v>763</v>
      </c>
      <c r="B58" s="63" t="str">
        <f>[Name]</f>
        <v>pricelist</v>
      </c>
      <c r="C58" s="63" t="str">
        <f>IF(RIGHT([Name],3)="ies",MID([Name],1,LEN([Name])-3)&amp;"y",IF(RIGHT([Name],1)="s",MID([Name],1,LEN([Name])-1),[Name]))</f>
        <v>pricelist</v>
      </c>
      <c r="D58" s="63" t="str">
        <f t="shared" si="0"/>
        <v>Firumon\LLM\Model</v>
      </c>
      <c r="E58" s="63" t="str">
        <f>SUBSTITUTE(PROPER([Singular Name]),"_","")</f>
        <v>Pricelist</v>
      </c>
      <c r="F58" s="63" t="str">
        <f>"php artisan make:migration create_"&amp;[Table]&amp;"_table --create="&amp;[Table]</f>
        <v>php artisan make:migration create_pricelist_table --create=pricelist</v>
      </c>
      <c r="G58" s="63" t="str">
        <f>"php artisan make:model "&amp;[Class Name]</f>
        <v>php artisan make:model Pricelist</v>
      </c>
      <c r="H58" s="63" t="str">
        <f>"protected $table = '"&amp;[Table]&amp;"';"</f>
        <v>protected $table = 'pricelist';</v>
      </c>
      <c r="I58" s="63" t="str">
        <f>"php artisan make:seed "&amp;[Class Name]&amp;"TableSeeder"</f>
        <v>php artisan make:seed PricelistTableSeeder</v>
      </c>
      <c r="J58" s="63" t="str">
        <f>[Class Name]&amp;"TableSeeder"&amp;"::class,"</f>
        <v>PricelistTableSeeder::class,</v>
      </c>
    </row>
    <row r="59" spans="1:10">
      <c r="A59" s="62" t="s">
        <v>764</v>
      </c>
      <c r="B59" s="61" t="str">
        <f>[Name]</f>
        <v>pricelist_contents</v>
      </c>
      <c r="C59" s="61" t="str">
        <f>IF(RIGHT([Name],3)="ies",MID([Name],1,LEN([Name])-3)&amp;"y",IF(RIGHT([Name],1)="s",MID([Name],1,LEN([Name])-1),[Name]))</f>
        <v>pricelist_content</v>
      </c>
      <c r="D59" s="61" t="str">
        <f t="shared" si="0"/>
        <v>Firumon\LLM\Model</v>
      </c>
      <c r="E59" s="61" t="str">
        <f>SUBSTITUTE(PROPER([Singular Name]),"_","")</f>
        <v>PricelistContent</v>
      </c>
      <c r="F59" s="61" t="str">
        <f>"php artisan make:migration create_"&amp;[Table]&amp;"_table --create="&amp;[Table]</f>
        <v>php artisan make:migration create_pricelist_contents_table --create=pricelist_contents</v>
      </c>
      <c r="G59" s="61" t="str">
        <f>"php artisan make:model "&amp;[Class Name]</f>
        <v>php artisan make:model PricelistContent</v>
      </c>
      <c r="H59" s="61" t="str">
        <f>"protected $table = '"&amp;[Table]&amp;"';"</f>
        <v>protected $table = 'pricelist_contents';</v>
      </c>
      <c r="I59" s="61" t="str">
        <f>"php artisan make:seed "&amp;[Class Name]&amp;"TableSeeder"</f>
        <v>php artisan make:seed PricelistContentTableSeeder</v>
      </c>
      <c r="J59" s="61" t="str">
        <f>[Class Name]&amp;"TableSeeder"&amp;"::class,"</f>
        <v>PricelistContentTableSeeder::class,</v>
      </c>
    </row>
    <row r="60" spans="1:10">
      <c r="A60" s="60" t="s">
        <v>770</v>
      </c>
      <c r="B60" s="63" t="str">
        <f>[Name]</f>
        <v>identity_labels</v>
      </c>
      <c r="C60" s="63" t="str">
        <f>IF(RIGHT([Name],3)="ies",MID([Name],1,LEN([Name])-3)&amp;"y",IF(RIGHT([Name],1)="s",MID([Name],1,LEN([Name])-1),[Name]))</f>
        <v>identity_label</v>
      </c>
      <c r="D60" s="63" t="str">
        <f t="shared" si="0"/>
        <v>Firumon\LLM\Model</v>
      </c>
      <c r="E60" s="63" t="str">
        <f>SUBSTITUTE(PROPER([Singular Name]),"_","")</f>
        <v>IdentityLabel</v>
      </c>
      <c r="F60" s="63" t="str">
        <f>"php artisan make:migration create_"&amp;[Table]&amp;"_table --create="&amp;[Table]</f>
        <v>php artisan make:migration create_identity_labels_table --create=identity_labels</v>
      </c>
      <c r="G60" s="63" t="str">
        <f>"php artisan make:model "&amp;[Class Name]</f>
        <v>php artisan make:model IdentityLabel</v>
      </c>
      <c r="H60" s="63" t="str">
        <f>"protected $table = '"&amp;[Table]&amp;"';"</f>
        <v>protected $table = 'identity_labels';</v>
      </c>
      <c r="I60" s="63" t="str">
        <f>"php artisan make:seed "&amp;[Class Name]&amp;"TableSeeder"</f>
        <v>php artisan make:seed IdentityLabelTableSeeder</v>
      </c>
      <c r="J60" s="63" t="str">
        <f>[Class Name]&amp;"TableSeeder"&amp;"::class,"</f>
        <v>IdentityLabelTableSeeder::class,</v>
      </c>
    </row>
    <row r="61" spans="1:10">
      <c r="A61" s="60" t="s">
        <v>768</v>
      </c>
      <c r="B61" s="63" t="str">
        <f>[Name]</f>
        <v>orders</v>
      </c>
      <c r="C61" s="63" t="str">
        <f>IF(RIGHT([Name],3)="ies",MID([Name],1,LEN([Name])-3)&amp;"y",IF(RIGHT([Name],1)="s",MID([Name],1,LEN([Name])-1),[Name]))</f>
        <v>order</v>
      </c>
      <c r="D61" s="63" t="str">
        <f t="shared" si="0"/>
        <v>Firumon\LLM\Model</v>
      </c>
      <c r="E61" s="63" t="str">
        <f>SUBSTITUTE(PROPER([Singular Name]),"_","")</f>
        <v>Order</v>
      </c>
      <c r="F61" s="63" t="str">
        <f>"php artisan make:migration create_"&amp;[Table]&amp;"_table --create="&amp;[Table]</f>
        <v>php artisan make:migration create_orders_table --create=orders</v>
      </c>
      <c r="G61" s="63" t="str">
        <f>"php artisan make:model "&amp;[Class Name]</f>
        <v>php artisan make:model Order</v>
      </c>
      <c r="H61" s="63" t="str">
        <f>"protected $table = '"&amp;[Table]&amp;"';"</f>
        <v>protected $table = 'orders';</v>
      </c>
      <c r="I61" s="63" t="str">
        <f>"php artisan make:seed "&amp;[Class Name]&amp;"TableSeeder"</f>
        <v>php artisan make:seed OrderTableSeeder</v>
      </c>
      <c r="J61" s="63" t="str">
        <f>[Class Name]&amp;"TableSeeder"&amp;"::class,"</f>
        <v>OrderTableSeeder::class,</v>
      </c>
    </row>
    <row r="62" spans="1:10">
      <c r="A62" s="62" t="s">
        <v>769</v>
      </c>
      <c r="B62" s="61" t="str">
        <f>[Name]</f>
        <v>order_items</v>
      </c>
      <c r="C62" s="61" t="str">
        <f>IF(RIGHT([Name],3)="ies",MID([Name],1,LEN([Name])-3)&amp;"y",IF(RIGHT([Name],1)="s",MID([Name],1,LEN([Name])-1),[Name]))</f>
        <v>order_item</v>
      </c>
      <c r="D62" s="61" t="str">
        <f t="shared" si="0"/>
        <v>Firumon\LLM\Model</v>
      </c>
      <c r="E62" s="61" t="str">
        <f>SUBSTITUTE(PROPER([Singular Name]),"_","")</f>
        <v>OrderItem</v>
      </c>
      <c r="F62" s="61" t="str">
        <f>"php artisan make:migration create_"&amp;[Table]&amp;"_table --create="&amp;[Table]</f>
        <v>php artisan make:migration create_order_items_table --create=order_items</v>
      </c>
      <c r="G62" s="61" t="str">
        <f>"php artisan make:model "&amp;[Class Name]</f>
        <v>php artisan make:model OrderItem</v>
      </c>
      <c r="H62" s="61" t="str">
        <f>"protected $table = '"&amp;[Table]&amp;"';"</f>
        <v>protected $table = 'order_items';</v>
      </c>
      <c r="I62" s="61" t="str">
        <f>"php artisan make:seed "&amp;[Class Name]&amp;"TableSeeder"</f>
        <v>php artisan make:seed OrderItemTableSeeder</v>
      </c>
      <c r="J62" s="61" t="str">
        <f>[Class Name]&amp;"TableSeeder"&amp;"::class,"</f>
        <v>OrderItemTableSeeder::class,</v>
      </c>
    </row>
    <row r="63" spans="1:10">
      <c r="A63" s="62" t="s">
        <v>771</v>
      </c>
      <c r="B63" s="63" t="str">
        <f>[Name]</f>
        <v>order_item_services</v>
      </c>
      <c r="C63" s="63" t="str">
        <f>IF(RIGHT([Name],3)="ies",MID([Name],1,LEN([Name])-3)&amp;"y",IF(RIGHT([Name],1)="s",MID([Name],1,LEN([Name])-1),[Name]))</f>
        <v>order_item_service</v>
      </c>
      <c r="D63" s="63" t="str">
        <f t="shared" si="0"/>
        <v>Firumon\LLM\Model</v>
      </c>
      <c r="E63" s="63" t="str">
        <f>SUBSTITUTE(PROPER([Singular Name]),"_","")</f>
        <v>OrderItemService</v>
      </c>
      <c r="F63" s="63" t="str">
        <f>"php artisan make:migration create_"&amp;[Table]&amp;"_table --create="&amp;[Table]</f>
        <v>php artisan make:migration create_order_item_services_table --create=order_item_services</v>
      </c>
      <c r="G63" s="63" t="str">
        <f>"php artisan make:model "&amp;[Class Name]</f>
        <v>php artisan make:model OrderItemService</v>
      </c>
      <c r="H63" s="63" t="str">
        <f>"protected $table = '"&amp;[Table]&amp;"';"</f>
        <v>protected $table = 'order_item_services';</v>
      </c>
      <c r="I63" s="63" t="str">
        <f>"php artisan make:seed "&amp;[Class Name]&amp;"TableSeeder"</f>
        <v>php artisan make:seed OrderItemServiceTableSeeder</v>
      </c>
      <c r="J63" s="63" t="str">
        <f>[Class Name]&amp;"TableSeeder"&amp;"::class,"</f>
        <v>OrderItemServiceTableSeeder::class,</v>
      </c>
    </row>
    <row r="64" spans="1:10">
      <c r="A64" s="62" t="s">
        <v>842</v>
      </c>
      <c r="B64" s="63" t="str">
        <f>[Name]</f>
        <v>invoices</v>
      </c>
      <c r="C64" s="63" t="str">
        <f>IF(RIGHT([Name],3)="ies",MID([Name],1,LEN([Name])-3)&amp;"y",IF(RIGHT([Name],1)="s",MID([Name],1,LEN([Name])-1),[Name]))</f>
        <v>invoice</v>
      </c>
      <c r="D64" s="63" t="str">
        <f t="shared" si="0"/>
        <v>Firumon\LLM\Model</v>
      </c>
      <c r="E64" s="63" t="str">
        <f>SUBSTITUTE(PROPER([Singular Name]),"_","")</f>
        <v>Invoice</v>
      </c>
      <c r="F64" s="63" t="str">
        <f>"php artisan make:migration create_"&amp;[Table]&amp;"_table --create="&amp;[Table]</f>
        <v>php artisan make:migration create_invoices_table --create=invoices</v>
      </c>
      <c r="G64" s="63" t="str">
        <f>"php artisan make:model "&amp;[Class Name]</f>
        <v>php artisan make:model Invoice</v>
      </c>
      <c r="H64" s="63" t="str">
        <f>"protected $table = '"&amp;[Table]&amp;"';"</f>
        <v>protected $table = 'invoices';</v>
      </c>
      <c r="I64" s="63" t="str">
        <f>"php artisan make:seed "&amp;[Class Name]&amp;"TableSeeder"</f>
        <v>php artisan make:seed InvoiceTableSeeder</v>
      </c>
      <c r="J64" s="63" t="str">
        <f>[Class Name]&amp;"TableSeeder"&amp;"::class,"</f>
        <v>InvoiceTableSeeder::class,</v>
      </c>
    </row>
    <row r="65" spans="1:10">
      <c r="A65" s="62" t="s">
        <v>843</v>
      </c>
      <c r="B65" s="63" t="str">
        <f>[Name]</f>
        <v>invoice_items</v>
      </c>
      <c r="C65" s="63" t="str">
        <f>IF(RIGHT([Name],3)="ies",MID([Name],1,LEN([Name])-3)&amp;"y",IF(RIGHT([Name],1)="s",MID([Name],1,LEN([Name])-1),[Name]))</f>
        <v>invoice_item</v>
      </c>
      <c r="D65" s="63" t="str">
        <f t="shared" si="0"/>
        <v>Firumon\LLM\Model</v>
      </c>
      <c r="E65" s="63" t="str">
        <f>SUBSTITUTE(PROPER([Singular Name]),"_","")</f>
        <v>InvoiceItem</v>
      </c>
      <c r="F65" s="63" t="str">
        <f>"php artisan make:migration create_"&amp;[Table]&amp;"_table --create="&amp;[Table]</f>
        <v>php artisan make:migration create_invoice_items_table --create=invoice_items</v>
      </c>
      <c r="G65" s="63" t="str">
        <f>"php artisan make:model "&amp;[Class Name]</f>
        <v>php artisan make:model InvoiceItem</v>
      </c>
      <c r="H65" s="63" t="str">
        <f>"protected $table = '"&amp;[Table]&amp;"';"</f>
        <v>protected $table = 'invoice_items';</v>
      </c>
      <c r="I65" s="63" t="str">
        <f>"php artisan make:seed "&amp;[Class Name]&amp;"TableSeeder"</f>
        <v>php artisan make:seed InvoiceItemTableSeeder</v>
      </c>
      <c r="J65" s="63" t="str">
        <f>[Class Name]&amp;"TableSeeder"&amp;"::class,"</f>
        <v>InvoiceItemTableSeeder::class,</v>
      </c>
    </row>
    <row r="66" spans="1:10">
      <c r="A66" s="62" t="s">
        <v>772</v>
      </c>
      <c r="B66" s="63" t="str">
        <f>[Name]</f>
        <v>order_item_service_user</v>
      </c>
      <c r="C66" s="63" t="str">
        <f>IF(RIGHT([Name],3)="ies",MID([Name],1,LEN([Name])-3)&amp;"y",IF(RIGHT([Name],1)="s",MID([Name],1,LEN([Name])-1),[Name]))</f>
        <v>order_item_service_user</v>
      </c>
      <c r="D66" s="63" t="str">
        <f t="shared" si="0"/>
        <v>Firumon\LLM\Model</v>
      </c>
      <c r="E66" s="63" t="str">
        <f>SUBSTITUTE(PROPER([Singular Name]),"_","")</f>
        <v>OrderItemServiceUser</v>
      </c>
      <c r="F66" s="63" t="str">
        <f>"php artisan make:migration create_"&amp;[Table]&amp;"_table --create="&amp;[Table]</f>
        <v>php artisan make:migration create_order_item_service_user_table --create=order_item_service_user</v>
      </c>
      <c r="G66" s="63" t="str">
        <f>"php artisan make:model "&amp;[Class Name]</f>
        <v>php artisan make:model OrderItemServiceUser</v>
      </c>
      <c r="H66" s="63" t="str">
        <f>"protected $table = '"&amp;[Table]&amp;"';"</f>
        <v>protected $table = 'order_item_service_user';</v>
      </c>
      <c r="I66" s="63" t="str">
        <f>"php artisan make:seed "&amp;[Class Name]&amp;"TableSeeder"</f>
        <v>php artisan make:seed OrderItemServiceUserTableSeeder</v>
      </c>
      <c r="J66" s="63" t="str">
        <f>[Class Name]&amp;"TableSeeder"&amp;"::class,"</f>
        <v>OrderItemServiceUserTableSeeder::class,</v>
      </c>
    </row>
    <row r="67" spans="1:10">
      <c r="A67" s="62" t="s">
        <v>773</v>
      </c>
      <c r="B67" s="63" t="str">
        <f>[Name]</f>
        <v>receipts</v>
      </c>
      <c r="C67" s="63" t="str">
        <f>IF(RIGHT([Name],3)="ies",MID([Name],1,LEN([Name])-3)&amp;"y",IF(RIGHT([Name],1)="s",MID([Name],1,LEN([Name])-1),[Name]))</f>
        <v>receipt</v>
      </c>
      <c r="D67" s="63" t="str">
        <f t="shared" si="0"/>
        <v>Firumon\LLM\Model</v>
      </c>
      <c r="E67" s="63" t="str">
        <f>SUBSTITUTE(PROPER([Singular Name]),"_","")</f>
        <v>Receipt</v>
      </c>
      <c r="F67" s="63" t="str">
        <f>"php artisan make:migration create_"&amp;[Table]&amp;"_table --create="&amp;[Table]</f>
        <v>php artisan make:migration create_receipts_table --create=receipts</v>
      </c>
      <c r="G67" s="63" t="str">
        <f>"php artisan make:model "&amp;[Class Name]</f>
        <v>php artisan make:model Receipt</v>
      </c>
      <c r="H67" s="63" t="str">
        <f>"protected $table = '"&amp;[Table]&amp;"';"</f>
        <v>protected $table = 'receipts';</v>
      </c>
      <c r="I67" s="63" t="str">
        <f>"php artisan make:seed "&amp;[Class Name]&amp;"TableSeeder"</f>
        <v>php artisan make:seed ReceiptTableSeeder</v>
      </c>
      <c r="J67" s="63" t="str">
        <f>[Class Name]&amp;"TableSeeder"&amp;"::class,"</f>
        <v>ReceiptTableSeeder::class,</v>
      </c>
    </row>
    <row r="68" spans="1:10">
      <c r="A68" s="62" t="s">
        <v>852</v>
      </c>
      <c r="B68" s="63" t="str">
        <f>[Name]</f>
        <v>delivery</v>
      </c>
      <c r="C68" s="63" t="str">
        <f>IF(RIGHT([Name],3)="ies",MID([Name],1,LEN([Name])-3)&amp;"y",IF(RIGHT([Name],1)="s",MID([Name],1,LEN([Name])-1),[Name]))</f>
        <v>delivery</v>
      </c>
      <c r="D68" s="63" t="str">
        <f t="shared" si="0"/>
        <v>Firumon\LLM\Model</v>
      </c>
      <c r="E68" s="63" t="str">
        <f>SUBSTITUTE(PROPER([Singular Name]),"_","")</f>
        <v>Delivery</v>
      </c>
      <c r="F68" s="63" t="str">
        <f>"php artisan make:migration create_"&amp;[Table]&amp;"_table --create="&amp;[Table]</f>
        <v>php artisan make:migration create_delivery_table --create=delivery</v>
      </c>
      <c r="G68" s="63" t="str">
        <f>"php artisan make:model "&amp;[Class Name]</f>
        <v>php artisan make:model Delivery</v>
      </c>
      <c r="H68" s="63" t="str">
        <f>"protected $table = '"&amp;[Table]&amp;"';"</f>
        <v>protected $table = 'delivery';</v>
      </c>
      <c r="I68" s="63" t="str">
        <f>"php artisan make:seed "&amp;[Class Name]&amp;"TableSeeder"</f>
        <v>php artisan make:seed DeliveryTableSeeder</v>
      </c>
      <c r="J68" s="63" t="str">
        <f>[Class Name]&amp;"TableSeeder"&amp;"::class,"</f>
        <v>DeliveryTableSeeder::class,</v>
      </c>
    </row>
    <row r="69" spans="1:10">
      <c r="A69" s="62" t="s">
        <v>999</v>
      </c>
      <c r="B69" s="63" t="str">
        <f>[Name]</f>
        <v>delivery_items</v>
      </c>
      <c r="C69" s="63" t="str">
        <f>IF(RIGHT([Name],3)="ies",MID([Name],1,LEN([Name])-3)&amp;"y",IF(RIGHT([Name],1)="s",MID([Name],1,LEN([Name])-1),[Name]))</f>
        <v>delivery_item</v>
      </c>
      <c r="D69" s="63" t="str">
        <f t="shared" si="0"/>
        <v>Firumon\LLM\Model</v>
      </c>
      <c r="E69" s="63" t="str">
        <f>SUBSTITUTE(PROPER([Singular Name]),"_","")</f>
        <v>DeliveryItem</v>
      </c>
      <c r="F69" s="63" t="str">
        <f>"php artisan make:migration create_"&amp;[Table]&amp;"_table --create="&amp;[Table]</f>
        <v>php artisan make:migration create_delivery_items_table --create=delivery_items</v>
      </c>
      <c r="G69" s="63" t="str">
        <f>"php artisan make:model "&amp;[Class Name]</f>
        <v>php artisan make:model DeliveryItem</v>
      </c>
      <c r="H69" s="63" t="str">
        <f>"protected $table = '"&amp;[Table]&amp;"';"</f>
        <v>protected $table = 'delivery_items';</v>
      </c>
      <c r="I69" s="63" t="str">
        <f>"php artisan make:seed "&amp;[Class Name]&amp;"TableSeeder"</f>
        <v>php artisan make:seed DeliveryItemTableSeeder</v>
      </c>
      <c r="J69" s="63" t="str">
        <f>[Class Name]&amp;"TableSeeder"&amp;"::class,"</f>
        <v>DeliveryItemTableSeeder::class,</v>
      </c>
    </row>
    <row r="70" spans="1:10">
      <c r="A70" s="62" t="s">
        <v>774</v>
      </c>
      <c r="B70" s="63" t="str">
        <f>[Name]</f>
        <v>hub_shift</v>
      </c>
      <c r="C70" s="63" t="str">
        <f>IF(RIGHT([Name],3)="ies",MID([Name],1,LEN([Name])-3)&amp;"y",IF(RIGHT([Name],1)="s",MID([Name],1,LEN([Name])-1),[Name]))</f>
        <v>hub_shift</v>
      </c>
      <c r="D70" s="63" t="str">
        <f t="shared" si="0"/>
        <v>Firumon\LLM\Model</v>
      </c>
      <c r="E70" s="63" t="str">
        <f>SUBSTITUTE(PROPER([Singular Name]),"_","")</f>
        <v>HubShift</v>
      </c>
      <c r="F70" s="63" t="str">
        <f>"php artisan make:migration create_"&amp;[Table]&amp;"_table --create="&amp;[Table]</f>
        <v>php artisan make:migration create_hub_shift_table --create=hub_shift</v>
      </c>
      <c r="G70" s="63" t="str">
        <f>"php artisan make:model "&amp;[Class Name]</f>
        <v>php artisan make:model HubShift</v>
      </c>
      <c r="H70" s="63" t="str">
        <f>"protected $table = '"&amp;[Table]&amp;"';"</f>
        <v>protected $table = 'hub_shift';</v>
      </c>
      <c r="I70" s="63" t="str">
        <f>"php artisan make:seed "&amp;[Class Name]&amp;"TableSeeder"</f>
        <v>php artisan make:seed HubShiftTableSeeder</v>
      </c>
      <c r="J70" s="63" t="str">
        <f>[Class Name]&amp;"TableSeeder"&amp;"::class,"</f>
        <v>HubShiftTableSeeder::class,</v>
      </c>
    </row>
    <row r="71" spans="1:10">
      <c r="A71" s="62" t="s">
        <v>775</v>
      </c>
      <c r="B71" s="63" t="str">
        <f>[Name]</f>
        <v>hub_shift_items</v>
      </c>
      <c r="C71" s="63" t="str">
        <f>IF(RIGHT([Name],3)="ies",MID([Name],1,LEN([Name])-3)&amp;"y",IF(RIGHT([Name],1)="s",MID([Name],1,LEN([Name])-1),[Name]))</f>
        <v>hub_shift_item</v>
      </c>
      <c r="D71" s="63" t="str">
        <f t="shared" si="0"/>
        <v>Firumon\LLM\Model</v>
      </c>
      <c r="E71" s="63" t="str">
        <f>SUBSTITUTE(PROPER([Singular Name]),"_","")</f>
        <v>HubShiftItem</v>
      </c>
      <c r="F71" s="63" t="str">
        <f>"php artisan make:migration create_"&amp;[Table]&amp;"_table --create="&amp;[Table]</f>
        <v>php artisan make:migration create_hub_shift_items_table --create=hub_shift_items</v>
      </c>
      <c r="G71" s="63" t="str">
        <f>"php artisan make:model "&amp;[Class Name]</f>
        <v>php artisan make:model HubShiftItem</v>
      </c>
      <c r="H71" s="63" t="str">
        <f>"protected $table = '"&amp;[Table]&amp;"';"</f>
        <v>protected $table = 'hub_shift_items';</v>
      </c>
      <c r="I71" s="63" t="str">
        <f>"php artisan make:seed "&amp;[Class Name]&amp;"TableSeeder"</f>
        <v>php artisan make:seed HubShiftItemTableSeeder</v>
      </c>
      <c r="J71" s="63" t="str">
        <f>[Class Name]&amp;"TableSeeder"&amp;"::class,"</f>
        <v>HubShiftItemTableSeeder::class,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89"/>
  <sheetViews>
    <sheetView topLeftCell="J55" workbookViewId="0">
      <selection activeCell="AP69" sqref="AP69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8.7109375" customWidth="1"/>
    <col min="9" max="9" width="12.85546875" bestFit="1" customWidth="1"/>
    <col min="10" max="10" width="12.140625" bestFit="1" customWidth="1"/>
    <col min="11" max="11" width="10.140625" style="20" customWidth="1"/>
    <col min="13" max="13" width="17.42578125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9.425781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7.5703125" style="20" hidden="1" customWidth="1"/>
    <col min="64" max="64" width="28.28515625" style="20" hidden="1" customWidth="1"/>
    <col min="65" max="65" width="9.28515625" hidden="1" customWidth="1"/>
    <col min="66" max="66" width="13.7109375" hidden="1" customWidth="1"/>
    <col min="67" max="67" width="15.140625" customWidth="1"/>
    <col min="68" max="68" width="28.85546875" customWidth="1"/>
    <col min="69" max="70" width="9.5703125" customWidth="1"/>
    <col min="71" max="71" width="9.5703125" style="20" customWidth="1"/>
    <col min="72" max="72" width="13.85546875" style="20" customWidth="1"/>
    <col min="73" max="73" width="27.7109375" style="20" hidden="1" customWidth="1"/>
    <col min="74" max="74" width="24.5703125" style="20" customWidth="1"/>
    <col min="75" max="75" width="27" style="20" customWidth="1"/>
    <col min="76" max="76" width="19.85546875" style="20" customWidth="1"/>
    <col min="77" max="77" width="30.8554687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5" width="8.28515625" hidden="1" customWidth="1"/>
    <col min="86" max="86" width="27.140625" style="20" customWidth="1"/>
    <col min="87" max="88" width="8.28515625" hidden="1" customWidth="1"/>
    <col min="89" max="90" width="11.7109375" customWidth="1"/>
    <col min="91" max="91" width="11.7109375" style="20" customWidth="1"/>
    <col min="92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hidden="1" customWidth="1"/>
    <col min="105" max="105" width="13.85546875" style="20" customWidth="1"/>
    <col min="106" max="106" width="24.7109375" style="20" customWidth="1"/>
    <col min="107" max="109" width="24.7109375" hidden="1" customWidth="1"/>
    <col min="110" max="114" width="24.7109375" customWidth="1"/>
    <col min="115" max="115" width="21.42578125" customWidth="1"/>
    <col min="116" max="117" width="28.7109375" customWidth="1"/>
    <col min="118" max="118" width="24.140625" customWidth="1"/>
    <col min="119" max="121" width="12" hidden="1" customWidth="1"/>
    <col min="122" max="127" width="12" customWidth="1"/>
    <col min="128" max="128" width="22" customWidth="1"/>
    <col min="129" max="129" width="27.42578125" customWidth="1"/>
    <col min="130" max="130" width="19.42578125" customWidth="1"/>
    <col min="131" max="131" width="28.28515625" customWidth="1"/>
    <col min="132" max="134" width="13.28515625" hidden="1" customWidth="1"/>
    <col min="135" max="135" width="20.42578125" hidden="1" customWidth="1"/>
    <col min="136" max="136" width="22.140625" hidden="1" customWidth="1"/>
    <col min="137" max="137" width="24.140625" customWidth="1"/>
    <col min="138" max="141" width="14.140625" hidden="1" customWidth="1"/>
    <col min="142" max="143" width="15.42578125" hidden="1" customWidth="1"/>
    <col min="144" max="144" width="27" customWidth="1"/>
    <col min="145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1388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8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5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6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16" t="str">
        <f>'Table Seed Map'!$A$11&amp;"-"&amp;(COUNTA($F$1:ResourceForms[[#This Row],[Resource]])-2)</f>
        <v>Resource Forms-1</v>
      </c>
      <c r="B3" s="16" t="str">
        <f>ResourceForms[[#This Row],[Resource Name]]&amp;"/"&amp;ResourceForms[[#This Row],[Name]]</f>
        <v>Owner/NewOwnerForm</v>
      </c>
      <c r="C3" s="16">
        <f>COUNTA($A$1:ResourceForms[[#This Row],[Primary]])-2</f>
        <v>1</v>
      </c>
      <c r="D3" s="14" t="s">
        <v>1119</v>
      </c>
      <c r="E3" s="16">
        <f>IF(ResourceForms[[#This Row],[No]]=0,"id",ResourceForms[[#This Row],[No]]+IF(ISNUMBER(VLOOKUP('Table Seed Map'!$A$11,SeedMap[],9,0)),VLOOKUP('Table Seed Map'!$A$11,SeedMap[],9,0),0))</f>
        <v>2110101</v>
      </c>
      <c r="F3" s="16">
        <f>IFERROR(VLOOKUP(ResourceForms[[#This Row],[Resource Name]],ResourceTable[[RName]:[No]],3,0),"resource")</f>
        <v>2106103</v>
      </c>
      <c r="G3" s="9" t="s">
        <v>1136</v>
      </c>
      <c r="H3" s="16"/>
      <c r="I3" s="9" t="s">
        <v>1119</v>
      </c>
      <c r="J3" s="9" t="s">
        <v>1135</v>
      </c>
      <c r="K3" s="77">
        <f>[ID]</f>
        <v>2110101</v>
      </c>
      <c r="M3" s="80" t="str">
        <f>'Table Seed Map'!$A$12&amp;"-"&amp;FormFields[[#This Row],[No]]</f>
        <v>Form Fields-1</v>
      </c>
      <c r="N3" s="81" t="s">
        <v>1347</v>
      </c>
      <c r="O3" s="38">
        <f>COUNTA($N$1:FormFields[[#This Row],[Form Name]])-1</f>
        <v>1</v>
      </c>
      <c r="P3" s="80" t="str">
        <f>FormFields[[#This Row],[Form Name]]&amp;"/"&amp;FormFields[[#This Row],[Name]]</f>
        <v>Owner/NewOwnerForm/name</v>
      </c>
      <c r="Q3" s="38">
        <f>IF(FormFields[[#This Row],[No]]=0,"id",FormFields[[#This Row],[No]]+IF(ISNUMBER(VLOOKUP('Table Seed Map'!$A$12,SeedMap[],9,0)),VLOOKUP('Table Seed Map'!$A$12,SeedMap[],9,0),0))</f>
        <v>2111101</v>
      </c>
      <c r="R3" s="82">
        <f>IFERROR(VLOOKUP(FormFields[[#This Row],[Form Name]],ResourceForms[[FormName]:[ID]],4,0),"resource_form")</f>
        <v>2110101</v>
      </c>
      <c r="S3" s="83" t="s">
        <v>23</v>
      </c>
      <c r="T3" s="83" t="s">
        <v>1137</v>
      </c>
      <c r="U3" s="83" t="s">
        <v>1138</v>
      </c>
      <c r="V3" s="84"/>
      <c r="W3" s="84"/>
      <c r="X3" s="84"/>
      <c r="Y3" s="84"/>
      <c r="Z3" s="85" t="str">
        <f>'Table Seed Map'!$A$13&amp;"-"&amp;FormFields[[#This Row],[NO2]]</f>
        <v>Field Data-1</v>
      </c>
      <c r="AA3" s="86">
        <f>COUNTIFS($AB$1:FormFields[[#This Row],[Exists]],1)-1</f>
        <v>1</v>
      </c>
      <c r="AB3" s="86">
        <f>IF(AND(FormFields[[#This Row],[Attribute]]="",FormFields[[#This Row],[Rel]]=""),0,1)</f>
        <v>1</v>
      </c>
      <c r="AC3" s="86">
        <f>IF(FormFields[[#This Row],[NO2]]=0,"id",FormFields[[#This Row],[NO2]]+IF(ISNUMBER(VLOOKUP('Table Seed Map'!$A$13,SeedMap[],9,0)),VLOOKUP('Table Seed Map'!$A$13,SeedMap[],9,0),0))</f>
        <v>2112101</v>
      </c>
      <c r="AD3" s="87">
        <f>IF(FormFields[[#This Row],[ID]]="id","form_field",FormFields[[#This Row],[ID]])</f>
        <v>2111101</v>
      </c>
      <c r="AE3" s="86" t="str">
        <f>IF(FormFields[[#This Row],[No]]=0,"attribute",FormFields[[#This Row],[Name]])</f>
        <v>name</v>
      </c>
      <c r="AF3" s="55" t="str">
        <f>IF(FormFields[[#This Row],[NO2]]=0,"relation",IF(FormFields[[#This Row],[Rel]]="","",VLOOKUP(FormFields[[#This Row],[Rel]],RelationTable[[Display]:[RELID]],2,0)))</f>
        <v/>
      </c>
      <c r="AG3" s="55" t="str">
        <f>IF(FormFields[[#This Row],[NO2]]=0,"nest_relation1",IF(FormFields[[#This Row],[Rel1]]="","",VLOOKUP(FormFields[[#This Row],[Rel1]],RelationTable[[Display]:[RELID]],2,0)))</f>
        <v/>
      </c>
      <c r="AH3" s="55" t="str">
        <f>IF(FormFields[[#This Row],[NO2]]=0,"nest_relation2",IF(FormFields[[#This Row],[Rel2]]="","",VLOOKUP(FormFields[[#This Row],[Rel2]],RelationTable[[Display]:[RELID]],2,0)))</f>
        <v/>
      </c>
      <c r="AI3" s="55" t="str">
        <f>IF(FormFields[[#This Row],[NO2]]=0,"nest_relation3",IF(FormFields[[#This Row],[Rel3]]="","",VLOOKUP(FormFields[[#This Row],[Rel3]],RelationTable[[Display]:[RELID]],2,0)))</f>
        <v/>
      </c>
      <c r="AJ3" s="38">
        <f>IF(OR(FormFields[[#This Row],[Option Type]]="",FormFields[[#This Row],[Option Type]]="type"),0,1)</f>
        <v>0</v>
      </c>
      <c r="AK3" s="38" t="str">
        <f>'Table Seed Map'!$A$14&amp;"-"&amp;FormFields[[#This Row],[NO4]]</f>
        <v>Field Options-0</v>
      </c>
      <c r="AL3" s="38">
        <f>COUNTIF($AJ$2:FormFields[[#This Row],[Exists FO]],1)</f>
        <v>0</v>
      </c>
      <c r="AM3" s="38" t="str">
        <f>IF(FormFields[[#This Row],[NO4]]=0,"id",FormFields[[#This Row],[NO4]]+IF(ISNUMBER(VLOOKUP('Table Seed Map'!$A$14,SeedMap[],9,0)),VLOOKUP('Table Seed Map'!$A$14,SeedMap[],9,0),0))</f>
        <v>id</v>
      </c>
      <c r="AN3" s="88">
        <f>IF(FormFields[[#This Row],[ID]]="id","form_field",FormFields[[#This Row],[ID]])</f>
        <v>2111101</v>
      </c>
      <c r="AO3" s="89"/>
      <c r="AP3" s="89"/>
      <c r="AQ3" s="89"/>
      <c r="AR3" s="89"/>
      <c r="AS3" s="89"/>
      <c r="AT3" s="38">
        <f>IF(OR(FormFields[[#This Row],[Colspan]]="",FormFields[[#This Row],[Colspan]]="colspan"),0,1)</f>
        <v>0</v>
      </c>
      <c r="AU3" s="38" t="str">
        <f>'Table Seed Map'!$A$19&amp;"-"&amp;FormFields[[#This Row],[NO8]]</f>
        <v>Form Layout-0</v>
      </c>
      <c r="AV3" s="38">
        <f>COUNTIF($AT$1:FormFields[[#This Row],[Exists FL]],1)</f>
        <v>0</v>
      </c>
      <c r="AW3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38">
        <f>[Form]</f>
        <v>2110101</v>
      </c>
      <c r="AY3" s="38">
        <f>IF(FormFields[[#This Row],[ID]]="id","form_field",FormFields[[#This Row],[ID]])</f>
        <v>2111101</v>
      </c>
      <c r="AZ3" s="90"/>
      <c r="BA3" s="88">
        <f>FormFields[[#This Row],[ID]]</f>
        <v>2111101</v>
      </c>
      <c r="BC3" s="60" t="s">
        <v>1349</v>
      </c>
      <c r="BD3" s="61" t="str">
        <f>'Table Seed Map'!$A$15&amp;"-"&amp;(-1+COUNTA($BC$1:FieldAttrs[[#This Row],[ATTR Field]]))</f>
        <v>Field Attrs-1</v>
      </c>
      <c r="BE3" s="68">
        <f>IF(FieldAttrs[[#This Row],[ATTR Field]]="","id",-1+COUNTA($BC$1:FieldAttrs[[#This Row],[ATTR Field]])+VLOOKUP('Table Seed Map'!$A$15,SeedMap[],9,0))</f>
        <v>2114101</v>
      </c>
      <c r="BF3" s="58">
        <f>IFERROR(VLOOKUP([ATTR Field],FormFields[[Field Name]:[ID]],2,0),"form_field")</f>
        <v>2111101</v>
      </c>
      <c r="BG3" s="104" t="s">
        <v>1193</v>
      </c>
      <c r="BH3" s="104">
        <v>4</v>
      </c>
      <c r="BJ3" s="62" t="s">
        <v>1350</v>
      </c>
      <c r="BK3" s="63">
        <f>COUNTA($BJ$2:FieldValidations[[#This Row],[Validation Field]])</f>
        <v>1</v>
      </c>
      <c r="BL3" s="63" t="str">
        <f>'Table Seed Map'!$A$17&amp;"-"&amp;FieldValidations[[#This Row],[ID No]]</f>
        <v>Field Validations-1</v>
      </c>
      <c r="BM3" s="69">
        <f>IF(FieldValidations[[#This Row],[ID No]]=0,"id",FieldValidations[[#This Row],[ID No]]+VLOOKUP('Table Seed Map'!$A$17,SeedMap[],9,0))</f>
        <v>2116101</v>
      </c>
      <c r="BN3" s="69">
        <f>VLOOKUP([Validation Field],FormFields[[Field Name]:[ID]],2,0)</f>
        <v>2111102</v>
      </c>
      <c r="BO3" s="107" t="s">
        <v>1373</v>
      </c>
      <c r="BP3" s="107" t="s">
        <v>1379</v>
      </c>
      <c r="BQ3" s="107"/>
      <c r="BR3" s="107"/>
      <c r="BS3" s="107"/>
      <c r="BU3" s="69" t="str">
        <f>'Table Seed Map'!$A$22&amp;"-"&amp;COUNTA($BV$1:FormCollection[[#This Row],[Main Form for Collection]])-1</f>
        <v>Form Collection-1</v>
      </c>
      <c r="BV3" s="107" t="s">
        <v>1188</v>
      </c>
      <c r="BW3" s="107" t="s">
        <v>1200</v>
      </c>
      <c r="BX3" s="107" t="s">
        <v>1783</v>
      </c>
      <c r="BY3" s="107" t="s">
        <v>1204</v>
      </c>
      <c r="BZ3" s="107">
        <f>IF($BZ2="id",IF(ISNUMBER(VLOOKUP('Table Seed Map'!$A$22,SeedMap[],9,0)),VLOOKUP('Table Seed Map'!$A$22,SeedMap[],9,0)+1,1),IFERROR($BZ2+1,"id"))</f>
        <v>2121101</v>
      </c>
      <c r="CA3" s="107">
        <f>IFERROR(VLOOKUP([Main Form for Collection],ResourceForms[[FormName]:[ID]],4,0),"resource_form")</f>
        <v>2110107</v>
      </c>
      <c r="CB3" s="107">
        <f>IFERROR(VLOOKUP([Collection Form],ResourceForms[[FormName]:[ID]],4,0),"collection_form")</f>
        <v>2110108</v>
      </c>
      <c r="CC3" s="69">
        <f>IFERROR(VLOOKUP([Relation],RelationTable[[Display]:[RELID]],2,0),"")</f>
        <v>2109124</v>
      </c>
      <c r="CD3" s="69">
        <f>IFERROR(VLOOKUP([Foreign Field],FormFields[[Field Name]:[ID]],2,0),"")</f>
        <v>2111127</v>
      </c>
      <c r="CE3" s="20"/>
      <c r="CF3" s="68">
        <f>COUNTA($CH$1:FormDefault[[#This Row],[Form for Default]])-1</f>
        <v>1</v>
      </c>
      <c r="CG3" s="61" t="str">
        <f>'Table Seed Map'!$A$21&amp;"-"&amp;FormDefault[[#This Row],[No]]</f>
        <v>Form Defaults-1</v>
      </c>
      <c r="CH3" s="1" t="s">
        <v>1347</v>
      </c>
      <c r="CI3" s="68">
        <f>IF(FormDefault[[#This Row],[No]]=0,"id",FormDefault[[#This Row],[No]]+IF(ISNUMBER(VLOOKUP('Table Seed Map'!$A$21,SeedMap[],9,0)),VLOOKUP('Table Seed Map'!$A$21,SeedMap[],9,0),0))</f>
        <v>2120101</v>
      </c>
      <c r="CJ3" s="68">
        <f>IFERROR(VLOOKUP(FormDefault[[#This Row],[Form for Default]],ResourceForms[[FormName]:[ID]],4,0),"resource_form")</f>
        <v>2110101</v>
      </c>
      <c r="CK3" s="108" t="s">
        <v>59</v>
      </c>
      <c r="CL3" s="108">
        <v>2102102</v>
      </c>
      <c r="CM3" s="69">
        <f>IFERROR(VLOOKUP(FormDefault[[#This Row],[R]],RelationTable[[Display]:[RELID]],2,0),"")</f>
        <v>2109103</v>
      </c>
      <c r="CN3" s="108" t="s">
        <v>63</v>
      </c>
      <c r="CO3" s="68" t="str">
        <f>IFERROR(VLOOKUP(FormDefault[[#This Row],[R1]],RelationTable[[Display]:[RELID]],2,0),"")</f>
        <v/>
      </c>
      <c r="CP3" s="68" t="str">
        <f>IFERROR(VLOOKUP(FormDefault[[#This Row],[R2]],RelationTable[[Display]:[RELID]],2,0),"")</f>
        <v/>
      </c>
      <c r="CQ3" s="68" t="str">
        <f>IFERROR(VLOOKUP(FormDefault[[#This Row],[R3]],RelationTable[[Display]:[RELID]],2,0),"")</f>
        <v/>
      </c>
      <c r="CR3" s="108"/>
      <c r="CS3" s="108" t="s">
        <v>1378</v>
      </c>
      <c r="CT3" s="108"/>
      <c r="CU3" s="108"/>
      <c r="CV3" s="108"/>
      <c r="CW3" s="108"/>
      <c r="CX3" s="108"/>
      <c r="CY3" s="108"/>
      <c r="CZ3" s="108"/>
      <c r="DA3"/>
      <c r="DB3" s="62" t="s">
        <v>1233</v>
      </c>
      <c r="DC3" s="63" t="str">
        <f>'Table Seed Map'!$A$18&amp;"-"&amp;COUNTA($DB$2:FieldDepends[[#This Row],[Field for Depend]])</f>
        <v>Field Depends-1</v>
      </c>
      <c r="DD3" s="69">
        <f>IF(FieldDepends[[#This Row],[Field for Depend]]="","id",-1+COUNTA($DB$1:FieldDepends[[#This Row],[Field for Depend]])+VLOOKUP('Table Seed Map'!$A$18,SeedMap[],9,0))</f>
        <v>2117101</v>
      </c>
      <c r="DE3" s="69">
        <f>IFERROR(VLOOKUP(FieldDepends[[#This Row],[Field for Depend]],FormFields[[Field Name]:[ID]],2,0),"form_field")</f>
        <v>2111137</v>
      </c>
      <c r="DF3" s="63" t="s">
        <v>809</v>
      </c>
      <c r="DG3" s="62" t="s">
        <v>809</v>
      </c>
      <c r="DH3" s="62" t="s">
        <v>1717</v>
      </c>
      <c r="DI3" s="62"/>
      <c r="DJ3" s="62"/>
      <c r="DK3" s="62"/>
      <c r="DL3" s="62" t="s">
        <v>1718</v>
      </c>
      <c r="DY3" s="62" t="s">
        <v>1152</v>
      </c>
      <c r="DZ3" s="62" t="s">
        <v>1554</v>
      </c>
      <c r="EA3" s="62" t="s">
        <v>1335</v>
      </c>
      <c r="EB3" s="63" t="str">
        <f>'Table Seed Map'!$A$20&amp;"-"&amp;-1+COUNTA($DY$1:FormDataMapping[[#This Row],[Form for Data Mapping]])</f>
        <v>Form Data Map-1</v>
      </c>
      <c r="EC3" s="63">
        <f>IF(FormDataMapping[[#This Row],[Form for Data Mapping]]="","id",-1+COUNTA($DY$1:FormDataMapping[[#This Row],[Form for Data Mapping]])+VLOOKUP('Table Seed Map'!$A$20,SeedMap[],9,0))</f>
        <v>2119101</v>
      </c>
      <c r="ED3" s="62">
        <f>IF(FormDataMapping[[#This Row],[Form for Data Mapping]]="","resource_form",VLOOKUP([Form for Data Mapping],ResourceForms[[FormName]:[ID]],4,0))</f>
        <v>2110104</v>
      </c>
      <c r="EE3" s="63">
        <f>IF(FormDataMapping[[#This Row],[Form for Data Mapping]]="","resource_data",VLOOKUP([Resource Data],ResourceData[[DataDisplayName]:[ID]],8,0))</f>
        <v>2128103</v>
      </c>
      <c r="EF3" s="63">
        <f>IF(FormDataMapping[[#This Row],[Form for Data Mapping]]="","form_field",VLOOKUP([Form Field],FormFields[[Field Name]:[ID]],2,0))</f>
        <v>2111113</v>
      </c>
      <c r="EG3" s="62" t="s">
        <v>796</v>
      </c>
      <c r="EH3" s="63">
        <f>IF(FormDataMapping[[#This Row],[Form for Data Mapping]]="","relation",IFERROR(VLOOKUP([Relation],RelationTable[[Display]:[RELID]],2,0),""))</f>
        <v>2109185</v>
      </c>
      <c r="EI3" s="63" t="str">
        <f>IF(FormDataMapping[[#This Row],[Form for Data Mapping]]="","nest_relation1",IFERROR(VLOOKUP([Rel1],RelationTable[[Display]:[RELID]],2,0),""))</f>
        <v/>
      </c>
      <c r="EJ3" s="63" t="str">
        <f>IF(FormDataMapping[[#This Row],[Form for Data Mapping]]="","nest_relation2",IFERROR(VLOOKUP([Rel2],RelationTable[[Display]:[RELID]],2,0),""))</f>
        <v/>
      </c>
      <c r="EK3" s="63" t="str">
        <f>IF(FormDataMapping[[#This Row],[Form for Data Mapping]]="","nest_relation3",IFERROR(VLOOKUP([Rel3],RelationTable[[Display]:[RELID]],2,0),""))</f>
        <v/>
      </c>
      <c r="EL3" s="63" t="str">
        <f>IF(FormDataMapping[[#This Row],[Form for Data Mapping]]="","nest_relation4",IFERROR(VLOOKUP([Rel4],RelationTable[[Display]:[RELID]],2,0),""))</f>
        <v/>
      </c>
      <c r="EM3" s="63" t="str">
        <f>IF(FormDataMapping[[#This Row],[Form for Data Mapping]]="","nest_relation5",IFERROR(VLOOKUP([Rel5],RelationTable[[Display]:[RELID]],2,0),""))</f>
        <v/>
      </c>
      <c r="EN3" s="63" t="s">
        <v>1162</v>
      </c>
      <c r="EO3" s="63"/>
      <c r="EP3" s="63"/>
      <c r="EQ3" s="63"/>
      <c r="ER3" s="63"/>
      <c r="ES3" s="63"/>
    </row>
    <row r="4" spans="1:149">
      <c r="A4" s="16" t="str">
        <f>'Table Seed Map'!$A$11&amp;"-"&amp;(COUNTA($F$1:ResourceForms[[#This Row],[Resource]])-2)</f>
        <v>Resource Forms-2</v>
      </c>
      <c r="B4" s="16" t="str">
        <f>ResourceForms[[#This Row],[Resource Name]]&amp;"/"&amp;ResourceForms[[#This Row],[Name]]</f>
        <v>Employee/NewEmployee</v>
      </c>
      <c r="C4" s="16">
        <f>COUNTA($A$1:ResourceForms[[#This Row],[Primary]])-2</f>
        <v>2</v>
      </c>
      <c r="D4" s="14" t="s">
        <v>1337</v>
      </c>
      <c r="E4" s="16">
        <f>IF(ResourceForms[[#This Row],[No]]=0,"id",ResourceForms[[#This Row],[No]]+IF(ISNUMBER(VLOOKUP('Table Seed Map'!$A$11,SeedMap[],9,0)),VLOOKUP('Table Seed Map'!$A$11,SeedMap[],9,0),0))</f>
        <v>2110102</v>
      </c>
      <c r="F4" s="16">
        <f>IFERROR(VLOOKUP(ResourceForms[[#This Row],[Resource Name]],ResourceTable[[RName]:[No]],3,0),"resource")</f>
        <v>2106104</v>
      </c>
      <c r="G4" s="9" t="s">
        <v>1346</v>
      </c>
      <c r="H4" s="16"/>
      <c r="I4" s="9" t="s">
        <v>1356</v>
      </c>
      <c r="J4" s="9" t="s">
        <v>1511</v>
      </c>
      <c r="K4" s="77">
        <f>[ID]</f>
        <v>2110102</v>
      </c>
      <c r="M4" s="80" t="str">
        <f>'Table Seed Map'!$A$12&amp;"-"&amp;FormFields[[#This Row],[No]]</f>
        <v>Form Fields-2</v>
      </c>
      <c r="N4" s="81" t="s">
        <v>1347</v>
      </c>
      <c r="O4" s="38">
        <f>COUNTA($N$1:FormFields[[#This Row],[Form Name]])-1</f>
        <v>2</v>
      </c>
      <c r="P4" s="80" t="str">
        <f>FormFields[[#This Row],[Form Name]]&amp;"/"&amp;FormFields[[#This Row],[Name]]</f>
        <v>Owner/NewOwnerForm/email</v>
      </c>
      <c r="Q4" s="38">
        <f>IF(FormFields[[#This Row],[No]]=0,"id",FormFields[[#This Row],[No]]+IF(ISNUMBER(VLOOKUP('Table Seed Map'!$A$12,SeedMap[],9,0)),VLOOKUP('Table Seed Map'!$A$12,SeedMap[],9,0),0))</f>
        <v>2111102</v>
      </c>
      <c r="R4" s="82">
        <f>IFERROR(VLOOKUP(FormFields[[#This Row],[Form Name]],ResourceForms[[FormName]:[ID]],4,0),"resource_form")</f>
        <v>2110101</v>
      </c>
      <c r="S4" s="83" t="s">
        <v>800</v>
      </c>
      <c r="T4" s="83" t="s">
        <v>1137</v>
      </c>
      <c r="U4" s="83" t="s">
        <v>1139</v>
      </c>
      <c r="V4" s="84"/>
      <c r="W4" s="84"/>
      <c r="X4" s="84"/>
      <c r="Y4" s="84"/>
      <c r="Z4" s="85" t="str">
        <f>'Table Seed Map'!$A$13&amp;"-"&amp;FormFields[[#This Row],[NO2]]</f>
        <v>Field Data-2</v>
      </c>
      <c r="AA4" s="86">
        <f>COUNTIFS($AB$1:FormFields[[#This Row],[Exists]],1)-1</f>
        <v>2</v>
      </c>
      <c r="AB4" s="86">
        <f>IF(AND(FormFields[[#This Row],[Attribute]]="",FormFields[[#This Row],[Rel]]=""),0,1)</f>
        <v>1</v>
      </c>
      <c r="AC4" s="86">
        <f>IF(FormFields[[#This Row],[NO2]]=0,"id",FormFields[[#This Row],[NO2]]+IF(ISNUMBER(VLOOKUP('Table Seed Map'!$A$13,SeedMap[],9,0)),VLOOKUP('Table Seed Map'!$A$13,SeedMap[],9,0),0))</f>
        <v>2112102</v>
      </c>
      <c r="AD4" s="87">
        <f>IF(FormFields[[#This Row],[ID]]="id","form_field",FormFields[[#This Row],[ID]])</f>
        <v>2111102</v>
      </c>
      <c r="AE4" s="86" t="str">
        <f>IF(FormFields[[#This Row],[No]]=0,"attribute",FormFields[[#This Row],[Name]])</f>
        <v>email</v>
      </c>
      <c r="AF4" s="55" t="str">
        <f>IF(FormFields[[#This Row],[NO2]]=0,"relation",IF(FormFields[[#This Row],[Rel]]="","",VLOOKUP(FormFields[[#This Row],[Rel]],RelationTable[[Display]:[RELID]],2,0)))</f>
        <v/>
      </c>
      <c r="AG4" s="55" t="str">
        <f>IF(FormFields[[#This Row],[NO2]]=0,"nest_relation1",IF(FormFields[[#This Row],[Rel1]]="","",VLOOKUP(FormFields[[#This Row],[Rel1]],RelationTable[[Display]:[RELID]],2,0)))</f>
        <v/>
      </c>
      <c r="AH4" s="55" t="str">
        <f>IF(FormFields[[#This Row],[NO2]]=0,"nest_relation2",IF(FormFields[[#This Row],[Rel2]]="","",VLOOKUP(FormFields[[#This Row],[Rel2]],RelationTable[[Display]:[RELID]],2,0)))</f>
        <v/>
      </c>
      <c r="AI4" s="55" t="str">
        <f>IF(FormFields[[#This Row],[NO2]]=0,"nest_relation3",IF(FormFields[[#This Row],[Rel3]]="","",VLOOKUP(FormFields[[#This Row],[Rel3]],RelationTable[[Display]:[RELID]],2,0)))</f>
        <v/>
      </c>
      <c r="AJ4" s="38">
        <f>IF(OR(FormFields[[#This Row],[Option Type]]="",FormFields[[#This Row],[Option Type]]="type"),0,1)</f>
        <v>0</v>
      </c>
      <c r="AK4" s="38" t="str">
        <f>'Table Seed Map'!$A$14&amp;"-"&amp;FormFields[[#This Row],[NO4]]</f>
        <v>Field Options-0</v>
      </c>
      <c r="AL4" s="38">
        <f>COUNTIF($AJ$2:FormFields[[#This Row],[Exists FO]],1)</f>
        <v>0</v>
      </c>
      <c r="AM4" s="38" t="str">
        <f>IF(FormFields[[#This Row],[NO4]]=0,"id",FormFields[[#This Row],[NO4]]+IF(ISNUMBER(VLOOKUP('Table Seed Map'!$A$14,SeedMap[],9,0)),VLOOKUP('Table Seed Map'!$A$14,SeedMap[],9,0),0))</f>
        <v>id</v>
      </c>
      <c r="AN4" s="88">
        <f>IF(FormFields[[#This Row],[ID]]="id","form_field",FormFields[[#This Row],[ID]])</f>
        <v>2111102</v>
      </c>
      <c r="AO4" s="89"/>
      <c r="AP4" s="89"/>
      <c r="AQ4" s="89"/>
      <c r="AR4" s="89"/>
      <c r="AS4" s="89"/>
      <c r="AT4" s="38">
        <f>IF(OR(FormFields[[#This Row],[Colspan]]="",FormFields[[#This Row],[Colspan]]="colspan"),0,1)</f>
        <v>0</v>
      </c>
      <c r="AU4" s="38" t="str">
        <f>'Table Seed Map'!$A$19&amp;"-"&amp;FormFields[[#This Row],[NO8]]</f>
        <v>Form Layout-0</v>
      </c>
      <c r="AV4" s="38">
        <f>COUNTIF($AT$1:FormFields[[#This Row],[Exists FL]],1)</f>
        <v>0</v>
      </c>
      <c r="AW4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38">
        <f>[Form]</f>
        <v>2110101</v>
      </c>
      <c r="AY4" s="38">
        <f>IF(FormFields[[#This Row],[ID]]="id","form_field",FormFields[[#This Row],[ID]])</f>
        <v>2111102</v>
      </c>
      <c r="AZ4" s="90"/>
      <c r="BA4" s="88">
        <f>FormFields[[#This Row],[ID]]</f>
        <v>2111102</v>
      </c>
      <c r="BC4" s="60" t="s">
        <v>1350</v>
      </c>
      <c r="BD4" s="61" t="str">
        <f>'Table Seed Map'!$A$15&amp;"-"&amp;(-1+COUNTA($BC$1:FieldAttrs[[#This Row],[ATTR Field]]))</f>
        <v>Field Attrs-2</v>
      </c>
      <c r="BE4" s="68">
        <f>IF(FieldAttrs[[#This Row],[ATTR Field]]="","id",-1+COUNTA($BC$1:FieldAttrs[[#This Row],[ATTR Field]])+VLOOKUP('Table Seed Map'!$A$15,SeedMap[],9,0))</f>
        <v>2114102</v>
      </c>
      <c r="BF4" s="58">
        <f>IFERROR(VLOOKUP([ATTR Field],FormFields[[Field Name]:[ID]],2,0),"form_field")</f>
        <v>2111102</v>
      </c>
      <c r="BG4" s="104" t="s">
        <v>1193</v>
      </c>
      <c r="BH4" s="104">
        <v>4</v>
      </c>
      <c r="BJ4" s="62" t="s">
        <v>1350</v>
      </c>
      <c r="BK4" s="63">
        <f>COUNTA($BJ$2:FieldValidations[[#This Row],[Validation Field]])</f>
        <v>2</v>
      </c>
      <c r="BL4" s="63" t="str">
        <f>'Table Seed Map'!$A$17&amp;"-"&amp;FieldValidations[[#This Row],[ID No]]</f>
        <v>Field Validations-2</v>
      </c>
      <c r="BM4" s="69">
        <f>IF(FieldValidations[[#This Row],[ID No]]=0,"id",FieldValidations[[#This Row],[ID No]]+VLOOKUP('Table Seed Map'!$A$17,SeedMap[],9,0))</f>
        <v>2116102</v>
      </c>
      <c r="BN4" s="69">
        <f>VLOOKUP([Validation Field],FormFields[[Field Name]:[ID]],2,0)</f>
        <v>2111102</v>
      </c>
      <c r="BO4" s="107" t="s">
        <v>1374</v>
      </c>
      <c r="BP4" s="107" t="s">
        <v>1375</v>
      </c>
      <c r="BQ4" s="107" t="s">
        <v>1376</v>
      </c>
      <c r="BR4" s="107"/>
      <c r="BS4" s="107"/>
      <c r="BU4" s="69" t="str">
        <f>'Table Seed Map'!$A$22&amp;"-"&amp;COUNTA($BV$1:FormCollection[[#This Row],[Main Form for Collection]])-1</f>
        <v>Form Collection-2</v>
      </c>
      <c r="BV4" s="107" t="s">
        <v>1215</v>
      </c>
      <c r="BW4" s="107" t="s">
        <v>1218</v>
      </c>
      <c r="BX4" s="107" t="s">
        <v>1220</v>
      </c>
      <c r="BY4" s="107" t="s">
        <v>1221</v>
      </c>
      <c r="BZ4" s="107">
        <f>IF($BZ3="id",IF(ISNUMBER(VLOOKUP('Table Seed Map'!$A$22,SeedMap[],9,0)),VLOOKUP('Table Seed Map'!$A$22,SeedMap[],9,0)+1,1),IFERROR($BZ3+1,"id"))</f>
        <v>2121102</v>
      </c>
      <c r="CA4" s="107">
        <f>IFERROR(VLOOKUP([Main Form for Collection],ResourceForms[[FormName]:[ID]],4,0),"resource_form")</f>
        <v>2110112</v>
      </c>
      <c r="CB4" s="107">
        <f>IFERROR(VLOOKUP([Collection Form],ResourceForms[[FormName]:[ID]],4,0),"collection_form")</f>
        <v>2110113</v>
      </c>
      <c r="CC4" s="69">
        <f>IFERROR(VLOOKUP([Relation],RelationTable[[Display]:[RELID]],2,0),"")</f>
        <v>2109142</v>
      </c>
      <c r="CD4" s="69">
        <f>IFERROR(VLOOKUP([Foreign Field],FormFields[[Field Name]:[ID]],2,0),"")</f>
        <v>2111141</v>
      </c>
      <c r="CE4" s="20"/>
      <c r="CF4" s="68">
        <f>COUNTA($CH$1:FormDefault[[#This Row],[Form for Default]])-1</f>
        <v>2</v>
      </c>
      <c r="CG4" s="61" t="str">
        <f>'Table Seed Map'!$A$21&amp;"-"&amp;FormDefault[[#This Row],[No]]</f>
        <v>Form Defaults-2</v>
      </c>
      <c r="CH4" s="1" t="s">
        <v>1383</v>
      </c>
      <c r="CI4" s="68">
        <f>IF(FormDefault[[#This Row],[No]]=0,"id",FormDefault[[#This Row],[No]]+IF(ISNUMBER(VLOOKUP('Table Seed Map'!$A$21,SeedMap[],9,0)),VLOOKUP('Table Seed Map'!$A$21,SeedMap[],9,0),0))</f>
        <v>2120102</v>
      </c>
      <c r="CJ4" s="68">
        <f>IFERROR(VLOOKUP(FormDefault[[#This Row],[Form for Default]],ResourceForms[[FormName]:[ID]],4,0),"resource_form")</f>
        <v>2110103</v>
      </c>
      <c r="CK4" s="108" t="s">
        <v>59</v>
      </c>
      <c r="CL4" s="108">
        <v>2102106</v>
      </c>
      <c r="CM4" s="69">
        <f>IFERROR(VLOOKUP(FormDefault[[#This Row],[R]],RelationTable[[Display]:[RELID]],2,0),"")</f>
        <v>2109105</v>
      </c>
      <c r="CN4" s="108" t="s">
        <v>63</v>
      </c>
      <c r="CO4" s="68" t="str">
        <f>IFERROR(VLOOKUP(FormDefault[[#This Row],[R1]],RelationTable[[Display]:[RELID]],2,0),"")</f>
        <v/>
      </c>
      <c r="CP4" s="68" t="str">
        <f>IFERROR(VLOOKUP(FormDefault[[#This Row],[R2]],RelationTable[[Display]:[RELID]],2,0),"")</f>
        <v/>
      </c>
      <c r="CQ4" s="68" t="str">
        <f>IFERROR(VLOOKUP(FormDefault[[#This Row],[R3]],RelationTable[[Display]:[RELID]],2,0),"")</f>
        <v/>
      </c>
      <c r="CR4" s="108"/>
      <c r="CS4" s="108" t="s">
        <v>1369</v>
      </c>
      <c r="CT4" s="108"/>
      <c r="CU4" s="108"/>
      <c r="CV4" s="108"/>
      <c r="CW4" s="108"/>
      <c r="CX4" s="108"/>
      <c r="CY4" s="108"/>
      <c r="CZ4" s="108"/>
      <c r="DA4"/>
      <c r="DB4" s="62" t="s">
        <v>1246</v>
      </c>
      <c r="DC4" s="63" t="str">
        <f>'Table Seed Map'!$A$18&amp;"-"&amp;COUNTA($DB$2:FieldDepends[[#This Row],[Field for Depend]])</f>
        <v>Field Depends-2</v>
      </c>
      <c r="DD4" s="69">
        <f>IF(FieldDepends[[#This Row],[Field for Depend]]="","id",-1+COUNTA($DB$1:FieldDepends[[#This Row],[Field for Depend]])+VLOOKUP('Table Seed Map'!$A$18,SeedMap[],9,0))</f>
        <v>2117102</v>
      </c>
      <c r="DE4" s="69">
        <f>IFERROR(VLOOKUP(FieldDepends[[#This Row],[Field for Depend]],FormFields[[Field Name]:[ID]],2,0),"form_field")</f>
        <v>2111150</v>
      </c>
      <c r="DF4" s="63"/>
      <c r="DG4" s="62"/>
      <c r="DH4" s="62"/>
      <c r="DI4" s="62"/>
      <c r="DJ4" s="62" t="s">
        <v>1824</v>
      </c>
      <c r="DK4" s="62"/>
      <c r="DL4" s="62" t="s">
        <v>99</v>
      </c>
      <c r="DY4" s="62" t="s">
        <v>1152</v>
      </c>
      <c r="DZ4" s="62" t="s">
        <v>1554</v>
      </c>
      <c r="EA4" s="62" t="s">
        <v>1334</v>
      </c>
      <c r="EB4" s="63" t="str">
        <f>'Table Seed Map'!$A$20&amp;"-"&amp;-1+COUNTA($DY$1:FormDataMapping[[#This Row],[Form for Data Mapping]])</f>
        <v>Form Data Map-2</v>
      </c>
      <c r="EC4" s="63">
        <f>IF(FormDataMapping[[#This Row],[Form for Data Mapping]]="","id",-1+COUNTA($DY$1:FormDataMapping[[#This Row],[Form for Data Mapping]])+VLOOKUP('Table Seed Map'!$A$20,SeedMap[],9,0))</f>
        <v>2119102</v>
      </c>
      <c r="ED4" s="62">
        <f>IF(FormDataMapping[[#This Row],[Form for Data Mapping]]="","resource_form",VLOOKUP([Form for Data Mapping],ResourceForms[[FormName]:[ID]],4,0))</f>
        <v>2110104</v>
      </c>
      <c r="EE4" s="63">
        <f>IF(FormDataMapping[[#This Row],[Form for Data Mapping]]="","resource_data",VLOOKUP([Resource Data],ResourceData[[DataDisplayName]:[ID]],8,0))</f>
        <v>2128103</v>
      </c>
      <c r="EF4" s="63">
        <f>IF(FormDataMapping[[#This Row],[Form for Data Mapping]]="","form_field",VLOOKUP([Form Field],FormFields[[Field Name]:[ID]],2,0))</f>
        <v>2111112</v>
      </c>
      <c r="EG4" s="62" t="s">
        <v>799</v>
      </c>
      <c r="EH4" s="63">
        <f>IF(FormDataMapping[[#This Row],[Form for Data Mapping]]="","relation",IFERROR(VLOOKUP([Relation],RelationTable[[Display]:[RELID]],2,0),""))</f>
        <v>2109185</v>
      </c>
      <c r="EI4" s="63" t="str">
        <f>IF(FormDataMapping[[#This Row],[Form for Data Mapping]]="","nest_relation1",IFERROR(VLOOKUP([Rel1],RelationTable[[Display]:[RELID]],2,0),""))</f>
        <v/>
      </c>
      <c r="EJ4" s="63" t="str">
        <f>IF(FormDataMapping[[#This Row],[Form for Data Mapping]]="","nest_relation2",IFERROR(VLOOKUP([Rel2],RelationTable[[Display]:[RELID]],2,0),""))</f>
        <v/>
      </c>
      <c r="EK4" s="63" t="str">
        <f>IF(FormDataMapping[[#This Row],[Form for Data Mapping]]="","nest_relation3",IFERROR(VLOOKUP([Rel3],RelationTable[[Display]:[RELID]],2,0),""))</f>
        <v/>
      </c>
      <c r="EL4" s="63" t="str">
        <f>IF(FormDataMapping[[#This Row],[Form for Data Mapping]]="","nest_relation4",IFERROR(VLOOKUP([Rel4],RelationTable[[Display]:[RELID]],2,0),""))</f>
        <v/>
      </c>
      <c r="EM4" s="63" t="str">
        <f>IF(FormDataMapping[[#This Row],[Form for Data Mapping]]="","nest_relation5",IFERROR(VLOOKUP([Rel5],RelationTable[[Display]:[RELID]],2,0),""))</f>
        <v/>
      </c>
      <c r="EN4" s="63" t="s">
        <v>1162</v>
      </c>
      <c r="EO4" s="63"/>
      <c r="EP4" s="63"/>
      <c r="EQ4" s="63"/>
      <c r="ER4" s="63"/>
      <c r="ES4" s="63"/>
    </row>
    <row r="5" spans="1:149">
      <c r="A5" s="69" t="str">
        <f>'Table Seed Map'!$A$11&amp;"-"&amp;(COUNTA($F$1:ResourceForms[[#This Row],[Resource]])-2)</f>
        <v>Resource Forms-3</v>
      </c>
      <c r="B5" s="69" t="str">
        <f>ResourceForms[[#This Row],[Resource Name]]&amp;"/"&amp;ResourceForms[[#This Row],[Name]]</f>
        <v>Employee/NewServiceProvider</v>
      </c>
      <c r="C5" s="69">
        <f>COUNTA($A$1:ResourceForms[[#This Row],[Primary]])-2</f>
        <v>3</v>
      </c>
      <c r="D5" s="14" t="s">
        <v>1337</v>
      </c>
      <c r="E5" s="69">
        <f>IF(ResourceForms[[#This Row],[No]]=0,"id",ResourceForms[[#This Row],[No]]+IF(ISNUMBER(VLOOKUP('Table Seed Map'!$A$11,SeedMap[],9,0)),VLOOKUP('Table Seed Map'!$A$11,SeedMap[],9,0),0))</f>
        <v>2110103</v>
      </c>
      <c r="F5" s="69">
        <f>IFERROR(VLOOKUP(ResourceForms[[#This Row],[Resource Name]],ResourceTable[[RName]:[No]],3,0),"resource")</f>
        <v>2106104</v>
      </c>
      <c r="G5" s="63" t="s">
        <v>1382</v>
      </c>
      <c r="H5" s="69"/>
      <c r="I5" s="63" t="s">
        <v>1386</v>
      </c>
      <c r="J5" s="9" t="s">
        <v>1510</v>
      </c>
      <c r="K5" s="67">
        <f>[ID]</f>
        <v>2110103</v>
      </c>
      <c r="M5" s="80" t="str">
        <f>'Table Seed Map'!$A$12&amp;"-"&amp;FormFields[[#This Row],[No]]</f>
        <v>Form Fields-3</v>
      </c>
      <c r="N5" s="81" t="s">
        <v>1347</v>
      </c>
      <c r="O5" s="38">
        <f>COUNTA($N$1:FormFields[[#This Row],[Form Name]])-1</f>
        <v>3</v>
      </c>
      <c r="P5" s="80" t="str">
        <f>FormFields[[#This Row],[Form Name]]&amp;"/"&amp;FormFields[[#This Row],[Name]]</f>
        <v>Owner/NewOwnerForm/password</v>
      </c>
      <c r="Q5" s="38">
        <f>IF(FormFields[[#This Row],[No]]=0,"id",FormFields[[#This Row],[No]]+IF(ISNUMBER(VLOOKUP('Table Seed Map'!$A$12,SeedMap[],9,0)),VLOOKUP('Table Seed Map'!$A$12,SeedMap[],9,0),0))</f>
        <v>2111103</v>
      </c>
      <c r="R5" s="82">
        <f>IFERROR(VLOOKUP(FormFields[[#This Row],[Form Name]],ResourceForms[[FormName]:[ID]],4,0),"resource_form")</f>
        <v>2110101</v>
      </c>
      <c r="S5" s="83" t="s">
        <v>1128</v>
      </c>
      <c r="T5" s="83" t="s">
        <v>1128</v>
      </c>
      <c r="U5" s="83" t="s">
        <v>1140</v>
      </c>
      <c r="V5" s="84"/>
      <c r="W5" s="84"/>
      <c r="X5" s="84"/>
      <c r="Y5" s="84"/>
      <c r="Z5" s="85" t="str">
        <f>'Table Seed Map'!$A$13&amp;"-"&amp;FormFields[[#This Row],[NO2]]</f>
        <v>Field Data-3</v>
      </c>
      <c r="AA5" s="86">
        <f>COUNTIFS($AB$1:FormFields[[#This Row],[Exists]],1)-1</f>
        <v>3</v>
      </c>
      <c r="AB5" s="86">
        <f>IF(AND(FormFields[[#This Row],[Attribute]]="",FormFields[[#This Row],[Rel]]=""),0,1)</f>
        <v>1</v>
      </c>
      <c r="AC5" s="86">
        <f>IF(FormFields[[#This Row],[NO2]]=0,"id",FormFields[[#This Row],[NO2]]+IF(ISNUMBER(VLOOKUP('Table Seed Map'!$A$13,SeedMap[],9,0)),VLOOKUP('Table Seed Map'!$A$13,SeedMap[],9,0),0))</f>
        <v>2112103</v>
      </c>
      <c r="AD5" s="87">
        <f>IF(FormFields[[#This Row],[ID]]="id","form_field",FormFields[[#This Row],[ID]])</f>
        <v>2111103</v>
      </c>
      <c r="AE5" s="86" t="str">
        <f>IF(FormFields[[#This Row],[No]]=0,"attribute",FormFields[[#This Row],[Name]])</f>
        <v>password</v>
      </c>
      <c r="AF5" s="55" t="str">
        <f>IF(FormFields[[#This Row],[NO2]]=0,"relation",IF(FormFields[[#This Row],[Rel]]="","",VLOOKUP(FormFields[[#This Row],[Rel]],RelationTable[[Display]:[RELID]],2,0)))</f>
        <v/>
      </c>
      <c r="AG5" s="55" t="str">
        <f>IF(FormFields[[#This Row],[NO2]]=0,"nest_relation1",IF(FormFields[[#This Row],[Rel1]]="","",VLOOKUP(FormFields[[#This Row],[Rel1]],RelationTable[[Display]:[RELID]],2,0)))</f>
        <v/>
      </c>
      <c r="AH5" s="55" t="str">
        <f>IF(FormFields[[#This Row],[NO2]]=0,"nest_relation2",IF(FormFields[[#This Row],[Rel2]]="","",VLOOKUP(FormFields[[#This Row],[Rel2]],RelationTable[[Display]:[RELID]],2,0)))</f>
        <v/>
      </c>
      <c r="AI5" s="55" t="str">
        <f>IF(FormFields[[#This Row],[NO2]]=0,"nest_relation3",IF(FormFields[[#This Row],[Rel3]]="","",VLOOKUP(FormFields[[#This Row],[Rel3]],RelationTable[[Display]:[RELID]],2,0)))</f>
        <v/>
      </c>
      <c r="AJ5" s="38">
        <f>IF(OR(FormFields[[#This Row],[Option Type]]="",FormFields[[#This Row],[Option Type]]="type"),0,1)</f>
        <v>0</v>
      </c>
      <c r="AK5" s="38" t="str">
        <f>'Table Seed Map'!$A$14&amp;"-"&amp;FormFields[[#This Row],[NO4]]</f>
        <v>Field Options-0</v>
      </c>
      <c r="AL5" s="38">
        <f>COUNTIF($AJ$2:FormFields[[#This Row],[Exists FO]],1)</f>
        <v>0</v>
      </c>
      <c r="AM5" s="38" t="str">
        <f>IF(FormFields[[#This Row],[NO4]]=0,"id",FormFields[[#This Row],[NO4]]+IF(ISNUMBER(VLOOKUP('Table Seed Map'!$A$14,SeedMap[],9,0)),VLOOKUP('Table Seed Map'!$A$14,SeedMap[],9,0),0))</f>
        <v>id</v>
      </c>
      <c r="AN5" s="88">
        <f>IF(FormFields[[#This Row],[ID]]="id","form_field",FormFields[[#This Row],[ID]])</f>
        <v>2111103</v>
      </c>
      <c r="AO5" s="89"/>
      <c r="AP5" s="89"/>
      <c r="AQ5" s="89"/>
      <c r="AR5" s="89"/>
      <c r="AS5" s="89"/>
      <c r="AT5" s="38">
        <f>IF(OR(FormFields[[#This Row],[Colspan]]="",FormFields[[#This Row],[Colspan]]="colspan"),0,1)</f>
        <v>0</v>
      </c>
      <c r="AU5" s="38" t="str">
        <f>'Table Seed Map'!$A$19&amp;"-"&amp;FormFields[[#This Row],[NO8]]</f>
        <v>Form Layout-0</v>
      </c>
      <c r="AV5" s="38">
        <f>COUNTIF($AT$1:FormFields[[#This Row],[Exists FL]],1)</f>
        <v>0</v>
      </c>
      <c r="AW5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38">
        <f>[Form]</f>
        <v>2110101</v>
      </c>
      <c r="AY5" s="38">
        <f>IF(FormFields[[#This Row],[ID]]="id","form_field",FormFields[[#This Row],[ID]])</f>
        <v>2111103</v>
      </c>
      <c r="AZ5" s="90"/>
      <c r="BA5" s="88">
        <f>FormFields[[#This Row],[ID]]</f>
        <v>2111103</v>
      </c>
      <c r="BC5" s="60" t="s">
        <v>1351</v>
      </c>
      <c r="BD5" s="61" t="str">
        <f>'Table Seed Map'!$A$15&amp;"-"&amp;(-1+COUNTA($BC$1:FieldAttrs[[#This Row],[ATTR Field]]))</f>
        <v>Field Attrs-3</v>
      </c>
      <c r="BE5" s="68">
        <f>IF(FieldAttrs[[#This Row],[ATTR Field]]="","id",-1+COUNTA($BC$1:FieldAttrs[[#This Row],[ATTR Field]])+VLOOKUP('Table Seed Map'!$A$15,SeedMap[],9,0))</f>
        <v>2114103</v>
      </c>
      <c r="BF5" s="58">
        <f>IFERROR(VLOOKUP([ATTR Field],FormFields[[Field Name]:[ID]],2,0),"form_field")</f>
        <v>2111103</v>
      </c>
      <c r="BG5" s="104" t="s">
        <v>1193</v>
      </c>
      <c r="BH5" s="104">
        <v>4</v>
      </c>
      <c r="BJ5" s="62" t="s">
        <v>1353</v>
      </c>
      <c r="BK5" s="63">
        <f>COUNTA($BJ$2:FieldValidations[[#This Row],[Validation Field]])</f>
        <v>3</v>
      </c>
      <c r="BL5" s="63" t="str">
        <f>'Table Seed Map'!$A$17&amp;"-"&amp;FieldValidations[[#This Row],[ID No]]</f>
        <v>Field Validations-3</v>
      </c>
      <c r="BM5" s="69">
        <f>IF(FieldValidations[[#This Row],[ID No]]=0,"id",FieldValidations[[#This Row],[ID No]]+VLOOKUP('Table Seed Map'!$A$17,SeedMap[],9,0))</f>
        <v>2116103</v>
      </c>
      <c r="BN5" s="69">
        <f>VLOOKUP([Validation Field],FormFields[[Field Name]:[ID]],2,0)</f>
        <v>2111106</v>
      </c>
      <c r="BO5" s="107" t="s">
        <v>1373</v>
      </c>
      <c r="BP5" s="107" t="s">
        <v>1379</v>
      </c>
      <c r="BQ5" s="107"/>
      <c r="BR5" s="107"/>
      <c r="BS5" s="107"/>
      <c r="BU5" s="69" t="str">
        <f>'Table Seed Map'!$A$22&amp;"-"&amp;COUNTA($BV$1:FormCollection[[#This Row],[Main Form for Collection]])-1</f>
        <v>Form Collection-3</v>
      </c>
      <c r="BV5" s="107" t="s">
        <v>1242</v>
      </c>
      <c r="BW5" s="107" t="s">
        <v>1248</v>
      </c>
      <c r="BX5" s="107" t="s">
        <v>1329</v>
      </c>
      <c r="BY5" s="107" t="s">
        <v>1330</v>
      </c>
      <c r="BZ5" s="107">
        <f>IF($BZ4="id",IF(ISNUMBER(VLOOKUP('Table Seed Map'!$A$22,SeedMap[],9,0)),VLOOKUP('Table Seed Map'!$A$22,SeedMap[],9,0)+1,1),IFERROR($BZ4+1,"id"))</f>
        <v>2121103</v>
      </c>
      <c r="CA5" s="107">
        <f>IFERROR(VLOOKUP([Main Form for Collection],ResourceForms[[FormName]:[ID]],4,0),"resource_form")</f>
        <v>2110116</v>
      </c>
      <c r="CB5" s="107">
        <f>IFERROR(VLOOKUP([Collection Form],ResourceForms[[FormName]:[ID]],4,0),"collection_form")</f>
        <v>2110117</v>
      </c>
      <c r="CC5" s="69">
        <f>IFERROR(VLOOKUP([Relation],RelationTable[[Display]:[RELID]],2,0),"")</f>
        <v>2109146</v>
      </c>
      <c r="CD5" s="69">
        <f>IFERROR(VLOOKUP([Foreign Field],FormFields[[Field Name]:[ID]],2,0),"")</f>
        <v>2111152</v>
      </c>
      <c r="CE5" s="20"/>
      <c r="CF5" s="69">
        <f>COUNTA($CH$1:FormDefault[[#This Row],[Form for Default]])-1</f>
        <v>3</v>
      </c>
      <c r="CG5" s="63" t="str">
        <f>'Table Seed Map'!$A$21&amp;"-"&amp;FormDefault[[#This Row],[No]]</f>
        <v>Form Defaults-3</v>
      </c>
      <c r="CH5" s="62" t="s">
        <v>1152</v>
      </c>
      <c r="CI5" s="69">
        <f>IF(FormDefault[[#This Row],[No]]=0,"id",FormDefault[[#This Row],[No]]+IF(ISNUMBER(VLOOKUP('Table Seed Map'!$A$21,SeedMap[],9,0)),VLOOKUP('Table Seed Map'!$A$21,SeedMap[],9,0),0))</f>
        <v>2120103</v>
      </c>
      <c r="CJ5" s="69">
        <f>IFERROR(VLOOKUP(FormDefault[[#This Row],[Form for Default]],ResourceForms[[FormName]:[ID]],4,0),"resource_form")</f>
        <v>2110104</v>
      </c>
      <c r="CK5" s="107" t="s">
        <v>59</v>
      </c>
      <c r="CL5" s="107">
        <v>2102103</v>
      </c>
      <c r="CM5" s="69">
        <f>IFERROR(VLOOKUP(FormDefault[[#This Row],[R]],RelationTable[[Display]:[RELID]],2,0),"")</f>
        <v>2109105</v>
      </c>
      <c r="CN5" s="107" t="s">
        <v>63</v>
      </c>
      <c r="CO5" s="69" t="str">
        <f>IFERROR(VLOOKUP(FormDefault[[#This Row],[R1]],RelationTable[[Display]:[RELID]],2,0),"")</f>
        <v/>
      </c>
      <c r="CP5" s="69" t="str">
        <f>IFERROR(VLOOKUP(FormDefault[[#This Row],[R2]],RelationTable[[Display]:[RELID]],2,0),"")</f>
        <v/>
      </c>
      <c r="CQ5" s="69" t="str">
        <f>IFERROR(VLOOKUP(FormDefault[[#This Row],[R3]],RelationTable[[Display]:[RELID]],2,0),"")</f>
        <v/>
      </c>
      <c r="CR5" s="107"/>
      <c r="CS5" s="107" t="s">
        <v>1369</v>
      </c>
      <c r="CT5" s="107"/>
      <c r="CU5" s="107"/>
      <c r="CV5" s="107"/>
      <c r="CW5" s="107"/>
      <c r="CX5" s="107"/>
      <c r="CY5" s="107"/>
      <c r="CZ5" s="107"/>
      <c r="DA5"/>
      <c r="DB5" s="62" t="s">
        <v>1277</v>
      </c>
      <c r="DC5" s="63" t="str">
        <f>'Table Seed Map'!$A$18&amp;"-"&amp;COUNTA($DB$2:FieldDepends[[#This Row],[Field for Depend]])</f>
        <v>Field Depends-3</v>
      </c>
      <c r="DD5" s="69">
        <f>IF(FieldDepends[[#This Row],[Field for Depend]]="","id",-1+COUNTA($DB$1:FieldDepends[[#This Row],[Field for Depend]])+VLOOKUP('Table Seed Map'!$A$18,SeedMap[],9,0))</f>
        <v>2117103</v>
      </c>
      <c r="DE5" s="69">
        <f>IFERROR(VLOOKUP(FieldDepends[[#This Row],[Field for Depend]],FormFields[[Field Name]:[ID]],2,0),"form_field")</f>
        <v>2111163</v>
      </c>
      <c r="DF5" s="63"/>
      <c r="DG5" s="62"/>
      <c r="DH5" s="62"/>
      <c r="DI5" s="62"/>
      <c r="DJ5" s="62" t="s">
        <v>1824</v>
      </c>
      <c r="DK5" s="62"/>
      <c r="DL5" s="62" t="s">
        <v>99</v>
      </c>
      <c r="DY5" s="62" t="s">
        <v>1208</v>
      </c>
      <c r="DZ5" s="62" t="s">
        <v>1707</v>
      </c>
      <c r="EA5" s="62" t="s">
        <v>1230</v>
      </c>
      <c r="EB5" s="63" t="str">
        <f>'Table Seed Map'!$A$20&amp;"-"&amp;-1+COUNTA($DY$1:FormDataMapping[[#This Row],[Form for Data Mapping]])</f>
        <v>Form Data Map-3</v>
      </c>
      <c r="EC5" s="63">
        <f>IF(FormDataMapping[[#This Row],[Form for Data Mapping]]="","id",-1+COUNTA($DY$1:FormDataMapping[[#This Row],[Form for Data Mapping]])+VLOOKUP('Table Seed Map'!$A$20,SeedMap[],9,0))</f>
        <v>2119103</v>
      </c>
      <c r="ED5" s="62">
        <f>IF(FormDataMapping[[#This Row],[Form for Data Mapping]]="","resource_form",VLOOKUP([Form for Data Mapping],ResourceForms[[FormName]:[ID]],4,0))</f>
        <v>2110110</v>
      </c>
      <c r="EE5" s="63">
        <f>IF(FormDataMapping[[#This Row],[Form for Data Mapping]]="","resource_data",VLOOKUP([Resource Data],ResourceData[[DataDisplayName]:[ID]],8,0))</f>
        <v>2128105</v>
      </c>
      <c r="EF5" s="63">
        <f>IF(FormDataMapping[[#This Row],[Form for Data Mapping]]="","form_field",VLOOKUP([Form Field],FormFields[[Field Name]:[ID]],2,0))</f>
        <v>2111133</v>
      </c>
      <c r="EG5" s="62" t="s">
        <v>21</v>
      </c>
      <c r="EH5" s="63">
        <f>IF(FormDataMapping[[#This Row],[Form for Data Mapping]]="","relation",IFERROR(VLOOKUP([Relation],RelationTable[[Display]:[RELID]],2,0),""))</f>
        <v>2109138</v>
      </c>
      <c r="EI5" s="63" t="str">
        <f>IF(FormDataMapping[[#This Row],[Form for Data Mapping]]="","nest_relation1",IFERROR(VLOOKUP([Rel1],RelationTable[[Display]:[RELID]],2,0),""))</f>
        <v/>
      </c>
      <c r="EJ5" s="63" t="str">
        <f>IF(FormDataMapping[[#This Row],[Form for Data Mapping]]="","nest_relation2",IFERROR(VLOOKUP([Rel2],RelationTable[[Display]:[RELID]],2,0),""))</f>
        <v/>
      </c>
      <c r="EK5" s="63" t="str">
        <f>IF(FormDataMapping[[#This Row],[Form for Data Mapping]]="","nest_relation3",IFERROR(VLOOKUP([Rel3],RelationTable[[Display]:[RELID]],2,0),""))</f>
        <v/>
      </c>
      <c r="EL5" s="63" t="str">
        <f>IF(FormDataMapping[[#This Row],[Form for Data Mapping]]="","nest_relation4",IFERROR(VLOOKUP([Rel4],RelationTable[[Display]:[RELID]],2,0),""))</f>
        <v/>
      </c>
      <c r="EM5" s="63" t="str">
        <f>IF(FormDataMapping[[#This Row],[Form for Data Mapping]]="","nest_relation5",IFERROR(VLOOKUP([Rel5],RelationTable[[Display]:[RELID]],2,0),""))</f>
        <v/>
      </c>
      <c r="EN5" s="63" t="s">
        <v>1464</v>
      </c>
      <c r="EO5" s="63"/>
      <c r="EP5" s="63"/>
      <c r="EQ5" s="63"/>
      <c r="ER5" s="63"/>
      <c r="ES5" s="63"/>
    </row>
    <row r="6" spans="1:149">
      <c r="A6" s="16" t="str">
        <f>'Table Seed Map'!$A$11&amp;"-"&amp;(COUNTA($F$1:ResourceForms[[#This Row],[Resource]])-2)</f>
        <v>Resource Forms-4</v>
      </c>
      <c r="B6" s="16" t="str">
        <f>ResourceForms[[#This Row],[Resource Name]]&amp;"/"&amp;ResourceForms[[#This Row],[Name]]</f>
        <v>Customer/NewCustomerForm</v>
      </c>
      <c r="C6" s="16">
        <f>COUNTA($A$1:ResourceForms[[#This Row],[Primary]])-2</f>
        <v>4</v>
      </c>
      <c r="D6" s="14" t="s">
        <v>785</v>
      </c>
      <c r="E6" s="16">
        <f>IF(ResourceForms[[#This Row],[No]]=0,"id",ResourceForms[[#This Row],[No]]+IF(ISNUMBER(VLOOKUP('Table Seed Map'!$A$11,SeedMap[],9,0)),VLOOKUP('Table Seed Map'!$A$11,SeedMap[],9,0),0))</f>
        <v>2110104</v>
      </c>
      <c r="F6" s="16">
        <f>IFERROR(VLOOKUP(ResourceForms[[#This Row],[Resource Name]],ResourceTable[[RName]:[No]],3,0),"resource")</f>
        <v>2106105</v>
      </c>
      <c r="G6" s="9" t="s">
        <v>1134</v>
      </c>
      <c r="H6" s="16"/>
      <c r="I6" s="9" t="s">
        <v>785</v>
      </c>
      <c r="J6" s="9" t="s">
        <v>1135</v>
      </c>
      <c r="K6" s="77">
        <f>[ID]</f>
        <v>2110104</v>
      </c>
      <c r="M6" s="95" t="str">
        <f>'Table Seed Map'!$A$12&amp;"-"&amp;FormFields[[#This Row],[No]]</f>
        <v>Form Fields-4</v>
      </c>
      <c r="N6" s="81" t="s">
        <v>1348</v>
      </c>
      <c r="O6" s="96">
        <f>COUNTA($N$1:FormFields[[#This Row],[Form Name]])-1</f>
        <v>4</v>
      </c>
      <c r="P6" s="95" t="str">
        <f>FormFields[[#This Row],[Form Name]]&amp;"/"&amp;FormFields[[#This Row],[Name]]</f>
        <v>Employee/NewEmployee/group</v>
      </c>
      <c r="Q6" s="96">
        <f>IF(FormFields[[#This Row],[No]]=0,"id",FormFields[[#This Row],[No]]+IF(ISNUMBER(VLOOKUP('Table Seed Map'!$A$12,SeedMap[],9,0)),VLOOKUP('Table Seed Map'!$A$12,SeedMap[],9,0),0))</f>
        <v>2111104</v>
      </c>
      <c r="R6" s="97">
        <f>IFERROR(VLOOKUP(FormFields[[#This Row],[Form Name]],ResourceForms[[FormName]:[ID]],4,0),"resource_form")</f>
        <v>2110102</v>
      </c>
      <c r="S6" s="98" t="s">
        <v>63</v>
      </c>
      <c r="T6" s="98" t="s">
        <v>1189</v>
      </c>
      <c r="U6" s="98" t="s">
        <v>1368</v>
      </c>
      <c r="V6" s="99" t="s">
        <v>1369</v>
      </c>
      <c r="W6" s="99"/>
      <c r="X6" s="99"/>
      <c r="Y6" s="99"/>
      <c r="Z6" s="100" t="str">
        <f>'Table Seed Map'!$A$13&amp;"-"&amp;FormFields[[#This Row],[NO2]]</f>
        <v>Field Data-4</v>
      </c>
      <c r="AA6" s="101">
        <f>COUNTIFS($AB$1:FormFields[[#This Row],[Exists]],1)-1</f>
        <v>4</v>
      </c>
      <c r="AB6" s="101">
        <f>IF(AND(FormFields[[#This Row],[Attribute]]="",FormFields[[#This Row],[Rel]]=""),0,1)</f>
        <v>1</v>
      </c>
      <c r="AC6" s="101">
        <f>IF(FormFields[[#This Row],[NO2]]=0,"id",FormFields[[#This Row],[NO2]]+IF(ISNUMBER(VLOOKUP('Table Seed Map'!$A$13,SeedMap[],9,0)),VLOOKUP('Table Seed Map'!$A$13,SeedMap[],9,0),0))</f>
        <v>2112104</v>
      </c>
      <c r="AD6" s="102">
        <f>IF(FormFields[[#This Row],[ID]]="id","form_field",FormFields[[#This Row],[ID]])</f>
        <v>2111104</v>
      </c>
      <c r="AE6" s="101" t="str">
        <f>IF(FormFields[[#This Row],[No]]=0,"attribute",FormFields[[#This Row],[Name]])</f>
        <v>group</v>
      </c>
      <c r="AF6" s="103">
        <f>IF(FormFields[[#This Row],[NO2]]=0,"relation",IF(FormFields[[#This Row],[Rel]]="","",VLOOKUP(FormFields[[#This Row],[Rel]],RelationTable[[Display]:[RELID]],2,0)))</f>
        <v>2109105</v>
      </c>
      <c r="AG6" s="103" t="str">
        <f>IF(FormFields[[#This Row],[NO2]]=0,"nest_relation1",IF(FormFields[[#This Row],[Rel1]]="","",VLOOKUP(FormFields[[#This Row],[Rel1]],RelationTable[[Display]:[RELID]],2,0)))</f>
        <v/>
      </c>
      <c r="AH6" s="103" t="str">
        <f>IF(FormFields[[#This Row],[NO2]]=0,"nest_relation2",IF(FormFields[[#This Row],[Rel2]]="","",VLOOKUP(FormFields[[#This Row],[Rel2]],RelationTable[[Display]:[RELID]],2,0)))</f>
        <v/>
      </c>
      <c r="AI6" s="103" t="str">
        <f>IF(FormFields[[#This Row],[NO2]]=0,"nest_relation3",IF(FormFields[[#This Row],[Rel3]]="","",VLOOKUP(FormFields[[#This Row],[Rel3]],RelationTable[[Display]:[RELID]],2,0)))</f>
        <v/>
      </c>
      <c r="AJ6" s="96">
        <f>IF(OR(FormFields[[#This Row],[Option Type]]="",FormFields[[#This Row],[Option Type]]="type"),0,1)</f>
        <v>1</v>
      </c>
      <c r="AK6" s="96" t="str">
        <f>'Table Seed Map'!$A$14&amp;"-"&amp;FormFields[[#This Row],[NO4]]</f>
        <v>Field Options-1</v>
      </c>
      <c r="AL6" s="96">
        <f>COUNTIF($AJ$2:FormFields[[#This Row],[Exists FO]],1)</f>
        <v>1</v>
      </c>
      <c r="AM6" s="96">
        <f>IF(FormFields[[#This Row],[NO4]]=0,"id",FormFields[[#This Row],[NO4]]+IF(ISNUMBER(VLOOKUP('Table Seed Map'!$A$14,SeedMap[],9,0)),VLOOKUP('Table Seed Map'!$A$14,SeedMap[],9,0),0))</f>
        <v>2113101</v>
      </c>
      <c r="AN6" s="104">
        <f>IF(FormFields[[#This Row],[ID]]="id","form_field",FormFields[[#This Row],[ID]])</f>
        <v>2111104</v>
      </c>
      <c r="AO6" s="105" t="s">
        <v>122</v>
      </c>
      <c r="AP6" s="105">
        <v>2123101</v>
      </c>
      <c r="AQ6" s="105" t="s">
        <v>21</v>
      </c>
      <c r="AR6" s="105" t="s">
        <v>25</v>
      </c>
      <c r="AS6" s="105"/>
      <c r="AT6" s="96">
        <f>IF(OR(FormFields[[#This Row],[Colspan]]="",FormFields[[#This Row],[Colspan]]="colspan"),0,1)</f>
        <v>0</v>
      </c>
      <c r="AU6" s="96" t="str">
        <f>'Table Seed Map'!$A$19&amp;"-"&amp;FormFields[[#This Row],[NO8]]</f>
        <v>Form Layout-0</v>
      </c>
      <c r="AV6" s="96">
        <f>COUNTIF($AT$1:FormFields[[#This Row],[Exists FL]],1)</f>
        <v>0</v>
      </c>
      <c r="AW6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96">
        <f>[Form]</f>
        <v>2110102</v>
      </c>
      <c r="AY6" s="96">
        <f>IF(FormFields[[#This Row],[ID]]="id","form_field",FormFields[[#This Row],[ID]])</f>
        <v>2111104</v>
      </c>
      <c r="AZ6" s="106"/>
      <c r="BA6" s="104">
        <f>FormFields[[#This Row],[ID]]</f>
        <v>2111104</v>
      </c>
      <c r="BC6" s="60" t="s">
        <v>1370</v>
      </c>
      <c r="BD6" s="61" t="str">
        <f>'Table Seed Map'!$A$15&amp;"-"&amp;(-1+COUNTA($BC$1:FieldAttrs[[#This Row],[ATTR Field]]))</f>
        <v>Field Attrs-4</v>
      </c>
      <c r="BE6" s="68">
        <f>IF(FieldAttrs[[#This Row],[ATTR Field]]="","id",-1+COUNTA($BC$1:FieldAttrs[[#This Row],[ATTR Field]])+VLOOKUP('Table Seed Map'!$A$15,SeedMap[],9,0))</f>
        <v>2114104</v>
      </c>
      <c r="BF6" s="58">
        <f>IFERROR(VLOOKUP([ATTR Field],FormFields[[Field Name]:[ID]],2,0),"form_field")</f>
        <v>2111104</v>
      </c>
      <c r="BG6" s="104" t="s">
        <v>1193</v>
      </c>
      <c r="BH6" s="104">
        <v>4</v>
      </c>
      <c r="BJ6" s="62" t="s">
        <v>1353</v>
      </c>
      <c r="BK6" s="63">
        <f>COUNTA($BJ$2:FieldValidations[[#This Row],[Validation Field]])</f>
        <v>4</v>
      </c>
      <c r="BL6" s="63" t="str">
        <f>'Table Seed Map'!$A$17&amp;"-"&amp;FieldValidations[[#This Row],[ID No]]</f>
        <v>Field Validations-4</v>
      </c>
      <c r="BM6" s="69">
        <f>IF(FieldValidations[[#This Row],[ID No]]=0,"id",FieldValidations[[#This Row],[ID No]]+VLOOKUP('Table Seed Map'!$A$17,SeedMap[],9,0))</f>
        <v>2116104</v>
      </c>
      <c r="BN6" s="69">
        <f>VLOOKUP([Validation Field],FormFields[[Field Name]:[ID]],2,0)</f>
        <v>2111106</v>
      </c>
      <c r="BO6" s="107" t="s">
        <v>1374</v>
      </c>
      <c r="BP6" s="107" t="s">
        <v>1375</v>
      </c>
      <c r="BQ6" s="107" t="s">
        <v>1376</v>
      </c>
      <c r="BR6" s="107"/>
      <c r="BS6" s="107"/>
      <c r="CE6" s="20"/>
      <c r="CF6" s="69">
        <f>COUNTA($CH$1:FormDefault[[#This Row],[Form for Default]])-1</f>
        <v>4</v>
      </c>
      <c r="CG6" s="63" t="str">
        <f>'Table Seed Map'!$A$21&amp;"-"&amp;FormDefault[[#This Row],[No]]</f>
        <v>Form Defaults-4</v>
      </c>
      <c r="CH6" s="62" t="s">
        <v>1152</v>
      </c>
      <c r="CI6" s="69">
        <f>IF(FormDefault[[#This Row],[No]]=0,"id",FormDefault[[#This Row],[No]]+IF(ISNUMBER(VLOOKUP('Table Seed Map'!$A$21,SeedMap[],9,0)),VLOOKUP('Table Seed Map'!$A$21,SeedMap[],9,0),0))</f>
        <v>2120104</v>
      </c>
      <c r="CJ6" s="69">
        <f>IFERROR(VLOOKUP(FormDefault[[#This Row],[Form for Default]],ResourceForms[[FormName]:[ID]],4,0),"resource_form")</f>
        <v>2110104</v>
      </c>
      <c r="CK6" s="107" t="s">
        <v>800</v>
      </c>
      <c r="CL6" s="107" t="s">
        <v>1372</v>
      </c>
      <c r="CM6" s="69" t="str">
        <f>IFERROR(VLOOKUP(FormDefault[[#This Row],[R]],RelationTable[[Display]:[RELID]],2,0),"")</f>
        <v/>
      </c>
      <c r="CN6" s="107" t="s">
        <v>800</v>
      </c>
      <c r="CO6" s="69" t="str">
        <f>IFERROR(VLOOKUP(FormDefault[[#This Row],[R1]],RelationTable[[Display]:[RELID]],2,0),"")</f>
        <v/>
      </c>
      <c r="CP6" s="69" t="str">
        <f>IFERROR(VLOOKUP(FormDefault[[#This Row],[R2]],RelationTable[[Display]:[RELID]],2,0),"")</f>
        <v/>
      </c>
      <c r="CQ6" s="69" t="str">
        <f>IFERROR(VLOOKUP(FormDefault[[#This Row],[R3]],RelationTable[[Display]:[RELID]],2,0),"")</f>
        <v/>
      </c>
      <c r="CR6" s="107"/>
      <c r="CS6" s="107"/>
      <c r="CT6" s="107"/>
      <c r="CU6" s="107"/>
      <c r="CV6" s="107"/>
      <c r="CW6" s="107"/>
      <c r="CX6" s="107"/>
      <c r="CY6" s="107"/>
      <c r="CZ6" s="107"/>
      <c r="DA6"/>
      <c r="DB6" s="62" t="s">
        <v>1279</v>
      </c>
      <c r="DC6" s="63" t="str">
        <f>'Table Seed Map'!$A$18&amp;"-"&amp;COUNTA($DB$2:FieldDepends[[#This Row],[Field for Depend]])</f>
        <v>Field Depends-4</v>
      </c>
      <c r="DD6" s="69">
        <f>IF(FieldDepends[[#This Row],[Field for Depend]]="","id",-1+COUNTA($DB$1:FieldDepends[[#This Row],[Field for Depend]])+VLOOKUP('Table Seed Map'!$A$18,SeedMap[],9,0))</f>
        <v>2117104</v>
      </c>
      <c r="DE6" s="69">
        <f>IFERROR(VLOOKUP(FieldDepends[[#This Row],[Field for Depend]],FormFields[[Field Name]:[ID]],2,0),"form_field")</f>
        <v>2111165</v>
      </c>
      <c r="DF6" s="63" t="s">
        <v>846</v>
      </c>
      <c r="DG6" s="62"/>
      <c r="DH6" s="62"/>
      <c r="DI6" s="62"/>
      <c r="DJ6" s="62" t="s">
        <v>1825</v>
      </c>
      <c r="DK6" s="62"/>
      <c r="DL6" s="62" t="s">
        <v>1718</v>
      </c>
      <c r="DY6" s="62" t="s">
        <v>1253</v>
      </c>
      <c r="DZ6" s="62" t="s">
        <v>1725</v>
      </c>
      <c r="EA6" s="62" t="s">
        <v>1852</v>
      </c>
      <c r="EB6" s="63" t="str">
        <f>'Table Seed Map'!$A$20&amp;"-"&amp;-1+COUNTA($DY$1:FormDataMapping[[#This Row],[Form for Data Mapping]])</f>
        <v>Form Data Map-4</v>
      </c>
      <c r="EC6" s="63">
        <f>IF(FormDataMapping[[#This Row],[Form for Data Mapping]]="","id",-1+COUNTA($DY$1:FormDataMapping[[#This Row],[Form for Data Mapping]])+VLOOKUP('Table Seed Map'!$A$20,SeedMap[],9,0))</f>
        <v>2119104</v>
      </c>
      <c r="ED6" s="62">
        <f>IF(FormDataMapping[[#This Row],[Form for Data Mapping]]="","resource_form",VLOOKUP([Form for Data Mapping],ResourceForms[[FormName]:[ID]],4,0))</f>
        <v>2110118</v>
      </c>
      <c r="EE6" s="63">
        <f>IF(FormDataMapping[[#This Row],[Form for Data Mapping]]="","resource_data",VLOOKUP([Resource Data],ResourceData[[DataDisplayName]:[ID]],8,0))</f>
        <v>2128106</v>
      </c>
      <c r="EF6" s="63">
        <f>IF(FormDataMapping[[#This Row],[Form for Data Mapping]]="","form_field",VLOOKUP([Form Field],FormFields[[Field Name]:[ID]],2,0))</f>
        <v>2111156</v>
      </c>
      <c r="EG6" s="62" t="s">
        <v>21</v>
      </c>
      <c r="EH6" s="63">
        <f>IF(FormDataMapping[[#This Row],[Form for Data Mapping]]="","relation",IFERROR(VLOOKUP([Relation],RelationTable[[Display]:[RELID]],2,0),""))</f>
        <v>2109194</v>
      </c>
      <c r="EI6" s="63" t="str">
        <f>IF(FormDataMapping[[#This Row],[Form for Data Mapping]]="","nest_relation1",IFERROR(VLOOKUP([Rel1],RelationTable[[Display]:[RELID]],2,0),""))</f>
        <v/>
      </c>
      <c r="EJ6" s="63" t="str">
        <f>IF(FormDataMapping[[#This Row],[Form for Data Mapping]]="","nest_relation2",IFERROR(VLOOKUP([Rel2],RelationTable[[Display]:[RELID]],2,0),""))</f>
        <v/>
      </c>
      <c r="EK6" s="63" t="str">
        <f>IF(FormDataMapping[[#This Row],[Form for Data Mapping]]="","nest_relation3",IFERROR(VLOOKUP([Rel3],RelationTable[[Display]:[RELID]],2,0),""))</f>
        <v/>
      </c>
      <c r="EL6" s="63" t="str">
        <f>IF(FormDataMapping[[#This Row],[Form for Data Mapping]]="","nest_relation4",IFERROR(VLOOKUP([Rel4],RelationTable[[Display]:[RELID]],2,0),""))</f>
        <v/>
      </c>
      <c r="EM6" s="63" t="str">
        <f>IF(FormDataMapping[[#This Row],[Form for Data Mapping]]="","nest_relation5",IFERROR(VLOOKUP([Rel5],RelationTable[[Display]:[RELID]],2,0),""))</f>
        <v/>
      </c>
      <c r="EN6" s="63" t="s">
        <v>1848</v>
      </c>
      <c r="EO6" s="63"/>
      <c r="EP6" s="63"/>
      <c r="EQ6" s="63"/>
      <c r="ER6" s="63"/>
      <c r="ES6" s="63"/>
    </row>
    <row r="7" spans="1:149">
      <c r="A7" s="69" t="str">
        <f>'Table Seed Map'!$A$11&amp;"-"&amp;(COUNTA($F$1:ResourceForms[[#This Row],[Resource]])-2)</f>
        <v>Resource Forms-5</v>
      </c>
      <c r="B7" s="69" t="str">
        <f>ResourceForms[[#This Row],[Resource Name]]&amp;"/"&amp;ResourceForms[[#This Row],[Name]]</f>
        <v>Hub/NewHubCreateFrom</v>
      </c>
      <c r="C7" s="69">
        <f>COUNTA($A$1:ResourceForms[[#This Row],[Primary]])-2</f>
        <v>5</v>
      </c>
      <c r="D7" s="14" t="s">
        <v>777</v>
      </c>
      <c r="E7" s="69">
        <f>IF(ResourceForms[[#This Row],[No]]=0,"id",ResourceForms[[#This Row],[No]]+IF(ISNUMBER(VLOOKUP('Table Seed Map'!$A$11,SeedMap[],9,0)),VLOOKUP('Table Seed Map'!$A$11,SeedMap[],9,0),0))</f>
        <v>2110105</v>
      </c>
      <c r="F7" s="69">
        <f>IFERROR(VLOOKUP(ResourceForms[[#This Row],[Resource Name]],ResourceTable[[RName]:[No]],3,0),"resource")</f>
        <v>2106107</v>
      </c>
      <c r="G7" s="63" t="s">
        <v>1178</v>
      </c>
      <c r="H7" s="69"/>
      <c r="I7" s="63" t="s">
        <v>895</v>
      </c>
      <c r="J7" s="9" t="s">
        <v>1135</v>
      </c>
      <c r="K7" s="67">
        <f>[ID]</f>
        <v>2110105</v>
      </c>
      <c r="M7" s="95" t="str">
        <f>'Table Seed Map'!$A$12&amp;"-"&amp;FormFields[[#This Row],[No]]</f>
        <v>Form Fields-5</v>
      </c>
      <c r="N7" s="81" t="s">
        <v>1348</v>
      </c>
      <c r="O7" s="96">
        <f>COUNTA($N$1:FormFields[[#This Row],[Form Name]])-1</f>
        <v>5</v>
      </c>
      <c r="P7" s="95" t="str">
        <f>FormFields[[#This Row],[Form Name]]&amp;"/"&amp;FormFields[[#This Row],[Name]]</f>
        <v>Employee/NewEmployee/name</v>
      </c>
      <c r="Q7" s="96">
        <f>IF(FormFields[[#This Row],[No]]=0,"id",FormFields[[#This Row],[No]]+IF(ISNUMBER(VLOOKUP('Table Seed Map'!$A$12,SeedMap[],9,0)),VLOOKUP('Table Seed Map'!$A$12,SeedMap[],9,0),0))</f>
        <v>2111105</v>
      </c>
      <c r="R7" s="97">
        <f>IFERROR(VLOOKUP(FormFields[[#This Row],[Form Name]],ResourceForms[[FormName]:[ID]],4,0),"resource_form")</f>
        <v>2110102</v>
      </c>
      <c r="S7" s="83" t="s">
        <v>23</v>
      </c>
      <c r="T7" s="83" t="s">
        <v>1137</v>
      </c>
      <c r="U7" s="83" t="s">
        <v>1</v>
      </c>
      <c r="V7" s="99"/>
      <c r="W7" s="99"/>
      <c r="X7" s="99"/>
      <c r="Y7" s="99"/>
      <c r="Z7" s="100" t="str">
        <f>'Table Seed Map'!$A$13&amp;"-"&amp;FormFields[[#This Row],[NO2]]</f>
        <v>Field Data-5</v>
      </c>
      <c r="AA7" s="101">
        <f>COUNTIFS($AB$1:FormFields[[#This Row],[Exists]],1)-1</f>
        <v>5</v>
      </c>
      <c r="AB7" s="101">
        <f>IF(AND(FormFields[[#This Row],[Attribute]]="",FormFields[[#This Row],[Rel]]=""),0,1)</f>
        <v>1</v>
      </c>
      <c r="AC7" s="101">
        <f>IF(FormFields[[#This Row],[NO2]]=0,"id",FormFields[[#This Row],[NO2]]+IF(ISNUMBER(VLOOKUP('Table Seed Map'!$A$13,SeedMap[],9,0)),VLOOKUP('Table Seed Map'!$A$13,SeedMap[],9,0),0))</f>
        <v>2112105</v>
      </c>
      <c r="AD7" s="102">
        <f>IF(FormFields[[#This Row],[ID]]="id","form_field",FormFields[[#This Row],[ID]])</f>
        <v>2111105</v>
      </c>
      <c r="AE7" s="101" t="str">
        <f>IF(FormFields[[#This Row],[No]]=0,"attribute",FormFields[[#This Row],[Name]])</f>
        <v>name</v>
      </c>
      <c r="AF7" s="103" t="str">
        <f>IF(FormFields[[#This Row],[NO2]]=0,"relation",IF(FormFields[[#This Row],[Rel]]="","",VLOOKUP(FormFields[[#This Row],[Rel]],RelationTable[[Display]:[RELID]],2,0)))</f>
        <v/>
      </c>
      <c r="AG7" s="103" t="str">
        <f>IF(FormFields[[#This Row],[NO2]]=0,"nest_relation1",IF(FormFields[[#This Row],[Rel1]]="","",VLOOKUP(FormFields[[#This Row],[Rel1]],RelationTable[[Display]:[RELID]],2,0)))</f>
        <v/>
      </c>
      <c r="AH7" s="103" t="str">
        <f>IF(FormFields[[#This Row],[NO2]]=0,"nest_relation2",IF(FormFields[[#This Row],[Rel2]]="","",VLOOKUP(FormFields[[#This Row],[Rel2]],RelationTable[[Display]:[RELID]],2,0)))</f>
        <v/>
      </c>
      <c r="AI7" s="103" t="str">
        <f>IF(FormFields[[#This Row],[NO2]]=0,"nest_relation3",IF(FormFields[[#This Row],[Rel3]]="","",VLOOKUP(FormFields[[#This Row],[Rel3]],RelationTable[[Display]:[RELID]],2,0)))</f>
        <v/>
      </c>
      <c r="AJ7" s="96">
        <f>IF(OR(FormFields[[#This Row],[Option Type]]="",FormFields[[#This Row],[Option Type]]="type"),0,1)</f>
        <v>0</v>
      </c>
      <c r="AK7" s="96" t="str">
        <f>'Table Seed Map'!$A$14&amp;"-"&amp;FormFields[[#This Row],[NO4]]</f>
        <v>Field Options-1</v>
      </c>
      <c r="AL7" s="96">
        <f>COUNTIF($AJ$2:FormFields[[#This Row],[Exists FO]],1)</f>
        <v>1</v>
      </c>
      <c r="AM7" s="96">
        <f>IF(FormFields[[#This Row],[NO4]]=0,"id",FormFields[[#This Row],[NO4]]+IF(ISNUMBER(VLOOKUP('Table Seed Map'!$A$14,SeedMap[],9,0)),VLOOKUP('Table Seed Map'!$A$14,SeedMap[],9,0),0))</f>
        <v>2113101</v>
      </c>
      <c r="AN7" s="104">
        <f>IF(FormFields[[#This Row],[ID]]="id","form_field",FormFields[[#This Row],[ID]])</f>
        <v>2111105</v>
      </c>
      <c r="AO7" s="105"/>
      <c r="AP7" s="105"/>
      <c r="AQ7" s="105"/>
      <c r="AR7" s="105"/>
      <c r="AS7" s="105"/>
      <c r="AT7" s="96">
        <f>IF(OR(FormFields[[#This Row],[Colspan]]="",FormFields[[#This Row],[Colspan]]="colspan"),0,1)</f>
        <v>0</v>
      </c>
      <c r="AU7" s="96" t="str">
        <f>'Table Seed Map'!$A$19&amp;"-"&amp;FormFields[[#This Row],[NO8]]</f>
        <v>Form Layout-0</v>
      </c>
      <c r="AV7" s="96">
        <f>COUNTIF($AT$1:FormFields[[#This Row],[Exists FL]],1)</f>
        <v>0</v>
      </c>
      <c r="AW7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96">
        <f>[Form]</f>
        <v>2110102</v>
      </c>
      <c r="AY7" s="96">
        <f>IF(FormFields[[#This Row],[ID]]="id","form_field",FormFields[[#This Row],[ID]])</f>
        <v>2111105</v>
      </c>
      <c r="AZ7" s="90"/>
      <c r="BA7" s="104">
        <f>FormFields[[#This Row],[ID]]</f>
        <v>2111105</v>
      </c>
      <c r="BC7" s="60" t="s">
        <v>1352</v>
      </c>
      <c r="BD7" s="61" t="str">
        <f>'Table Seed Map'!$A$15&amp;"-"&amp;(-1+COUNTA($BC$1:FieldAttrs[[#This Row],[ATTR Field]]))</f>
        <v>Field Attrs-5</v>
      </c>
      <c r="BE7" s="68">
        <f>IF(FieldAttrs[[#This Row],[ATTR Field]]="","id",-1+COUNTA($BC$1:FieldAttrs[[#This Row],[ATTR Field]])+VLOOKUP('Table Seed Map'!$A$15,SeedMap[],9,0))</f>
        <v>2114105</v>
      </c>
      <c r="BF7" s="58">
        <f>IFERROR(VLOOKUP([ATTR Field],FormFields[[Field Name]:[ID]],2,0),"form_field")</f>
        <v>2111105</v>
      </c>
      <c r="BG7" s="104" t="s">
        <v>1193</v>
      </c>
      <c r="BH7" s="104">
        <v>4</v>
      </c>
      <c r="BJ7" s="62" t="s">
        <v>1384</v>
      </c>
      <c r="BK7" s="63">
        <f>COUNTA($BJ$2:FieldValidations[[#This Row],[Validation Field]])</f>
        <v>5</v>
      </c>
      <c r="BL7" s="63" t="str">
        <f>'Table Seed Map'!$A$17&amp;"-"&amp;FieldValidations[[#This Row],[ID No]]</f>
        <v>Field Validations-5</v>
      </c>
      <c r="BM7" s="69">
        <f>IF(FieldValidations[[#This Row],[ID No]]=0,"id",FieldValidations[[#This Row],[ID No]]+VLOOKUP('Table Seed Map'!$A$17,SeedMap[],9,0))</f>
        <v>2116105</v>
      </c>
      <c r="BN7" s="69">
        <f>VLOOKUP([Validation Field],FormFields[[Field Name]:[ID]],2,0)</f>
        <v>2111109</v>
      </c>
      <c r="BO7" s="107" t="s">
        <v>1373</v>
      </c>
      <c r="BP7" s="107" t="s">
        <v>1379</v>
      </c>
      <c r="BQ7" s="107"/>
      <c r="BR7" s="107"/>
      <c r="BS7" s="107"/>
      <c r="CE7" s="20"/>
      <c r="CF7" s="69">
        <f>COUNTA($CH$1:FormDefault[[#This Row],[Form for Default]])-1</f>
        <v>5</v>
      </c>
      <c r="CG7" s="63" t="str">
        <f>'Table Seed Map'!$A$21&amp;"-"&amp;FormDefault[[#This Row],[No]]</f>
        <v>Form Defaults-5</v>
      </c>
      <c r="CH7" s="62" t="s">
        <v>1152</v>
      </c>
      <c r="CI7" s="69">
        <f>IF(FormDefault[[#This Row],[No]]=0,"id",FormDefault[[#This Row],[No]]+IF(ISNUMBER(VLOOKUP('Table Seed Map'!$A$21,SeedMap[],9,0)),VLOOKUP('Table Seed Map'!$A$21,SeedMap[],9,0),0))</f>
        <v>2120105</v>
      </c>
      <c r="CJ7" s="69">
        <f>IFERROR(VLOOKUP(FormDefault[[#This Row],[Form for Default]],ResourceForms[[FormName]:[ID]],4,0),"resource_form")</f>
        <v>2110104</v>
      </c>
      <c r="CK7" s="107" t="s">
        <v>1128</v>
      </c>
      <c r="CL7" s="107" t="s">
        <v>1372</v>
      </c>
      <c r="CM7" s="69" t="str">
        <f>IFERROR(VLOOKUP(FormDefault[[#This Row],[R]],RelationTable[[Display]:[RELID]],2,0),"")</f>
        <v/>
      </c>
      <c r="CN7" s="107" t="s">
        <v>1128</v>
      </c>
      <c r="CO7" s="69" t="str">
        <f>IFERROR(VLOOKUP(FormDefault[[#This Row],[R1]],RelationTable[[Display]:[RELID]],2,0),"")</f>
        <v/>
      </c>
      <c r="CP7" s="69" t="str">
        <f>IFERROR(VLOOKUP(FormDefault[[#This Row],[R2]],RelationTable[[Display]:[RELID]],2,0),"")</f>
        <v/>
      </c>
      <c r="CQ7" s="69" t="str">
        <f>IFERROR(VLOOKUP(FormDefault[[#This Row],[R3]],RelationTable[[Display]:[RELID]],2,0),"")</f>
        <v/>
      </c>
      <c r="CR7" s="107"/>
      <c r="CS7" s="107"/>
      <c r="CT7" s="107"/>
      <c r="CU7" s="107"/>
      <c r="CV7" s="107"/>
      <c r="CW7" s="107"/>
      <c r="CX7" s="107"/>
      <c r="CY7" s="107"/>
      <c r="CZ7" s="107"/>
      <c r="DA7"/>
      <c r="DB7" s="62" t="s">
        <v>1258</v>
      </c>
      <c r="DC7" s="63" t="str">
        <f>'Table Seed Map'!$A$18&amp;"-"&amp;COUNTA($DB$2:FieldDepends[[#This Row],[Field for Depend]])</f>
        <v>Field Depends-5</v>
      </c>
      <c r="DD7" s="69">
        <f>IF(FieldDepends[[#This Row],[Field for Depend]]="","id",-1+COUNTA($DB$1:FieldDepends[[#This Row],[Field for Depend]])+VLOOKUP('Table Seed Map'!$A$18,SeedMap[],9,0))</f>
        <v>2117105</v>
      </c>
      <c r="DE7" s="69">
        <f>IFERROR(VLOOKUP(FieldDepends[[#This Row],[Field for Depend]],FormFields[[Field Name]:[ID]],2,0),"form_field")</f>
        <v>2111158</v>
      </c>
      <c r="DF7" s="63" t="s">
        <v>809</v>
      </c>
      <c r="DG7" s="62" t="s">
        <v>809</v>
      </c>
      <c r="DH7" s="62" t="s">
        <v>1717</v>
      </c>
      <c r="DI7" s="62"/>
      <c r="DJ7" s="62"/>
      <c r="DK7" s="62"/>
      <c r="DL7" s="62" t="s">
        <v>1718</v>
      </c>
      <c r="DY7" s="62" t="s">
        <v>1253</v>
      </c>
      <c r="DZ7" s="62" t="s">
        <v>1725</v>
      </c>
      <c r="EA7" s="62" t="s">
        <v>1257</v>
      </c>
      <c r="EB7" s="9" t="str">
        <f>'Table Seed Map'!$A$20&amp;"-"&amp;-1+COUNTA($DY$1:FormDataMapping[[#This Row],[Form for Data Mapping]])</f>
        <v>Form Data Map-5</v>
      </c>
      <c r="EC7" s="9">
        <f>IF(FormDataMapping[[#This Row],[Form for Data Mapping]]="","id",-1+COUNTA($DY$1:FormDataMapping[[#This Row],[Form for Data Mapping]])+VLOOKUP('Table Seed Map'!$A$20,SeedMap[],9,0))</f>
        <v>2119105</v>
      </c>
      <c r="ED7" s="2">
        <f>IF(FormDataMapping[[#This Row],[Form for Data Mapping]]="","resource_form",VLOOKUP([Form for Data Mapping],ResourceForms[[FormName]:[ID]],4,0))</f>
        <v>2110118</v>
      </c>
      <c r="EE7" s="9">
        <f>IF(FormDataMapping[[#This Row],[Form for Data Mapping]]="","resource_data",VLOOKUP([Resource Data],ResourceData[[DataDisplayName]:[ID]],8,0))</f>
        <v>2128106</v>
      </c>
      <c r="EF7" s="9">
        <f>IF(FormDataMapping[[#This Row],[Form for Data Mapping]]="","form_field",VLOOKUP([Form Field],FormFields[[Field Name]:[ID]],2,0))</f>
        <v>2111157</v>
      </c>
      <c r="EG7" s="2" t="s">
        <v>21</v>
      </c>
      <c r="EH7" s="9">
        <f>IF(FormDataMapping[[#This Row],[Form for Data Mapping]]="","relation",IFERROR(VLOOKUP([Relation],RelationTable[[Display]:[RELID]],2,0),""))</f>
        <v>2109154</v>
      </c>
      <c r="EI7" s="9" t="str">
        <f>IF(FormDataMapping[[#This Row],[Form for Data Mapping]]="","nest_relation1",IFERROR(VLOOKUP([Rel1],RelationTable[[Display]:[RELID]],2,0),""))</f>
        <v/>
      </c>
      <c r="EJ7" s="9" t="str">
        <f>IF(FormDataMapping[[#This Row],[Form for Data Mapping]]="","nest_relation2",IFERROR(VLOOKUP([Rel2],RelationTable[[Display]:[RELID]],2,0),""))</f>
        <v/>
      </c>
      <c r="EK7" s="9" t="str">
        <f>IF(FormDataMapping[[#This Row],[Form for Data Mapping]]="","nest_relation3",IFERROR(VLOOKUP([Rel3],RelationTable[[Display]:[RELID]],2,0),""))</f>
        <v/>
      </c>
      <c r="EL7" s="9" t="str">
        <f>IF(FormDataMapping[[#This Row],[Form for Data Mapping]]="","nest_relation4",IFERROR(VLOOKUP([Rel4],RelationTable[[Display]:[RELID]],2,0),""))</f>
        <v/>
      </c>
      <c r="EM7" s="9" t="str">
        <f>IF(FormDataMapping[[#This Row],[Form for Data Mapping]]="","nest_relation5",IFERROR(VLOOKUP([Rel5],RelationTable[[Display]:[RELID]],2,0),""))</f>
        <v/>
      </c>
      <c r="EN7" s="63" t="s">
        <v>1629</v>
      </c>
      <c r="EO7" s="9"/>
      <c r="EP7" s="9"/>
      <c r="EQ7" s="9"/>
      <c r="ER7" s="9"/>
      <c r="ES7" s="9"/>
    </row>
    <row r="8" spans="1:149">
      <c r="A8" s="69" t="str">
        <f>'Table Seed Map'!$A$11&amp;"-"&amp;(COUNTA($F$1:ResourceForms[[#This Row],[Resource]])-2)</f>
        <v>Resource Forms-6</v>
      </c>
      <c r="B8" s="69" t="str">
        <f>ResourceForms[[#This Row],[Resource Name]]&amp;"/"&amp;ResourceForms[[#This Row],[Name]]</f>
        <v>Service/AddNewServiceForm</v>
      </c>
      <c r="C8" s="69">
        <f>COUNTA($A$1:ResourceForms[[#This Row],[Primary]])-2</f>
        <v>6</v>
      </c>
      <c r="D8" s="14" t="s">
        <v>778</v>
      </c>
      <c r="E8" s="69">
        <f>IF(ResourceForms[[#This Row],[No]]=0,"id",ResourceForms[[#This Row],[No]]+IF(ISNUMBER(VLOOKUP('Table Seed Map'!$A$11,SeedMap[],9,0)),VLOOKUP('Table Seed Map'!$A$11,SeedMap[],9,0),0))</f>
        <v>2110106</v>
      </c>
      <c r="F8" s="69">
        <f>IFERROR(VLOOKUP(ResourceForms[[#This Row],[Resource Name]],ResourceTable[[RName]:[No]],3,0),"resource")</f>
        <v>2106108</v>
      </c>
      <c r="G8" s="63" t="s">
        <v>1184</v>
      </c>
      <c r="H8" s="69"/>
      <c r="I8" s="63" t="s">
        <v>778</v>
      </c>
      <c r="J8" s="9" t="s">
        <v>1135</v>
      </c>
      <c r="K8" s="67">
        <f>[ID]</f>
        <v>2110106</v>
      </c>
      <c r="M8" s="95" t="str">
        <f>'Table Seed Map'!$A$12&amp;"-"&amp;FormFields[[#This Row],[No]]</f>
        <v>Form Fields-6</v>
      </c>
      <c r="N8" s="81" t="s">
        <v>1348</v>
      </c>
      <c r="O8" s="96">
        <f>COUNTA($N$1:FormFields[[#This Row],[Form Name]])-1</f>
        <v>6</v>
      </c>
      <c r="P8" s="95" t="str">
        <f>FormFields[[#This Row],[Form Name]]&amp;"/"&amp;FormFields[[#This Row],[Name]]</f>
        <v>Employee/NewEmployee/email</v>
      </c>
      <c r="Q8" s="96">
        <f>IF(FormFields[[#This Row],[No]]=0,"id",FormFields[[#This Row],[No]]+IF(ISNUMBER(VLOOKUP('Table Seed Map'!$A$12,SeedMap[],9,0)),VLOOKUP('Table Seed Map'!$A$12,SeedMap[],9,0),0))</f>
        <v>2111106</v>
      </c>
      <c r="R8" s="97">
        <f>IFERROR(VLOOKUP(FormFields[[#This Row],[Form Name]],ResourceForms[[FormName]:[ID]],4,0),"resource_form")</f>
        <v>2110102</v>
      </c>
      <c r="S8" s="98" t="s">
        <v>800</v>
      </c>
      <c r="T8" s="98" t="s">
        <v>1137</v>
      </c>
      <c r="U8" s="83" t="s">
        <v>1139</v>
      </c>
      <c r="V8" s="99"/>
      <c r="W8" s="99"/>
      <c r="X8" s="99"/>
      <c r="Y8" s="99"/>
      <c r="Z8" s="100" t="str">
        <f>'Table Seed Map'!$A$13&amp;"-"&amp;FormFields[[#This Row],[NO2]]</f>
        <v>Field Data-6</v>
      </c>
      <c r="AA8" s="101">
        <f>COUNTIFS($AB$1:FormFields[[#This Row],[Exists]],1)-1</f>
        <v>6</v>
      </c>
      <c r="AB8" s="101">
        <f>IF(AND(FormFields[[#This Row],[Attribute]]="",FormFields[[#This Row],[Rel]]=""),0,1)</f>
        <v>1</v>
      </c>
      <c r="AC8" s="101">
        <f>IF(FormFields[[#This Row],[NO2]]=0,"id",FormFields[[#This Row],[NO2]]+IF(ISNUMBER(VLOOKUP('Table Seed Map'!$A$13,SeedMap[],9,0)),VLOOKUP('Table Seed Map'!$A$13,SeedMap[],9,0),0))</f>
        <v>2112106</v>
      </c>
      <c r="AD8" s="102">
        <f>IF(FormFields[[#This Row],[ID]]="id","form_field",FormFields[[#This Row],[ID]])</f>
        <v>2111106</v>
      </c>
      <c r="AE8" s="101" t="str">
        <f>IF(FormFields[[#This Row],[No]]=0,"attribute",FormFields[[#This Row],[Name]])</f>
        <v>email</v>
      </c>
      <c r="AF8" s="103" t="str">
        <f>IF(FormFields[[#This Row],[NO2]]=0,"relation",IF(FormFields[[#This Row],[Rel]]="","",VLOOKUP(FormFields[[#This Row],[Rel]],RelationTable[[Display]:[RELID]],2,0)))</f>
        <v/>
      </c>
      <c r="AG8" s="103" t="str">
        <f>IF(FormFields[[#This Row],[NO2]]=0,"nest_relation1",IF(FormFields[[#This Row],[Rel1]]="","",VLOOKUP(FormFields[[#This Row],[Rel1]],RelationTable[[Display]:[RELID]],2,0)))</f>
        <v/>
      </c>
      <c r="AH8" s="103" t="str">
        <f>IF(FormFields[[#This Row],[NO2]]=0,"nest_relation2",IF(FormFields[[#This Row],[Rel2]]="","",VLOOKUP(FormFields[[#This Row],[Rel2]],RelationTable[[Display]:[RELID]],2,0)))</f>
        <v/>
      </c>
      <c r="AI8" s="103" t="str">
        <f>IF(FormFields[[#This Row],[NO2]]=0,"nest_relation3",IF(FormFields[[#This Row],[Rel3]]="","",VLOOKUP(FormFields[[#This Row],[Rel3]],RelationTable[[Display]:[RELID]],2,0)))</f>
        <v/>
      </c>
      <c r="AJ8" s="96">
        <f>IF(OR(FormFields[[#This Row],[Option Type]]="",FormFields[[#This Row],[Option Type]]="type"),0,1)</f>
        <v>0</v>
      </c>
      <c r="AK8" s="96" t="str">
        <f>'Table Seed Map'!$A$14&amp;"-"&amp;FormFields[[#This Row],[NO4]]</f>
        <v>Field Options-1</v>
      </c>
      <c r="AL8" s="96">
        <f>COUNTIF($AJ$2:FormFields[[#This Row],[Exists FO]],1)</f>
        <v>1</v>
      </c>
      <c r="AM8" s="96">
        <f>IF(FormFields[[#This Row],[NO4]]=0,"id",FormFields[[#This Row],[NO4]]+IF(ISNUMBER(VLOOKUP('Table Seed Map'!$A$14,SeedMap[],9,0)),VLOOKUP('Table Seed Map'!$A$14,SeedMap[],9,0),0))</f>
        <v>2113101</v>
      </c>
      <c r="AN8" s="104">
        <f>IF(FormFields[[#This Row],[ID]]="id","form_field",FormFields[[#This Row],[ID]])</f>
        <v>2111106</v>
      </c>
      <c r="AO8" s="105"/>
      <c r="AP8" s="105"/>
      <c r="AQ8" s="105"/>
      <c r="AR8" s="105"/>
      <c r="AS8" s="105"/>
      <c r="AT8" s="96">
        <f>IF(OR(FormFields[[#This Row],[Colspan]]="",FormFields[[#This Row],[Colspan]]="colspan"),0,1)</f>
        <v>0</v>
      </c>
      <c r="AU8" s="96" t="str">
        <f>'Table Seed Map'!$A$19&amp;"-"&amp;FormFields[[#This Row],[NO8]]</f>
        <v>Form Layout-0</v>
      </c>
      <c r="AV8" s="96">
        <f>COUNTIF($AT$1:FormFields[[#This Row],[Exists FL]],1)</f>
        <v>0</v>
      </c>
      <c r="AW8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96">
        <f>[Form]</f>
        <v>2110102</v>
      </c>
      <c r="AY8" s="96">
        <f>IF(FormFields[[#This Row],[ID]]="id","form_field",FormFields[[#This Row],[ID]])</f>
        <v>2111106</v>
      </c>
      <c r="AZ8" s="90"/>
      <c r="BA8" s="104">
        <f>FormFields[[#This Row],[ID]]</f>
        <v>2111106</v>
      </c>
      <c r="BC8" s="60" t="s">
        <v>1353</v>
      </c>
      <c r="BD8" s="61" t="str">
        <f>'Table Seed Map'!$A$15&amp;"-"&amp;(-1+COUNTA($BC$1:FieldAttrs[[#This Row],[ATTR Field]]))</f>
        <v>Field Attrs-6</v>
      </c>
      <c r="BE8" s="68">
        <f>IF(FieldAttrs[[#This Row],[ATTR Field]]="","id",-1+COUNTA($BC$1:FieldAttrs[[#This Row],[ATTR Field]])+VLOOKUP('Table Seed Map'!$A$15,SeedMap[],9,0))</f>
        <v>2114106</v>
      </c>
      <c r="BF8" s="58">
        <f>IFERROR(VLOOKUP([ATTR Field],FormFields[[Field Name]:[ID]],2,0),"form_field")</f>
        <v>2111106</v>
      </c>
      <c r="BG8" s="104" t="s">
        <v>1193</v>
      </c>
      <c r="BH8" s="104">
        <v>4</v>
      </c>
      <c r="BJ8" s="62" t="s">
        <v>1384</v>
      </c>
      <c r="BK8" s="63">
        <f>COUNTA($BJ$2:FieldValidations[[#This Row],[Validation Field]])</f>
        <v>6</v>
      </c>
      <c r="BL8" s="63" t="str">
        <f>'Table Seed Map'!$A$17&amp;"-"&amp;FieldValidations[[#This Row],[ID No]]</f>
        <v>Field Validations-6</v>
      </c>
      <c r="BM8" s="69">
        <f>IF(FieldValidations[[#This Row],[ID No]]=0,"id",FieldValidations[[#This Row],[ID No]]+VLOOKUP('Table Seed Map'!$A$17,SeedMap[],9,0))</f>
        <v>2116106</v>
      </c>
      <c r="BN8" s="69">
        <f>VLOOKUP([Validation Field],FormFields[[Field Name]:[ID]],2,0)</f>
        <v>2111109</v>
      </c>
      <c r="BO8" s="107" t="s">
        <v>1374</v>
      </c>
      <c r="BP8" s="107" t="s">
        <v>1375</v>
      </c>
      <c r="BQ8" s="107" t="s">
        <v>1376</v>
      </c>
      <c r="BR8" s="107"/>
      <c r="BS8" s="107"/>
      <c r="CE8" s="20"/>
      <c r="CH8"/>
      <c r="CI8" s="20"/>
      <c r="CM8"/>
      <c r="CU8" s="20"/>
      <c r="DA8"/>
      <c r="DB8" s="62" t="s">
        <v>1332</v>
      </c>
      <c r="DC8" s="63" t="str">
        <f>'Table Seed Map'!$A$18&amp;"-"&amp;COUNTA($DB$2:FieldDepends[[#This Row],[Field for Depend]])</f>
        <v>Field Depends-6</v>
      </c>
      <c r="DD8" s="69">
        <f>IF(FieldDepends[[#This Row],[Field for Depend]]="","id",-1+COUNTA($DB$1:FieldDepends[[#This Row],[Field for Depend]])+VLOOKUP('Table Seed Map'!$A$18,SeedMap[],9,0))</f>
        <v>2117106</v>
      </c>
      <c r="DE8" s="69">
        <f>IFERROR(VLOOKUP(FieldDepends[[#This Row],[Field for Depend]],FormFields[[Field Name]:[ID]],2,0),"form_field")</f>
        <v>2111171</v>
      </c>
      <c r="DF8" s="63"/>
      <c r="DG8" s="62"/>
      <c r="DH8" s="62"/>
      <c r="DI8" s="62"/>
      <c r="DJ8" s="62" t="s">
        <v>1824</v>
      </c>
      <c r="DK8" s="62"/>
      <c r="DL8" s="62" t="s">
        <v>99</v>
      </c>
      <c r="DY8" s="62" t="s">
        <v>1253</v>
      </c>
      <c r="DZ8" s="62" t="s">
        <v>1725</v>
      </c>
      <c r="EA8" s="62" t="s">
        <v>1258</v>
      </c>
      <c r="EB8" s="9" t="str">
        <f>'Table Seed Map'!$A$20&amp;"-"&amp;-1+COUNTA($DY$1:FormDataMapping[[#This Row],[Form for Data Mapping]])</f>
        <v>Form Data Map-6</v>
      </c>
      <c r="EC8" s="9">
        <f>IF(FormDataMapping[[#This Row],[Form for Data Mapping]]="","id",-1+COUNTA($DY$1:FormDataMapping[[#This Row],[Form for Data Mapping]])+VLOOKUP('Table Seed Map'!$A$20,SeedMap[],9,0))</f>
        <v>2119106</v>
      </c>
      <c r="ED8" s="2">
        <f>IF(FormDataMapping[[#This Row],[Form for Data Mapping]]="","resource_form",VLOOKUP([Form for Data Mapping],ResourceForms[[FormName]:[ID]],4,0))</f>
        <v>2110118</v>
      </c>
      <c r="EE8" s="9">
        <f>IF(FormDataMapping[[#This Row],[Form for Data Mapping]]="","resource_data",VLOOKUP([Resource Data],ResourceData[[DataDisplayName]:[ID]],8,0))</f>
        <v>2128106</v>
      </c>
      <c r="EF8" s="9">
        <f>IF(FormDataMapping[[#This Row],[Form for Data Mapping]]="","form_field",VLOOKUP([Form Field],FormFields[[Field Name]:[ID]],2,0))</f>
        <v>2111158</v>
      </c>
      <c r="EG8" s="2" t="s">
        <v>21</v>
      </c>
      <c r="EH8" s="9">
        <f>IF(FormDataMapping[[#This Row],[Form for Data Mapping]]="","relation",IFERROR(VLOOKUP([Relation],RelationTable[[Display]:[RELID]],2,0),""))</f>
        <v>2109155</v>
      </c>
      <c r="EI8" s="9" t="str">
        <f>IF(FormDataMapping[[#This Row],[Form for Data Mapping]]="","nest_relation1",IFERROR(VLOOKUP([Rel1],RelationTable[[Display]:[RELID]],2,0),""))</f>
        <v/>
      </c>
      <c r="EJ8" s="9" t="str">
        <f>IF(FormDataMapping[[#This Row],[Form for Data Mapping]]="","nest_relation2",IFERROR(VLOOKUP([Rel2],RelationTable[[Display]:[RELID]],2,0),""))</f>
        <v/>
      </c>
      <c r="EK8" s="9" t="str">
        <f>IF(FormDataMapping[[#This Row],[Form for Data Mapping]]="","nest_relation3",IFERROR(VLOOKUP([Rel3],RelationTable[[Display]:[RELID]],2,0),""))</f>
        <v/>
      </c>
      <c r="EL8" s="9" t="str">
        <f>IF(FormDataMapping[[#This Row],[Form for Data Mapping]]="","nest_relation4",IFERROR(VLOOKUP([Rel4],RelationTable[[Display]:[RELID]],2,0),""))</f>
        <v/>
      </c>
      <c r="EM8" s="9" t="str">
        <f>IF(FormDataMapping[[#This Row],[Form for Data Mapping]]="","nest_relation5",IFERROR(VLOOKUP([Rel5],RelationTable[[Display]:[RELID]],2,0),""))</f>
        <v/>
      </c>
      <c r="EN8" s="63" t="s">
        <v>1630</v>
      </c>
      <c r="EO8" s="9"/>
      <c r="EP8" s="9"/>
      <c r="EQ8" s="9"/>
      <c r="ER8" s="9"/>
      <c r="ES8" s="9"/>
    </row>
    <row r="9" spans="1:149">
      <c r="A9" s="69" t="str">
        <f>'Table Seed Map'!$A$11&amp;"-"&amp;(COUNTA($F$1:ResourceForms[[#This Row],[Resource]])-2)</f>
        <v>Resource Forms-7</v>
      </c>
      <c r="B9" s="69" t="str">
        <f>ResourceForms[[#This Row],[Resource Name]]&amp;"/"&amp;ResourceForms[[#This Row],[Name]]</f>
        <v>Item/AddNewItemForm</v>
      </c>
      <c r="C9" s="69">
        <f>COUNTA($A$1:ResourceForms[[#This Row],[Primary]])-2</f>
        <v>7</v>
      </c>
      <c r="D9" s="14" t="s">
        <v>779</v>
      </c>
      <c r="E9" s="69">
        <f>IF(ResourceForms[[#This Row],[No]]=0,"id",ResourceForms[[#This Row],[No]]+IF(ISNUMBER(VLOOKUP('Table Seed Map'!$A$11,SeedMap[],9,0)),VLOOKUP('Table Seed Map'!$A$11,SeedMap[],9,0),0))</f>
        <v>2110107</v>
      </c>
      <c r="F9" s="69">
        <f>IFERROR(VLOOKUP(ResourceForms[[#This Row],[Resource Name]],ResourceTable[[RName]:[No]],3,0),"resource")</f>
        <v>2106109</v>
      </c>
      <c r="G9" s="63" t="s">
        <v>1187</v>
      </c>
      <c r="H9" s="69"/>
      <c r="I9" s="63" t="s">
        <v>1320</v>
      </c>
      <c r="J9" s="9" t="s">
        <v>1135</v>
      </c>
      <c r="K9" s="67">
        <f>[ID]</f>
        <v>2110107</v>
      </c>
      <c r="M9" s="95" t="str">
        <f>'Table Seed Map'!$A$12&amp;"-"&amp;FormFields[[#This Row],[No]]</f>
        <v>Form Fields-7</v>
      </c>
      <c r="N9" s="81" t="s">
        <v>1348</v>
      </c>
      <c r="O9" s="96">
        <f>COUNTA($N$1:FormFields[[#This Row],[Form Name]])-1</f>
        <v>7</v>
      </c>
      <c r="P9" s="95" t="str">
        <f>FormFields[[#This Row],[Form Name]]&amp;"/"&amp;FormFields[[#This Row],[Name]]</f>
        <v>Employee/NewEmployee/password</v>
      </c>
      <c r="Q9" s="96">
        <f>IF(FormFields[[#This Row],[No]]=0,"id",FormFields[[#This Row],[No]]+IF(ISNUMBER(VLOOKUP('Table Seed Map'!$A$12,SeedMap[],9,0)),VLOOKUP('Table Seed Map'!$A$12,SeedMap[],9,0),0))</f>
        <v>2111107</v>
      </c>
      <c r="R9" s="97">
        <f>IFERROR(VLOOKUP(FormFields[[#This Row],[Form Name]],ResourceForms[[FormName]:[ID]],4,0),"resource_form")</f>
        <v>2110102</v>
      </c>
      <c r="S9" s="98" t="s">
        <v>1128</v>
      </c>
      <c r="T9" s="98" t="s">
        <v>1128</v>
      </c>
      <c r="U9" s="83" t="s">
        <v>1140</v>
      </c>
      <c r="V9" s="99"/>
      <c r="W9" s="99"/>
      <c r="X9" s="99"/>
      <c r="Y9" s="99"/>
      <c r="Z9" s="100" t="str">
        <f>'Table Seed Map'!$A$13&amp;"-"&amp;FormFields[[#This Row],[NO2]]</f>
        <v>Field Data-7</v>
      </c>
      <c r="AA9" s="101">
        <f>COUNTIFS($AB$1:FormFields[[#This Row],[Exists]],1)-1</f>
        <v>7</v>
      </c>
      <c r="AB9" s="101">
        <f>IF(AND(FormFields[[#This Row],[Attribute]]="",FormFields[[#This Row],[Rel]]=""),0,1)</f>
        <v>1</v>
      </c>
      <c r="AC9" s="101">
        <f>IF(FormFields[[#This Row],[NO2]]=0,"id",FormFields[[#This Row],[NO2]]+IF(ISNUMBER(VLOOKUP('Table Seed Map'!$A$13,SeedMap[],9,0)),VLOOKUP('Table Seed Map'!$A$13,SeedMap[],9,0),0))</f>
        <v>2112107</v>
      </c>
      <c r="AD9" s="102">
        <f>IF(FormFields[[#This Row],[ID]]="id","form_field",FormFields[[#This Row],[ID]])</f>
        <v>2111107</v>
      </c>
      <c r="AE9" s="101" t="str">
        <f>IF(FormFields[[#This Row],[No]]=0,"attribute",FormFields[[#This Row],[Name]])</f>
        <v>password</v>
      </c>
      <c r="AF9" s="103" t="str">
        <f>IF(FormFields[[#This Row],[NO2]]=0,"relation",IF(FormFields[[#This Row],[Rel]]="","",VLOOKUP(FormFields[[#This Row],[Rel]],RelationTable[[Display]:[RELID]],2,0)))</f>
        <v/>
      </c>
      <c r="AG9" s="103" t="str">
        <f>IF(FormFields[[#This Row],[NO2]]=0,"nest_relation1",IF(FormFields[[#This Row],[Rel1]]="","",VLOOKUP(FormFields[[#This Row],[Rel1]],RelationTable[[Display]:[RELID]],2,0)))</f>
        <v/>
      </c>
      <c r="AH9" s="103" t="str">
        <f>IF(FormFields[[#This Row],[NO2]]=0,"nest_relation2",IF(FormFields[[#This Row],[Rel2]]="","",VLOOKUP(FormFields[[#This Row],[Rel2]],RelationTable[[Display]:[RELID]],2,0)))</f>
        <v/>
      </c>
      <c r="AI9" s="103" t="str">
        <f>IF(FormFields[[#This Row],[NO2]]=0,"nest_relation3",IF(FormFields[[#This Row],[Rel3]]="","",VLOOKUP(FormFields[[#This Row],[Rel3]],RelationTable[[Display]:[RELID]],2,0)))</f>
        <v/>
      </c>
      <c r="AJ9" s="96">
        <f>IF(OR(FormFields[[#This Row],[Option Type]]="",FormFields[[#This Row],[Option Type]]="type"),0,1)</f>
        <v>0</v>
      </c>
      <c r="AK9" s="96" t="str">
        <f>'Table Seed Map'!$A$14&amp;"-"&amp;FormFields[[#This Row],[NO4]]</f>
        <v>Field Options-1</v>
      </c>
      <c r="AL9" s="96">
        <f>COUNTIF($AJ$2:FormFields[[#This Row],[Exists FO]],1)</f>
        <v>1</v>
      </c>
      <c r="AM9" s="96">
        <f>IF(FormFields[[#This Row],[NO4]]=0,"id",FormFields[[#This Row],[NO4]]+IF(ISNUMBER(VLOOKUP('Table Seed Map'!$A$14,SeedMap[],9,0)),VLOOKUP('Table Seed Map'!$A$14,SeedMap[],9,0),0))</f>
        <v>2113101</v>
      </c>
      <c r="AN9" s="104">
        <f>IF(FormFields[[#This Row],[ID]]="id","form_field",FormFields[[#This Row],[ID]])</f>
        <v>2111107</v>
      </c>
      <c r="AO9" s="105"/>
      <c r="AP9" s="105"/>
      <c r="AQ9" s="105"/>
      <c r="AR9" s="105"/>
      <c r="AS9" s="105"/>
      <c r="AT9" s="96">
        <f>IF(OR(FormFields[[#This Row],[Colspan]]="",FormFields[[#This Row],[Colspan]]="colspan"),0,1)</f>
        <v>0</v>
      </c>
      <c r="AU9" s="96" t="str">
        <f>'Table Seed Map'!$A$19&amp;"-"&amp;FormFields[[#This Row],[NO8]]</f>
        <v>Form Layout-0</v>
      </c>
      <c r="AV9" s="96">
        <f>COUNTIF($AT$1:FormFields[[#This Row],[Exists FL]],1)</f>
        <v>0</v>
      </c>
      <c r="AW9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96">
        <f>[Form]</f>
        <v>2110102</v>
      </c>
      <c r="AY9" s="96">
        <f>IF(FormFields[[#This Row],[ID]]="id","form_field",FormFields[[#This Row],[ID]])</f>
        <v>2111107</v>
      </c>
      <c r="AZ9" s="90"/>
      <c r="BA9" s="104">
        <f>FormFields[[#This Row],[ID]]</f>
        <v>2111107</v>
      </c>
      <c r="BC9" s="60" t="s">
        <v>1389</v>
      </c>
      <c r="BD9" s="61" t="str">
        <f>'Table Seed Map'!$A$15&amp;"-"&amp;(-1+COUNTA($BC$1:FieldAttrs[[#This Row],[ATTR Field]]))</f>
        <v>Field Attrs-7</v>
      </c>
      <c r="BE9" s="68">
        <f>IF(FieldAttrs[[#This Row],[ATTR Field]]="","id",-1+COUNTA($BC$1:FieldAttrs[[#This Row],[ATTR Field]])+VLOOKUP('Table Seed Map'!$A$15,SeedMap[],9,0))</f>
        <v>2114107</v>
      </c>
      <c r="BF9" s="58">
        <f>IFERROR(VLOOKUP([ATTR Field],FormFields[[Field Name]:[ID]],2,0),"form_field")</f>
        <v>2111108</v>
      </c>
      <c r="BG9" s="104" t="s">
        <v>1193</v>
      </c>
      <c r="BH9" s="104">
        <v>4</v>
      </c>
      <c r="BJ9" s="62" t="s">
        <v>1380</v>
      </c>
      <c r="BK9" s="63">
        <f>COUNTA($BJ$2:FieldValidations[[#This Row],[Validation Field]])</f>
        <v>7</v>
      </c>
      <c r="BL9" s="63" t="str">
        <f>'Table Seed Map'!$A$17&amp;"-"&amp;FieldValidations[[#This Row],[ID No]]</f>
        <v>Field Validations-7</v>
      </c>
      <c r="BM9" s="69">
        <f>IF(FieldValidations[[#This Row],[ID No]]=0,"id",FieldValidations[[#This Row],[ID No]]+VLOOKUP('Table Seed Map'!$A$17,SeedMap[],9,0))</f>
        <v>2116107</v>
      </c>
      <c r="BN9" s="69">
        <f>VLOOKUP([Validation Field],FormFields[[Field Name]:[ID]],2,0)</f>
        <v>2111114</v>
      </c>
      <c r="BO9" s="107" t="s">
        <v>1373</v>
      </c>
      <c r="BP9" s="107" t="s">
        <v>1381</v>
      </c>
      <c r="BQ9" s="107"/>
      <c r="BR9" s="107"/>
      <c r="BS9" s="107"/>
      <c r="CE9" s="20"/>
      <c r="CH9"/>
      <c r="CI9" s="20"/>
      <c r="CM9"/>
      <c r="CU9" s="20"/>
      <c r="DA9"/>
      <c r="DB9" s="62" t="s">
        <v>1978</v>
      </c>
      <c r="DC9" s="63" t="str">
        <f>'Table Seed Map'!$A$18&amp;"-"&amp;COUNTA($DB$2:FieldDepends[[#This Row],[Field for Depend]])</f>
        <v>Field Depends-7</v>
      </c>
      <c r="DD9" s="69">
        <f>IF(FieldDepends[[#This Row],[Field for Depend]]="","id",-1+COUNTA($DB$1:FieldDepends[[#This Row],[Field for Depend]])+VLOOKUP('Table Seed Map'!$A$18,SeedMap[],9,0))</f>
        <v>2117107</v>
      </c>
      <c r="DE9" s="69">
        <f>IFERROR(VLOOKUP(FieldDepends[[#This Row],[Field for Depend]],FormFields[[Field Name]:[ID]],2,0),"form_field")</f>
        <v>2111186</v>
      </c>
      <c r="DF9" s="63"/>
      <c r="DG9" s="62"/>
      <c r="DH9" s="62"/>
      <c r="DI9" s="62"/>
      <c r="DJ9" s="62" t="s">
        <v>1996</v>
      </c>
      <c r="DK9" s="62"/>
      <c r="DL9" s="62" t="s">
        <v>99</v>
      </c>
      <c r="DY9" s="62" t="s">
        <v>1778</v>
      </c>
      <c r="DZ9" s="62" t="s">
        <v>2010</v>
      </c>
      <c r="EA9" s="62" t="s">
        <v>2011</v>
      </c>
      <c r="EB9" s="63" t="str">
        <f>'Table Seed Map'!$A$20&amp;"-"&amp;-1+COUNTA($DY$1:FormDataMapping[[#This Row],[Form for Data Mapping]])</f>
        <v>Form Data Map-7</v>
      </c>
      <c r="EC9" s="63">
        <f>IF(FormDataMapping[[#This Row],[Form for Data Mapping]]="","id",-1+COUNTA($DY$1:FormDataMapping[[#This Row],[Form for Data Mapping]])+VLOOKUP('Table Seed Map'!$A$20,SeedMap[],9,0))</f>
        <v>2119107</v>
      </c>
      <c r="ED9" s="62">
        <f>IF(FormDataMapping[[#This Row],[Form for Data Mapping]]="","resource_form",VLOOKUP([Form for Data Mapping],ResourceForms[[FormName]:[ID]],4,0))</f>
        <v>2110127</v>
      </c>
      <c r="EE9" s="63">
        <f>IF(FormDataMapping[[#This Row],[Form for Data Mapping]]="","resource_data",VLOOKUP([Resource Data],ResourceData[[DataDisplayName]:[ID]],8,0))</f>
        <v>2128111</v>
      </c>
      <c r="EF9" s="63">
        <f>IF(FormDataMapping[[#This Row],[Form for Data Mapping]]="","form_field",VLOOKUP([Form Field],FormFields[[Field Name]:[ID]],2,0))</f>
        <v>2111182</v>
      </c>
      <c r="EG9" s="62" t="s">
        <v>21</v>
      </c>
      <c r="EH9" s="63">
        <f>IF(FormDataMapping[[#This Row],[Form for Data Mapping]]="","relation",IFERROR(VLOOKUP([Relation],RelationTable[[Display]:[RELID]],2,0),""))</f>
        <v>2109147</v>
      </c>
      <c r="EI9" s="63" t="str">
        <f>IF(FormDataMapping[[#This Row],[Form for Data Mapping]]="","nest_relation1",IFERROR(VLOOKUP([Rel1],RelationTable[[Display]:[RELID]],2,0),""))</f>
        <v/>
      </c>
      <c r="EJ9" s="63" t="str">
        <f>IF(FormDataMapping[[#This Row],[Form for Data Mapping]]="","nest_relation2",IFERROR(VLOOKUP([Rel2],RelationTable[[Display]:[RELID]],2,0),""))</f>
        <v/>
      </c>
      <c r="EK9" s="63" t="str">
        <f>IF(FormDataMapping[[#This Row],[Form for Data Mapping]]="","nest_relation3",IFERROR(VLOOKUP([Rel3],RelationTable[[Display]:[RELID]],2,0),""))</f>
        <v/>
      </c>
      <c r="EL9" s="63" t="str">
        <f>IF(FormDataMapping[[#This Row],[Form for Data Mapping]]="","nest_relation4",IFERROR(VLOOKUP([Rel4],RelationTable[[Display]:[RELID]],2,0),""))</f>
        <v/>
      </c>
      <c r="EM9" s="63" t="str">
        <f>IF(FormDataMapping[[#This Row],[Form for Data Mapping]]="","nest_relation5",IFERROR(VLOOKUP([Rel5],RelationTable[[Display]:[RELID]],2,0),""))</f>
        <v/>
      </c>
      <c r="EN9" s="63" t="s">
        <v>1472</v>
      </c>
      <c r="EO9" s="63"/>
      <c r="EP9" s="63"/>
      <c r="EQ9" s="63"/>
      <c r="ER9" s="63"/>
      <c r="ES9" s="63"/>
    </row>
    <row r="10" spans="1:149">
      <c r="A10" s="69" t="str">
        <f>'Table Seed Map'!$A$11&amp;"-"&amp;(COUNTA($F$1:ResourceForms[[#This Row],[Resource]])-2)</f>
        <v>Resource Forms-8</v>
      </c>
      <c r="B10" s="69" t="str">
        <f>ResourceForms[[#This Row],[Resource Name]]&amp;"/"&amp;ResourceForms[[#This Row],[Name]]</f>
        <v>ItemService/AddServicesToItemForm</v>
      </c>
      <c r="C10" s="69">
        <f>COUNTA($A$1:ResourceForms[[#This Row],[Primary]])-2</f>
        <v>8</v>
      </c>
      <c r="D10" s="14" t="s">
        <v>780</v>
      </c>
      <c r="E10" s="69">
        <f>IF(ResourceForms[[#This Row],[No]]=0,"id",ResourceForms[[#This Row],[No]]+IF(ISNUMBER(VLOOKUP('Table Seed Map'!$A$11,SeedMap[],9,0)),VLOOKUP('Table Seed Map'!$A$11,SeedMap[],9,0),0))</f>
        <v>2110108</v>
      </c>
      <c r="F10" s="69">
        <f>IFERROR(VLOOKUP(ResourceForms[[#This Row],[Resource Name]],ResourceTable[[RName]:[No]],3,0),"resource")</f>
        <v>2106110</v>
      </c>
      <c r="G10" s="63" t="s">
        <v>1199</v>
      </c>
      <c r="H10" s="69"/>
      <c r="I10" s="63" t="s">
        <v>1585</v>
      </c>
      <c r="J10" s="63" t="s">
        <v>1135</v>
      </c>
      <c r="K10" s="67">
        <f>[ID]</f>
        <v>2110108</v>
      </c>
      <c r="M10" s="95" t="str">
        <f>'Table Seed Map'!$A$12&amp;"-"&amp;FormFields[[#This Row],[No]]</f>
        <v>Form Fields-8</v>
      </c>
      <c r="N10" s="81" t="s">
        <v>1383</v>
      </c>
      <c r="O10" s="96">
        <f>COUNTA($N$1:FormFields[[#This Row],[Form Name]])-1</f>
        <v>8</v>
      </c>
      <c r="P10" s="95" t="str">
        <f>FormFields[[#This Row],[Form Name]]&amp;"/"&amp;FormFields[[#This Row],[Name]]</f>
        <v>Employee/NewServiceProvider/name</v>
      </c>
      <c r="Q10" s="96">
        <f>IF(FormFields[[#This Row],[No]]=0,"id",FormFields[[#This Row],[No]]+IF(ISNUMBER(VLOOKUP('Table Seed Map'!$A$12,SeedMap[],9,0)),VLOOKUP('Table Seed Map'!$A$12,SeedMap[],9,0),0))</f>
        <v>2111108</v>
      </c>
      <c r="R10" s="97">
        <f>IFERROR(VLOOKUP(FormFields[[#This Row],[Form Name]],ResourceForms[[FormName]:[ID]],4,0),"resource_form")</f>
        <v>2110103</v>
      </c>
      <c r="S10" s="98" t="s">
        <v>23</v>
      </c>
      <c r="T10" s="98" t="s">
        <v>1137</v>
      </c>
      <c r="U10" s="98" t="s">
        <v>1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2112108</v>
      </c>
      <c r="AD10" s="102">
        <f>IF(FormFields[[#This Row],[ID]]="id","form_field",FormFields[[#This Row],[ID]])</f>
        <v>2111108</v>
      </c>
      <c r="AE10" s="101" t="str">
        <f>IF(FormFields[[#This Row],[No]]=0,"attribute",FormFields[[#This Row],[Name]])</f>
        <v>name</v>
      </c>
      <c r="AF10" s="103" t="str">
        <f>IF(FormFields[[#This Row],[NO2]]=0,"relation",IF(FormFields[[#This Row],[Rel]]="","",VLOOKUP(FormFields[[#This Row],[Rel]],RelationTable[[Display]:[RELID]],2,0)))</f>
        <v/>
      </c>
      <c r="AG10" s="103" t="str">
        <f>IF(FormFields[[#This Row],[NO2]]=0,"nest_relation1",IF(FormFields[[#This Row],[Rel1]]="","",VLOOKUP(FormFields[[#This Row],[Rel1]],RelationTable[[Display]:[RELID]],2,0)))</f>
        <v/>
      </c>
      <c r="AH10" s="103" t="str">
        <f>IF(FormFields[[#This Row],[NO2]]=0,"nest_relation2",IF(FormFields[[#This Row],[Rel2]]="","",VLOOKUP(FormFields[[#This Row],[Rel2]],RelationTable[[Display]:[RELID]],2,0)))</f>
        <v/>
      </c>
      <c r="AI10" s="103" t="str">
        <f>IF(FormFields[[#This Row],[NO2]]=0,"nest_relation3",IF(FormFields[[#This Row],[Rel3]]="","",VLOOKUP(FormFields[[#This Row],[Rel3]],RelationTable[[Display]:[RELID]],2,0)))</f>
        <v/>
      </c>
      <c r="AJ10" s="96">
        <f>IF(OR(FormFields[[#This Row],[Option Type]]="",FormFields[[#This Row],[Option Type]]="type"),0,1)</f>
        <v>0</v>
      </c>
      <c r="AK10" s="96" t="str">
        <f>'Table Seed Map'!$A$14&amp;"-"&amp;FormFields[[#This Row],[NO4]]</f>
        <v>Field Options-1</v>
      </c>
      <c r="AL10" s="96">
        <f>COUNTIF($AJ$2:FormFields[[#This Row],[Exists FO]],1)</f>
        <v>1</v>
      </c>
      <c r="AM10" s="96">
        <f>IF(FormFields[[#This Row],[NO4]]=0,"id",FormFields[[#This Row],[NO4]]+IF(ISNUMBER(VLOOKUP('Table Seed Map'!$A$14,SeedMap[],9,0)),VLOOKUP('Table Seed Map'!$A$14,SeedMap[],9,0),0))</f>
        <v>2113101</v>
      </c>
      <c r="AN10" s="104">
        <f>IF(FormFields[[#This Row],[ID]]="id","form_field",FormFields[[#This Row],[ID]])</f>
        <v>2111108</v>
      </c>
      <c r="AO10" s="105"/>
      <c r="AP10" s="105"/>
      <c r="AQ10" s="105"/>
      <c r="AR10" s="105"/>
      <c r="AS10" s="105"/>
      <c r="AT10" s="96">
        <f>IF(OR(FormFields[[#This Row],[Colspan]]="",FormFields[[#This Row],[Colspan]]="colspan"),0,1)</f>
        <v>0</v>
      </c>
      <c r="AU10" s="96" t="str">
        <f>'Table Seed Map'!$A$19&amp;"-"&amp;FormFields[[#This Row],[NO8]]</f>
        <v>Form Layout-0</v>
      </c>
      <c r="AV10" s="96">
        <f>COUNTIF($AT$1:FormFields[[#This Row],[Exists FL]],1)</f>
        <v>0</v>
      </c>
      <c r="AW10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96">
        <f>[Form]</f>
        <v>2110103</v>
      </c>
      <c r="AY10" s="96">
        <f>IF(FormFields[[#This Row],[ID]]="id","form_field",FormFields[[#This Row],[ID]])</f>
        <v>2111108</v>
      </c>
      <c r="AZ10" s="106"/>
      <c r="BA10" s="104">
        <f>FormFields[[#This Row],[ID]]</f>
        <v>2111108</v>
      </c>
      <c r="BC10" s="60" t="s">
        <v>1384</v>
      </c>
      <c r="BD10" s="61" t="str">
        <f>'Table Seed Map'!$A$15&amp;"-"&amp;(-1+COUNTA($BC$1:FieldAttrs[[#This Row],[ATTR Field]]))</f>
        <v>Field Attrs-8</v>
      </c>
      <c r="BE10" s="68">
        <f>IF(FieldAttrs[[#This Row],[ATTR Field]]="","id",-1+COUNTA($BC$1:FieldAttrs[[#This Row],[ATTR Field]])+VLOOKUP('Table Seed Map'!$A$15,SeedMap[],9,0))</f>
        <v>2114108</v>
      </c>
      <c r="BF10" s="58">
        <f>IFERROR(VLOOKUP([ATTR Field],FormFields[[Field Name]:[ID]],2,0),"form_field")</f>
        <v>2111109</v>
      </c>
      <c r="BG10" s="104" t="s">
        <v>1193</v>
      </c>
      <c r="BH10" s="104">
        <v>4</v>
      </c>
      <c r="BJ10" s="62" t="s">
        <v>1192</v>
      </c>
      <c r="BK10" s="63">
        <f>COUNTA($BJ$2:FieldValidations[[#This Row],[Validation Field]])</f>
        <v>8</v>
      </c>
      <c r="BL10" s="63" t="str">
        <f>'Table Seed Map'!$A$17&amp;"-"&amp;FieldValidations[[#This Row],[ID No]]</f>
        <v>Field Validations-8</v>
      </c>
      <c r="BM10" s="69">
        <f>IF(FieldValidations[[#This Row],[ID No]]=0,"id",FieldValidations[[#This Row],[ID No]]+VLOOKUP('Table Seed Map'!$A$17,SeedMap[],9,0))</f>
        <v>2116108</v>
      </c>
      <c r="BN10" s="69">
        <f>VLOOKUP([Validation Field],FormFields[[Field Name]:[ID]],2,0)</f>
        <v>2111121</v>
      </c>
      <c r="BO10" s="107" t="s">
        <v>1373</v>
      </c>
      <c r="BP10" s="107" t="s">
        <v>1381</v>
      </c>
      <c r="BQ10" s="107"/>
      <c r="BR10" s="107"/>
      <c r="BS10" s="107"/>
      <c r="CE10" s="20"/>
      <c r="CH10"/>
      <c r="CI10" s="20"/>
      <c r="CM10"/>
      <c r="CU10" s="20"/>
      <c r="DA10"/>
      <c r="DB10" s="62" t="s">
        <v>1984</v>
      </c>
      <c r="DC10" s="63" t="str">
        <f>'Table Seed Map'!$A$18&amp;"-"&amp;COUNTA($DB$2:FieldDepends[[#This Row],[Field for Depend]])</f>
        <v>Field Depends-8</v>
      </c>
      <c r="DD10" s="69">
        <f>IF(FieldDepends[[#This Row],[Field for Depend]]="","id",-1+COUNTA($DB$1:FieldDepends[[#This Row],[Field for Depend]])+VLOOKUP('Table Seed Map'!$A$18,SeedMap[],9,0))</f>
        <v>2117108</v>
      </c>
      <c r="DE10" s="69">
        <f>IFERROR(VLOOKUP(FieldDepends[[#This Row],[Field for Depend]],FormFields[[Field Name]:[ID]],2,0),"form_field")</f>
        <v>2111187</v>
      </c>
      <c r="DF10" s="63"/>
      <c r="DG10" s="62"/>
      <c r="DH10" s="62"/>
      <c r="DI10" s="62"/>
      <c r="DJ10" s="62" t="s">
        <v>1997</v>
      </c>
      <c r="DK10" s="62"/>
      <c r="DL10" s="62" t="s">
        <v>99</v>
      </c>
    </row>
    <row r="11" spans="1:149">
      <c r="A11" s="69" t="str">
        <f>'Table Seed Map'!$A$11&amp;"-"&amp;(COUNTA($F$1:ResourceForms[[#This Row],[Resource]])-2)</f>
        <v>Resource Forms-9</v>
      </c>
      <c r="B11" s="69" t="str">
        <f>ResourceForms[[#This Row],[Resource Name]]&amp;"/"&amp;ResourceForms[[#This Row],[Name]]</f>
        <v>ItemService/UpdateItemsService</v>
      </c>
      <c r="C11" s="69">
        <f>COUNTA($A$1:ResourceForms[[#This Row],[Primary]])-2</f>
        <v>9</v>
      </c>
      <c r="D11" s="14" t="s">
        <v>780</v>
      </c>
      <c r="E11" s="69">
        <f>IF(ResourceForms[[#This Row],[No]]=0,"id",ResourceForms[[#This Row],[No]]+IF(ISNUMBER(VLOOKUP('Table Seed Map'!$A$11,SeedMap[],9,0)),VLOOKUP('Table Seed Map'!$A$11,SeedMap[],9,0),0))</f>
        <v>2110109</v>
      </c>
      <c r="F11" s="69">
        <f>IFERROR(VLOOKUP(ResourceForms[[#This Row],[Resource Name]],ResourceTable[[RName]:[No]],3,0),"resource")</f>
        <v>2106110</v>
      </c>
      <c r="G11" s="63" t="s">
        <v>1261</v>
      </c>
      <c r="H11" s="69"/>
      <c r="I11" s="63" t="s">
        <v>1585</v>
      </c>
      <c r="J11" s="63" t="s">
        <v>1135</v>
      </c>
      <c r="K11" s="67">
        <f>[ID]</f>
        <v>2110109</v>
      </c>
      <c r="M11" s="95" t="str">
        <f>'Table Seed Map'!$A$12&amp;"-"&amp;FormFields[[#This Row],[No]]</f>
        <v>Form Fields-9</v>
      </c>
      <c r="N11" s="81" t="s">
        <v>1383</v>
      </c>
      <c r="O11" s="96">
        <f>COUNTA($N$1:FormFields[[#This Row],[Form Name]])-1</f>
        <v>9</v>
      </c>
      <c r="P11" s="95" t="str">
        <f>FormFields[[#This Row],[Form Name]]&amp;"/"&amp;FormFields[[#This Row],[Name]]</f>
        <v>Employee/NewServiceProvider/email</v>
      </c>
      <c r="Q11" s="96">
        <f>IF(FormFields[[#This Row],[No]]=0,"id",FormFields[[#This Row],[No]]+IF(ISNUMBER(VLOOKUP('Table Seed Map'!$A$12,SeedMap[],9,0)),VLOOKUP('Table Seed Map'!$A$12,SeedMap[],9,0),0))</f>
        <v>2111109</v>
      </c>
      <c r="R11" s="97">
        <f>IFERROR(VLOOKUP(FormFields[[#This Row],[Form Name]],ResourceForms[[FormName]:[ID]],4,0),"resource_form")</f>
        <v>2110103</v>
      </c>
      <c r="S11" s="98" t="s">
        <v>800</v>
      </c>
      <c r="T11" s="98" t="s">
        <v>1137</v>
      </c>
      <c r="U11" s="98" t="s">
        <v>1182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2112109</v>
      </c>
      <c r="AD11" s="102">
        <f>IF(FormFields[[#This Row],[ID]]="id","form_field",FormFields[[#This Row],[ID]])</f>
        <v>2111109</v>
      </c>
      <c r="AE11" s="101" t="str">
        <f>IF(FormFields[[#This Row],[No]]=0,"attribute",FormFields[[#This Row],[Name]])</f>
        <v>email</v>
      </c>
      <c r="AF11" s="103" t="str">
        <f>IF(FormFields[[#This Row],[NO2]]=0,"relation",IF(FormFields[[#This Row],[Rel]]="","",VLOOKUP(FormFields[[#This Row],[Rel]],RelationTable[[Display]:[RELID]],2,0)))</f>
        <v/>
      </c>
      <c r="AG11" s="103" t="str">
        <f>IF(FormFields[[#This Row],[NO2]]=0,"nest_relation1",IF(FormFields[[#This Row],[Rel1]]="","",VLOOKUP(FormFields[[#This Row],[Rel1]],RelationTable[[Display]:[RELID]],2,0)))</f>
        <v/>
      </c>
      <c r="AH11" s="103" t="str">
        <f>IF(FormFields[[#This Row],[NO2]]=0,"nest_relation2",IF(FormFields[[#This Row],[Rel2]]="","",VLOOKUP(FormFields[[#This Row],[Rel2]],RelationTable[[Display]:[RELID]],2,0)))</f>
        <v/>
      </c>
      <c r="AI11" s="103" t="str">
        <f>IF(FormFields[[#This Row],[NO2]]=0,"nest_relation3",IF(FormFields[[#This Row],[Rel3]]="","",VLOOKUP(FormFields[[#This Row],[Rel3]],RelationTable[[Display]:[RELID]],2,0)))</f>
        <v/>
      </c>
      <c r="AJ11" s="96">
        <f>IF(OR(FormFields[[#This Row],[Option Type]]="",FormFields[[#This Row],[Option Type]]="type"),0,1)</f>
        <v>0</v>
      </c>
      <c r="AK11" s="96" t="str">
        <f>'Table Seed Map'!$A$14&amp;"-"&amp;FormFields[[#This Row],[NO4]]</f>
        <v>Field Options-1</v>
      </c>
      <c r="AL11" s="96">
        <f>COUNTIF($AJ$2:FormFields[[#This Row],[Exists FO]],1)</f>
        <v>1</v>
      </c>
      <c r="AM11" s="96">
        <f>IF(FormFields[[#This Row],[NO4]]=0,"id",FormFields[[#This Row],[NO4]]+IF(ISNUMBER(VLOOKUP('Table Seed Map'!$A$14,SeedMap[],9,0)),VLOOKUP('Table Seed Map'!$A$14,SeedMap[],9,0),0))</f>
        <v>2113101</v>
      </c>
      <c r="AN11" s="104">
        <f>IF(FormFields[[#This Row],[ID]]="id","form_field",FormFields[[#This Row],[ID]])</f>
        <v>2111109</v>
      </c>
      <c r="AO11" s="105"/>
      <c r="AP11" s="105"/>
      <c r="AQ11" s="105"/>
      <c r="AR11" s="105"/>
      <c r="AS11" s="105"/>
      <c r="AT11" s="96">
        <f>IF(OR(FormFields[[#This Row],[Colspan]]="",FormFields[[#This Row],[Colspan]]="colspan"),0,1)</f>
        <v>0</v>
      </c>
      <c r="AU11" s="96" t="str">
        <f>'Table Seed Map'!$A$19&amp;"-"&amp;FormFields[[#This Row],[NO8]]</f>
        <v>Form Layout-0</v>
      </c>
      <c r="AV11" s="96">
        <f>COUNTIF($AT$1:FormFields[[#This Row],[Exists FL]],1)</f>
        <v>0</v>
      </c>
      <c r="AW11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96">
        <f>[Form]</f>
        <v>2110103</v>
      </c>
      <c r="AY11" s="96">
        <f>IF(FormFields[[#This Row],[ID]]="id","form_field",FormFields[[#This Row],[ID]])</f>
        <v>2111109</v>
      </c>
      <c r="AZ11" s="106"/>
      <c r="BA11" s="104">
        <f>FormFields[[#This Row],[ID]]</f>
        <v>2111109</v>
      </c>
      <c r="BC11" s="60" t="s">
        <v>1390</v>
      </c>
      <c r="BD11" s="61" t="str">
        <f>'Table Seed Map'!$A$15&amp;"-"&amp;(-1+COUNTA($BC$1:FieldAttrs[[#This Row],[ATTR Field]]))</f>
        <v>Field Attrs-9</v>
      </c>
      <c r="BE11" s="68">
        <f>IF(FieldAttrs[[#This Row],[ATTR Field]]="","id",-1+COUNTA($BC$1:FieldAttrs[[#This Row],[ATTR Field]])+VLOOKUP('Table Seed Map'!$A$15,SeedMap[],9,0))</f>
        <v>2114109</v>
      </c>
      <c r="BF11" s="58">
        <f>IFERROR(VLOOKUP([ATTR Field],FormFields[[Field Name]:[ID]],2,0),"form_field")</f>
        <v>2111110</v>
      </c>
      <c r="BG11" s="104" t="s">
        <v>1193</v>
      </c>
      <c r="BH11" s="104">
        <v>4</v>
      </c>
      <c r="BJ11" s="62" t="s">
        <v>1196</v>
      </c>
      <c r="BK11" s="63">
        <f>COUNTA($BJ$2:FieldValidations[[#This Row],[Validation Field]])</f>
        <v>9</v>
      </c>
      <c r="BL11" s="63" t="str">
        <f>'Table Seed Map'!$A$17&amp;"-"&amp;FieldValidations[[#This Row],[ID No]]</f>
        <v>Field Validations-9</v>
      </c>
      <c r="BM11" s="69">
        <f>IF(FieldValidations[[#This Row],[ID No]]=0,"id",FieldValidations[[#This Row],[ID No]]+VLOOKUP('Table Seed Map'!$A$17,SeedMap[],9,0))</f>
        <v>2116109</v>
      </c>
      <c r="BN11" s="69">
        <f>VLOOKUP([Validation Field],FormFields[[Field Name]:[ID]],2,0)</f>
        <v>2111124</v>
      </c>
      <c r="BO11" s="107" t="s">
        <v>1373</v>
      </c>
      <c r="BP11" s="107" t="s">
        <v>1381</v>
      </c>
      <c r="BQ11" s="107"/>
      <c r="BR11" s="107"/>
      <c r="BS11" s="107"/>
      <c r="CE11" s="20"/>
      <c r="CH11"/>
      <c r="CI11" s="20"/>
      <c r="CM11"/>
      <c r="CU11" s="20"/>
      <c r="DA11"/>
      <c r="DB11" s="62" t="s">
        <v>1283</v>
      </c>
      <c r="DC11" s="63" t="str">
        <f>'Table Seed Map'!$A$18&amp;"-"&amp;COUNTA($DB$2:FieldDepends[[#This Row],[Field for Depend]])</f>
        <v>Field Depends-9</v>
      </c>
      <c r="DD11" s="69">
        <f>IF(FieldDepends[[#This Row],[Field for Depend]]="","id",-1+COUNTA($DB$1:FieldDepends[[#This Row],[Field for Depend]])+VLOOKUP('Table Seed Map'!$A$18,SeedMap[],9,0))</f>
        <v>2117109</v>
      </c>
      <c r="DE11" s="69">
        <f>IFERROR(VLOOKUP(FieldDepends[[#This Row],[Field for Depend]],FormFields[[Field Name]:[ID]],2,0),"form_field")</f>
        <v>2111166</v>
      </c>
      <c r="DF11" s="63"/>
      <c r="DG11" s="62"/>
      <c r="DH11" s="62"/>
      <c r="DI11" s="62"/>
      <c r="DJ11" s="62" t="s">
        <v>1824</v>
      </c>
      <c r="DK11" s="62"/>
      <c r="DL11" s="62" t="s">
        <v>99</v>
      </c>
    </row>
    <row r="12" spans="1:149">
      <c r="A12" s="69" t="str">
        <f>'Table Seed Map'!$A$11&amp;"-"&amp;(COUNTA($F$1:ResourceForms[[#This Row],[Resource]])-2)</f>
        <v>Resource Forms-10</v>
      </c>
      <c r="B12" s="69" t="str">
        <f>ResourceForms[[#This Row],[Resource Name]]&amp;"/"&amp;ResourceForms[[#This Row],[Name]]</f>
        <v>Shelf/CreateNewShelfForm</v>
      </c>
      <c r="C12" s="69">
        <f>COUNTA($A$1:ResourceForms[[#This Row],[Primary]])-2</f>
        <v>10</v>
      </c>
      <c r="D12" s="14" t="s">
        <v>1029</v>
      </c>
      <c r="E12" s="69">
        <f>IF(ResourceForms[[#This Row],[No]]=0,"id",ResourceForms[[#This Row],[No]]+IF(ISNUMBER(VLOOKUP('Table Seed Map'!$A$11,SeedMap[],9,0)),VLOOKUP('Table Seed Map'!$A$11,SeedMap[],9,0),0))</f>
        <v>2110110</v>
      </c>
      <c r="F12" s="69">
        <f>IFERROR(VLOOKUP(ResourceForms[[#This Row],[Resource Name]],ResourceTable[[RName]:[No]],3,0),"resource")</f>
        <v>2106113</v>
      </c>
      <c r="G12" s="63" t="s">
        <v>1207</v>
      </c>
      <c r="H12" s="69"/>
      <c r="I12" s="63" t="s">
        <v>1029</v>
      </c>
      <c r="J12" s="63" t="s">
        <v>1135</v>
      </c>
      <c r="K12" s="67">
        <f>[ID]</f>
        <v>2110110</v>
      </c>
      <c r="M12" s="95" t="str">
        <f>'Table Seed Map'!$A$12&amp;"-"&amp;FormFields[[#This Row],[No]]</f>
        <v>Form Fields-10</v>
      </c>
      <c r="N12" s="81" t="s">
        <v>1383</v>
      </c>
      <c r="O12" s="96">
        <f>COUNTA($N$1:FormFields[[#This Row],[Form Name]])-1</f>
        <v>10</v>
      </c>
      <c r="P12" s="95" t="str">
        <f>FormFields[[#This Row],[Form Name]]&amp;"/"&amp;FormFields[[#This Row],[Name]]</f>
        <v>Employee/NewServiceProvider/password</v>
      </c>
      <c r="Q12" s="96">
        <f>IF(FormFields[[#This Row],[No]]=0,"id",FormFields[[#This Row],[No]]+IF(ISNUMBER(VLOOKUP('Table Seed Map'!$A$12,SeedMap[],9,0)),VLOOKUP('Table Seed Map'!$A$12,SeedMap[],9,0),0))</f>
        <v>2111110</v>
      </c>
      <c r="R12" s="97">
        <f>IFERROR(VLOOKUP(FormFields[[#This Row],[Form Name]],ResourceForms[[FormName]:[ID]],4,0),"resource_form")</f>
        <v>2110103</v>
      </c>
      <c r="S12" s="98" t="s">
        <v>1128</v>
      </c>
      <c r="T12" s="98" t="s">
        <v>1128</v>
      </c>
      <c r="U12" s="98" t="s">
        <v>1140</v>
      </c>
      <c r="V12" s="99"/>
      <c r="W12" s="99"/>
      <c r="X12" s="99"/>
      <c r="Y12" s="99"/>
      <c r="Z12" s="100" t="str">
        <f>'Table Seed Map'!$A$13&amp;"-"&amp;FormFields[[#This Row],[NO2]]</f>
        <v>Field Data-10</v>
      </c>
      <c r="AA12" s="101">
        <f>COUNTIFS($AB$1:FormFields[[#This Row],[Exists]],1)-1</f>
        <v>10</v>
      </c>
      <c r="AB12" s="101">
        <f>IF(AND(FormFields[[#This Row],[Attribute]]="",FormFields[[#This Row],[Rel]]=""),0,1)</f>
        <v>1</v>
      </c>
      <c r="AC12" s="101">
        <f>IF(FormFields[[#This Row],[NO2]]=0,"id",FormFields[[#This Row],[NO2]]+IF(ISNUMBER(VLOOKUP('Table Seed Map'!$A$13,SeedMap[],9,0)),VLOOKUP('Table Seed Map'!$A$13,SeedMap[],9,0),0))</f>
        <v>2112110</v>
      </c>
      <c r="AD12" s="102">
        <f>IF(FormFields[[#This Row],[ID]]="id","form_field",FormFields[[#This Row],[ID]])</f>
        <v>2111110</v>
      </c>
      <c r="AE12" s="101" t="str">
        <f>IF(FormFields[[#This Row],[No]]=0,"attribute",FormFields[[#This Row],[Name]])</f>
        <v>password</v>
      </c>
      <c r="AF12" s="103" t="str">
        <f>IF(FormFields[[#This Row],[NO2]]=0,"relation",IF(FormFields[[#This Row],[Rel]]="","",VLOOKUP(FormFields[[#This Row],[Rel]],RelationTable[[Display]:[RELID]],2,0)))</f>
        <v/>
      </c>
      <c r="AG12" s="103" t="str">
        <f>IF(FormFields[[#This Row],[NO2]]=0,"nest_relation1",IF(FormFields[[#This Row],[Rel1]]="","",VLOOKUP(FormFields[[#This Row],[Rel1]],RelationTable[[Display]:[RELID]],2,0)))</f>
        <v/>
      </c>
      <c r="AH12" s="103" t="str">
        <f>IF(FormFields[[#This Row],[NO2]]=0,"nest_relation2",IF(FormFields[[#This Row],[Rel2]]="","",VLOOKUP(FormFields[[#This Row],[Rel2]],RelationTable[[Display]:[RELID]],2,0)))</f>
        <v/>
      </c>
      <c r="AI12" s="103" t="str">
        <f>IF(FormFields[[#This Row],[NO2]]=0,"nest_relation3",IF(FormFields[[#This Row],[Rel3]]="","",VLOOKUP(FormFields[[#This Row],[Rel3]],RelationTable[[Display]:[RELID]],2,0)))</f>
        <v/>
      </c>
      <c r="AJ12" s="96">
        <f>IF(OR(FormFields[[#This Row],[Option Type]]="",FormFields[[#This Row],[Option Type]]="type"),0,1)</f>
        <v>0</v>
      </c>
      <c r="AK12" s="96" t="str">
        <f>'Table Seed Map'!$A$14&amp;"-"&amp;FormFields[[#This Row],[NO4]]</f>
        <v>Field Options-1</v>
      </c>
      <c r="AL12" s="96">
        <f>COUNTIF($AJ$2:FormFields[[#This Row],[Exists FO]],1)</f>
        <v>1</v>
      </c>
      <c r="AM12" s="96">
        <f>IF(FormFields[[#This Row],[NO4]]=0,"id",FormFields[[#This Row],[NO4]]+IF(ISNUMBER(VLOOKUP('Table Seed Map'!$A$14,SeedMap[],9,0)),VLOOKUP('Table Seed Map'!$A$14,SeedMap[],9,0),0))</f>
        <v>2113101</v>
      </c>
      <c r="AN12" s="104">
        <f>IF(FormFields[[#This Row],[ID]]="id","form_field",FormFields[[#This Row],[ID]])</f>
        <v>2111110</v>
      </c>
      <c r="AO12" s="105"/>
      <c r="AP12" s="105"/>
      <c r="AQ12" s="105"/>
      <c r="AR12" s="105"/>
      <c r="AS12" s="105"/>
      <c r="AT12" s="96">
        <f>IF(OR(FormFields[[#This Row],[Colspan]]="",FormFields[[#This Row],[Colspan]]="colspan"),0,1)</f>
        <v>0</v>
      </c>
      <c r="AU12" s="96" t="str">
        <f>'Table Seed Map'!$A$19&amp;"-"&amp;FormFields[[#This Row],[NO8]]</f>
        <v>Form Layout-0</v>
      </c>
      <c r="AV12" s="96">
        <f>COUNTIF($AT$1:FormFields[[#This Row],[Exists FL]],1)</f>
        <v>0</v>
      </c>
      <c r="AW12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96">
        <f>[Form]</f>
        <v>2110103</v>
      </c>
      <c r="AY12" s="96">
        <f>IF(FormFields[[#This Row],[ID]]="id","form_field",FormFields[[#This Row],[ID]])</f>
        <v>2111110</v>
      </c>
      <c r="AZ12" s="106"/>
      <c r="BA12" s="104">
        <f>FormFields[[#This Row],[ID]]</f>
        <v>2111110</v>
      </c>
      <c r="BC12" s="60" t="s">
        <v>1354</v>
      </c>
      <c r="BD12" s="61" t="str">
        <f>'Table Seed Map'!$A$15&amp;"-"&amp;(-1+COUNTA($BC$1:FieldAttrs[[#This Row],[ATTR Field]]))</f>
        <v>Field Attrs-10</v>
      </c>
      <c r="BE12" s="68">
        <f>IF(FieldAttrs[[#This Row],[ATTR Field]]="","id",-1+COUNTA($BC$1:FieldAttrs[[#This Row],[ATTR Field]])+VLOOKUP('Table Seed Map'!$A$15,SeedMap[],9,0))</f>
        <v>2114110</v>
      </c>
      <c r="BF12" s="58">
        <f>IFERROR(VLOOKUP([ATTR Field],FormFields[[Field Name]:[ID]],2,0),"form_field")</f>
        <v>2111107</v>
      </c>
      <c r="BG12" s="104" t="s">
        <v>1193</v>
      </c>
      <c r="BH12" s="104">
        <v>4</v>
      </c>
      <c r="BJ12" s="62" t="s">
        <v>1371</v>
      </c>
      <c r="BK12" s="63">
        <f>COUNTA($BJ$2:FieldValidations[[#This Row],[Validation Field]])</f>
        <v>10</v>
      </c>
      <c r="BL12" s="63" t="str">
        <f>'Table Seed Map'!$A$17&amp;"-"&amp;FieldValidations[[#This Row],[ID No]]</f>
        <v>Field Validations-10</v>
      </c>
      <c r="BM12" s="69">
        <f>IF(FieldValidations[[#This Row],[ID No]]=0,"id",FieldValidations[[#This Row],[ID No]]+VLOOKUP('Table Seed Map'!$A$17,SeedMap[],9,0))</f>
        <v>2116110</v>
      </c>
      <c r="BN12" s="69">
        <f>VLOOKUP([Validation Field],FormFields[[Field Name]:[ID]],2,0)</f>
        <v>2111134</v>
      </c>
      <c r="BO12" s="107" t="s">
        <v>1373</v>
      </c>
      <c r="BP12" s="107" t="s">
        <v>1381</v>
      </c>
      <c r="BQ12" s="107"/>
      <c r="BR12" s="107"/>
      <c r="BS12" s="107"/>
      <c r="CE12" s="20"/>
      <c r="CH12"/>
      <c r="CI12" s="20"/>
      <c r="CM12"/>
      <c r="CU12" s="20"/>
      <c r="DA12"/>
      <c r="DB12" s="62" t="s">
        <v>1294</v>
      </c>
      <c r="DC12" s="63" t="str">
        <f>'Table Seed Map'!$A$18&amp;"-"&amp;COUNTA($DB$2:FieldDepends[[#This Row],[Field for Depend]])</f>
        <v>Field Depends-10</v>
      </c>
      <c r="DD12" s="69">
        <f>IF(FieldDepends[[#This Row],[Field for Depend]]="","id",-1+COUNTA($DB$1:FieldDepends[[#This Row],[Field for Depend]])+VLOOKUP('Table Seed Map'!$A$18,SeedMap[],9,0))</f>
        <v>2117110</v>
      </c>
      <c r="DE12" s="69">
        <f>IFERROR(VLOOKUP(FieldDepends[[#This Row],[Field for Depend]],FormFields[[Field Name]:[ID]],2,0),"form_field")</f>
        <v>2111168</v>
      </c>
      <c r="DF12" s="63" t="s">
        <v>833</v>
      </c>
      <c r="DG12" s="62" t="s">
        <v>833</v>
      </c>
      <c r="DH12" s="62" t="s">
        <v>1717</v>
      </c>
      <c r="DI12" s="62"/>
      <c r="DJ12" s="62"/>
      <c r="DK12" s="62"/>
      <c r="DL12" s="62" t="s">
        <v>1718</v>
      </c>
    </row>
    <row r="13" spans="1:149">
      <c r="A13" s="69" t="str">
        <f>'Table Seed Map'!$A$11&amp;"-"&amp;(COUNTA($F$1:ResourceForms[[#This Row],[Resource]])-2)</f>
        <v>Resource Forms-11</v>
      </c>
      <c r="B13" s="69" t="str">
        <f>ResourceForms[[#This Row],[Resource Name]]&amp;"/"&amp;ResourceForms[[#This Row],[Name]]</f>
        <v>HubDefaultShelf/AssignHubsDefaultShelf</v>
      </c>
      <c r="C13" s="69">
        <f>COUNTA($A$1:ResourceForms[[#This Row],[Primary]])-2</f>
        <v>11</v>
      </c>
      <c r="D13" s="14" t="s">
        <v>1030</v>
      </c>
      <c r="E13" s="69">
        <f>IF(ResourceForms[[#This Row],[No]]=0,"id",ResourceForms[[#This Row],[No]]+IF(ISNUMBER(VLOOKUP('Table Seed Map'!$A$11,SeedMap[],9,0)),VLOOKUP('Table Seed Map'!$A$11,SeedMap[],9,0),0))</f>
        <v>2110111</v>
      </c>
      <c r="F13" s="69">
        <f>IFERROR(VLOOKUP(ResourceForms[[#This Row],[Resource Name]],ResourceTable[[RName]:[No]],3,0),"resource")</f>
        <v>2106114</v>
      </c>
      <c r="G13" s="63" t="s">
        <v>1210</v>
      </c>
      <c r="H13" s="69"/>
      <c r="I13" s="63" t="s">
        <v>1211</v>
      </c>
      <c r="J13" s="63" t="s">
        <v>1135</v>
      </c>
      <c r="K13" s="67">
        <f>[ID]</f>
        <v>2110111</v>
      </c>
      <c r="M13" s="95" t="str">
        <f>'Table Seed Map'!$A$12&amp;"-"&amp;FormFields[[#This Row],[No]]</f>
        <v>Form Fields-11</v>
      </c>
      <c r="N13" s="81" t="s">
        <v>1152</v>
      </c>
      <c r="O13" s="96">
        <f>COUNTA($N$1:FormFields[[#This Row],[Form Name]])-1</f>
        <v>11</v>
      </c>
      <c r="P13" s="95" t="str">
        <f>FormFields[[#This Row],[Form Name]]&amp;"/"&amp;FormFields[[#This Row],[Name]]</f>
        <v>Customer/NewCustomerForm/name</v>
      </c>
      <c r="Q13" s="96">
        <f>IF(FormFields[[#This Row],[No]]=0,"id",FormFields[[#This Row],[No]]+IF(ISNUMBER(VLOOKUP('Table Seed Map'!$A$12,SeedMap[],9,0)),VLOOKUP('Table Seed Map'!$A$12,SeedMap[],9,0),0))</f>
        <v>2111111</v>
      </c>
      <c r="R13" s="97">
        <f>IFERROR(VLOOKUP(FormFields[[#This Row],[Form Name]],ResourceForms[[FormName]:[ID]],4,0),"resource_form")</f>
        <v>2110104</v>
      </c>
      <c r="S13" s="83" t="s">
        <v>23</v>
      </c>
      <c r="T13" s="98" t="s">
        <v>1137</v>
      </c>
      <c r="U13" s="98" t="s">
        <v>1154</v>
      </c>
      <c r="V13" s="99"/>
      <c r="W13" s="99"/>
      <c r="X13" s="99"/>
      <c r="Y13" s="99"/>
      <c r="Z13" s="100" t="str">
        <f>'Table Seed Map'!$A$13&amp;"-"&amp;FormFields[[#This Row],[NO2]]</f>
        <v>Field Data-11</v>
      </c>
      <c r="AA13" s="101">
        <f>COUNTIFS($AB$1:FormFields[[#This Row],[Exists]],1)-1</f>
        <v>11</v>
      </c>
      <c r="AB13" s="101">
        <f>IF(AND(FormFields[[#This Row],[Attribute]]="",FormFields[[#This Row],[Rel]]=""),0,1)</f>
        <v>1</v>
      </c>
      <c r="AC13" s="101">
        <f>IF(FormFields[[#This Row],[NO2]]=0,"id",FormFields[[#This Row],[NO2]]+IF(ISNUMBER(VLOOKUP('Table Seed Map'!$A$13,SeedMap[],9,0)),VLOOKUP('Table Seed Map'!$A$13,SeedMap[],9,0),0))</f>
        <v>2112111</v>
      </c>
      <c r="AD13" s="102">
        <f>IF(FormFields[[#This Row],[ID]]="id","form_field",FormFields[[#This Row],[ID]])</f>
        <v>2111111</v>
      </c>
      <c r="AE13" s="101" t="str">
        <f>IF(FormFields[[#This Row],[No]]=0,"attribute",FormFields[[#This Row],[Name]])</f>
        <v>name</v>
      </c>
      <c r="AF13" s="103" t="str">
        <f>IF(FormFields[[#This Row],[NO2]]=0,"relation",IF(FormFields[[#This Row],[Rel]]="","",VLOOKUP(FormFields[[#This Row],[Rel]],RelationTable[[Display]:[RELID]],2,0)))</f>
        <v/>
      </c>
      <c r="AG13" s="103" t="str">
        <f>IF(FormFields[[#This Row],[NO2]]=0,"nest_relation1",IF(FormFields[[#This Row],[Rel1]]="","",VLOOKUP(FormFields[[#This Row],[Rel1]],RelationTable[[Display]:[RELID]],2,0)))</f>
        <v/>
      </c>
      <c r="AH13" s="103" t="str">
        <f>IF(FormFields[[#This Row],[NO2]]=0,"nest_relation2",IF(FormFields[[#This Row],[Rel2]]="","",VLOOKUP(FormFields[[#This Row],[Rel2]],RelationTable[[Display]:[RELID]],2,0)))</f>
        <v/>
      </c>
      <c r="AI13" s="103" t="str">
        <f>IF(FormFields[[#This Row],[NO2]]=0,"nest_relation3",IF(FormFields[[#This Row],[Rel3]]="","",VLOOKUP(FormFields[[#This Row],[Rel3]],RelationTable[[Display]:[RELID]],2,0)))</f>
        <v/>
      </c>
      <c r="AJ13" s="96">
        <f>IF(OR(FormFields[[#This Row],[Option Type]]="",FormFields[[#This Row],[Option Type]]="type"),0,1)</f>
        <v>0</v>
      </c>
      <c r="AK13" s="96" t="str">
        <f>'Table Seed Map'!$A$14&amp;"-"&amp;FormFields[[#This Row],[NO4]]</f>
        <v>Field Options-1</v>
      </c>
      <c r="AL13" s="96">
        <f>COUNTIF($AJ$2:FormFields[[#This Row],[Exists FO]],1)</f>
        <v>1</v>
      </c>
      <c r="AM13" s="96">
        <f>IF(FormFields[[#This Row],[NO4]]=0,"id",FormFields[[#This Row],[NO4]]+IF(ISNUMBER(VLOOKUP('Table Seed Map'!$A$14,SeedMap[],9,0)),VLOOKUP('Table Seed Map'!$A$14,SeedMap[],9,0),0))</f>
        <v>2113101</v>
      </c>
      <c r="AN13" s="104">
        <f>IF(FormFields[[#This Row],[ID]]="id","form_field",FormFields[[#This Row],[ID]])</f>
        <v>2111111</v>
      </c>
      <c r="AO13" s="105"/>
      <c r="AP13" s="105"/>
      <c r="AQ13" s="105"/>
      <c r="AR13" s="105"/>
      <c r="AS13" s="105"/>
      <c r="AT13" s="96">
        <f>IF(OR(FormFields[[#This Row],[Colspan]]="",FormFields[[#This Row],[Colspan]]="colspan"),0,1)</f>
        <v>0</v>
      </c>
      <c r="AU13" s="96" t="str">
        <f>'Table Seed Map'!$A$19&amp;"-"&amp;FormFields[[#This Row],[NO8]]</f>
        <v>Form Layout-0</v>
      </c>
      <c r="AV13" s="96">
        <f>COUNTIF($AT$1:FormFields[[#This Row],[Exists FL]],1)</f>
        <v>0</v>
      </c>
      <c r="AW13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96">
        <f>[Form]</f>
        <v>2110104</v>
      </c>
      <c r="AY13" s="96">
        <f>IF(FormFields[[#This Row],[ID]]="id","form_field",FormFields[[#This Row],[ID]])</f>
        <v>2111111</v>
      </c>
      <c r="AZ13" s="106"/>
      <c r="BA13" s="104">
        <f>FormFields[[#This Row],[ID]]</f>
        <v>2111111</v>
      </c>
      <c r="BC13" s="60" t="s">
        <v>1333</v>
      </c>
      <c r="BD13" s="61" t="str">
        <f>'Table Seed Map'!$A$15&amp;"-"&amp;(-1+COUNTA($BC$1:FieldAttrs[[#This Row],[ATTR Field]]))</f>
        <v>Field Attrs-11</v>
      </c>
      <c r="BE13" s="68">
        <f>IF(FieldAttrs[[#This Row],[ATTR Field]]="","id",-1+COUNTA($BC$1:FieldAttrs[[#This Row],[ATTR Field]])+VLOOKUP('Table Seed Map'!$A$15,SeedMap[],9,0))</f>
        <v>2114111</v>
      </c>
      <c r="BF13" s="58">
        <f>IFERROR(VLOOKUP([ATTR Field],FormFields[[Field Name]:[ID]],2,0),"form_field")</f>
        <v>2111111</v>
      </c>
      <c r="BG13" s="104" t="s">
        <v>1193</v>
      </c>
      <c r="BH13" s="104">
        <v>4</v>
      </c>
      <c r="BJ13" s="62" t="s">
        <v>1234</v>
      </c>
      <c r="BK13" s="63">
        <f>COUNTA($BJ$2:FieldValidations[[#This Row],[Validation Field]])</f>
        <v>11</v>
      </c>
      <c r="BL13" s="63" t="str">
        <f>'Table Seed Map'!$A$17&amp;"-"&amp;FieldValidations[[#This Row],[ID No]]</f>
        <v>Field Validations-11</v>
      </c>
      <c r="BM13" s="69">
        <f>IF(FieldValidations[[#This Row],[ID No]]=0,"id",FieldValidations[[#This Row],[ID No]]+VLOOKUP('Table Seed Map'!$A$17,SeedMap[],9,0))</f>
        <v>2116111</v>
      </c>
      <c r="BN13" s="69">
        <f>VLOOKUP([Validation Field],FormFields[[Field Name]:[ID]],2,0)</f>
        <v>2111138</v>
      </c>
      <c r="BO13" s="107" t="s">
        <v>1373</v>
      </c>
      <c r="BP13" s="107" t="s">
        <v>1381</v>
      </c>
      <c r="BQ13" s="107"/>
      <c r="BR13" s="107"/>
      <c r="BS13" s="107"/>
      <c r="CE13" s="20"/>
      <c r="CH13"/>
      <c r="CI13" s="20"/>
      <c r="CM13"/>
      <c r="CU13" s="20"/>
      <c r="DA13"/>
      <c r="DC13" s="20"/>
    </row>
    <row r="14" spans="1:149">
      <c r="A14" s="69" t="str">
        <f>'Table Seed Map'!$A$11&amp;"-"&amp;(COUNTA($F$1:ResourceForms[[#This Row],[Resource]])-2)</f>
        <v>Resource Forms-12</v>
      </c>
      <c r="B14" s="69" t="str">
        <f>ResourceForms[[#This Row],[Resource Name]]&amp;"/"&amp;ResourceForms[[#This Row],[Name]]</f>
        <v>Pricelist/CreateNewPLForm</v>
      </c>
      <c r="C14" s="69">
        <f>COUNTA($A$1:ResourceForms[[#This Row],[Primary]])-2</f>
        <v>12</v>
      </c>
      <c r="D14" s="14" t="s">
        <v>783</v>
      </c>
      <c r="E14" s="69">
        <f>IF(ResourceForms[[#This Row],[No]]=0,"id",ResourceForms[[#This Row],[No]]+IF(ISNUMBER(VLOOKUP('Table Seed Map'!$A$11,SeedMap[],9,0)),VLOOKUP('Table Seed Map'!$A$11,SeedMap[],9,0),0))</f>
        <v>2110112</v>
      </c>
      <c r="F14" s="69">
        <f>IFERROR(VLOOKUP(ResourceForms[[#This Row],[Resource Name]],ResourceTable[[RName]:[No]],3,0),"resource")</f>
        <v>2106115</v>
      </c>
      <c r="G14" s="63" t="s">
        <v>1214</v>
      </c>
      <c r="H14" s="69"/>
      <c r="I14" s="63" t="s">
        <v>901</v>
      </c>
      <c r="J14" s="63" t="s">
        <v>1135</v>
      </c>
      <c r="K14" s="67">
        <f>[ID]</f>
        <v>2110112</v>
      </c>
      <c r="M14" s="95" t="str">
        <f>'Table Seed Map'!$A$12&amp;"-"&amp;FormFields[[#This Row],[No]]</f>
        <v>Form Fields-12</v>
      </c>
      <c r="N14" s="81" t="s">
        <v>1152</v>
      </c>
      <c r="O14" s="96">
        <f>COUNTA($N$1:FormFields[[#This Row],[Form Name]])-1</f>
        <v>12</v>
      </c>
      <c r="P14" s="95" t="str">
        <f>FormFields[[#This Row],[Form Name]]&amp;"/"&amp;FormFields[[#This Row],[Name]]</f>
        <v>Customer/NewCustomerForm/phone</v>
      </c>
      <c r="Q14" s="96">
        <f>IF(FormFields[[#This Row],[No]]=0,"id",FormFields[[#This Row],[No]]+IF(ISNUMBER(VLOOKUP('Table Seed Map'!$A$12,SeedMap[],9,0)),VLOOKUP('Table Seed Map'!$A$12,SeedMap[],9,0),0))</f>
        <v>2111112</v>
      </c>
      <c r="R14" s="97">
        <f>IFERROR(VLOOKUP(FormFields[[#This Row],[Form Name]],ResourceForms[[FormName]:[ID]],4,0),"resource_form")</f>
        <v>2110104</v>
      </c>
      <c r="S14" s="98" t="s">
        <v>799</v>
      </c>
      <c r="T14" s="98" t="s">
        <v>1137</v>
      </c>
      <c r="U14" s="98" t="s">
        <v>1391</v>
      </c>
      <c r="V14" s="99" t="s">
        <v>1162</v>
      </c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2112112</v>
      </c>
      <c r="AD14" s="102">
        <f>IF(FormFields[[#This Row],[ID]]="id","form_field",FormFields[[#This Row],[ID]])</f>
        <v>2111112</v>
      </c>
      <c r="AE14" s="101" t="str">
        <f>IF(FormFields[[#This Row],[No]]=0,"attribute",FormFields[[#This Row],[Name]])</f>
        <v>phone</v>
      </c>
      <c r="AF14" s="103">
        <f>IF(FormFields[[#This Row],[NO2]]=0,"relation",IF(FormFields[[#This Row],[Rel]]="","",VLOOKUP(FormFields[[#This Row],[Rel]],RelationTable[[Display]:[RELID]],2,0)))</f>
        <v>2109185</v>
      </c>
      <c r="AG14" s="103" t="str">
        <f>IF(FormFields[[#This Row],[NO2]]=0,"nest_relation1",IF(FormFields[[#This Row],[Rel1]]="","",VLOOKUP(FormFields[[#This Row],[Rel1]],RelationTable[[Display]:[RELID]],2,0)))</f>
        <v/>
      </c>
      <c r="AH14" s="103" t="str">
        <f>IF(FormFields[[#This Row],[NO2]]=0,"nest_relation2",IF(FormFields[[#This Row],[Rel2]]="","",VLOOKUP(FormFields[[#This Row],[Rel2]],RelationTable[[Display]:[RELID]],2,0)))</f>
        <v/>
      </c>
      <c r="AI14" s="103" t="str">
        <f>IF(FormFields[[#This Row],[NO2]]=0,"nest_relation3",IF(FormFields[[#This Row],[Rel3]]="","",VLOOKUP(FormFields[[#This Row],[Rel3]],RelationTable[[Display]:[RELID]],2,0)))</f>
        <v/>
      </c>
      <c r="AJ14" s="96">
        <f>IF(OR(FormFields[[#This Row],[Option Type]]="",FormFields[[#This Row],[Option Type]]="type"),0,1)</f>
        <v>0</v>
      </c>
      <c r="AK14" s="96" t="str">
        <f>'Table Seed Map'!$A$14&amp;"-"&amp;FormFields[[#This Row],[NO4]]</f>
        <v>Field Options-1</v>
      </c>
      <c r="AL14" s="96">
        <f>COUNTIF($AJ$2:FormFields[[#This Row],[Exists FO]],1)</f>
        <v>1</v>
      </c>
      <c r="AM14" s="96">
        <f>IF(FormFields[[#This Row],[NO4]]=0,"id",FormFields[[#This Row],[NO4]]+IF(ISNUMBER(VLOOKUP('Table Seed Map'!$A$14,SeedMap[],9,0)),VLOOKUP('Table Seed Map'!$A$14,SeedMap[],9,0),0))</f>
        <v>2113101</v>
      </c>
      <c r="AN14" s="104">
        <f>IF(FormFields[[#This Row],[ID]]="id","form_field",FormFields[[#This Row],[ID]])</f>
        <v>2111112</v>
      </c>
      <c r="AO14" s="105"/>
      <c r="AP14" s="105"/>
      <c r="AQ14" s="105"/>
      <c r="AR14" s="105"/>
      <c r="AS14" s="105"/>
      <c r="AT14" s="96">
        <f>IF(OR(FormFields[[#This Row],[Colspan]]="",FormFields[[#This Row],[Colspan]]="colspan"),0,1)</f>
        <v>0</v>
      </c>
      <c r="AU14" s="96" t="str">
        <f>'Table Seed Map'!$A$19&amp;"-"&amp;FormFields[[#This Row],[NO8]]</f>
        <v>Form Layout-0</v>
      </c>
      <c r="AV14" s="96">
        <f>COUNTIF($AT$1:FormFields[[#This Row],[Exists FL]],1)</f>
        <v>0</v>
      </c>
      <c r="AW14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96">
        <f>[Form]</f>
        <v>2110104</v>
      </c>
      <c r="AY14" s="96">
        <f>IF(FormFields[[#This Row],[ID]]="id","form_field",FormFields[[#This Row],[ID]])</f>
        <v>2111112</v>
      </c>
      <c r="AZ14" s="106"/>
      <c r="BA14" s="104">
        <f>FormFields[[#This Row],[ID]]</f>
        <v>2111112</v>
      </c>
      <c r="BC14" s="60" t="s">
        <v>1334</v>
      </c>
      <c r="BD14" s="61" t="str">
        <f>'Table Seed Map'!$A$15&amp;"-"&amp;(-1+COUNTA($BC$1:FieldAttrs[[#This Row],[ATTR Field]]))</f>
        <v>Field Attrs-12</v>
      </c>
      <c r="BE14" s="68">
        <f>IF(FieldAttrs[[#This Row],[ATTR Field]]="","id",-1+COUNTA($BC$1:FieldAttrs[[#This Row],[ATTR Field]])+VLOOKUP('Table Seed Map'!$A$15,SeedMap[],9,0))</f>
        <v>2114112</v>
      </c>
      <c r="BF14" s="58">
        <f>IFERROR(VLOOKUP([ATTR Field],FormFields[[Field Name]:[ID]],2,0),"form_field")</f>
        <v>2111112</v>
      </c>
      <c r="BG14" s="104" t="s">
        <v>1193</v>
      </c>
      <c r="BH14" s="104">
        <v>4</v>
      </c>
      <c r="BJ14" s="62" t="s">
        <v>1239</v>
      </c>
      <c r="BK14" s="63">
        <f>COUNTA($BJ$2:FieldValidations[[#This Row],[Validation Field]])</f>
        <v>12</v>
      </c>
      <c r="BL14" s="63" t="str">
        <f>'Table Seed Map'!$A$17&amp;"-"&amp;FieldValidations[[#This Row],[ID No]]</f>
        <v>Field Validations-12</v>
      </c>
      <c r="BM14" s="69">
        <f>IF(FieldValidations[[#This Row],[ID No]]=0,"id",FieldValidations[[#This Row],[ID No]]+VLOOKUP('Table Seed Map'!$A$17,SeedMap[],9,0))</f>
        <v>2116112</v>
      </c>
      <c r="BN14" s="69">
        <f>VLOOKUP([Validation Field],FormFields[[Field Name]:[ID]],2,0)</f>
        <v>2111147</v>
      </c>
      <c r="BO14" s="107" t="s">
        <v>1373</v>
      </c>
      <c r="BP14" s="107" t="s">
        <v>1381</v>
      </c>
      <c r="BQ14" s="107"/>
      <c r="BR14" s="107"/>
      <c r="BS14" s="107"/>
      <c r="CE14" s="20"/>
      <c r="CH14"/>
      <c r="CI14" s="20"/>
      <c r="CM14"/>
      <c r="CU14" s="20"/>
      <c r="DA14"/>
    </row>
    <row r="15" spans="1:149">
      <c r="A15" s="69" t="str">
        <f>'Table Seed Map'!$A$11&amp;"-"&amp;(COUNTA($F$1:ResourceForms[[#This Row],[Resource]])-2)</f>
        <v>Resource Forms-13</v>
      </c>
      <c r="B15" s="69" t="str">
        <f>ResourceForms[[#This Row],[Resource Name]]&amp;"/"&amp;ResourceForms[[#This Row],[Name]]</f>
        <v>PricelistContent/AddContentsToPL</v>
      </c>
      <c r="C15" s="69">
        <f>COUNTA($A$1:ResourceForms[[#This Row],[Primary]])-2</f>
        <v>13</v>
      </c>
      <c r="D15" s="14" t="s">
        <v>784</v>
      </c>
      <c r="E15" s="69">
        <f>IF(ResourceForms[[#This Row],[No]]=0,"id",ResourceForms[[#This Row],[No]]+IF(ISNUMBER(VLOOKUP('Table Seed Map'!$A$11,SeedMap[],9,0)),VLOOKUP('Table Seed Map'!$A$11,SeedMap[],9,0),0))</f>
        <v>2110113</v>
      </c>
      <c r="F15" s="69">
        <f>IFERROR(VLOOKUP(ResourceForms[[#This Row],[Resource Name]],ResourceTable[[RName]:[No]],3,0),"resource")</f>
        <v>2106116</v>
      </c>
      <c r="G15" s="63" t="s">
        <v>1217</v>
      </c>
      <c r="H15" s="69"/>
      <c r="I15" s="63" t="s">
        <v>902</v>
      </c>
      <c r="J15" s="63" t="s">
        <v>1135</v>
      </c>
      <c r="K15" s="67">
        <f>[ID]</f>
        <v>2110113</v>
      </c>
      <c r="M15" s="95" t="str">
        <f>'Table Seed Map'!$A$12&amp;"-"&amp;FormFields[[#This Row],[No]]</f>
        <v>Form Fields-13</v>
      </c>
      <c r="N15" s="81" t="s">
        <v>1152</v>
      </c>
      <c r="O15" s="96">
        <f>COUNTA($N$1:FormFields[[#This Row],[Form Name]])-1</f>
        <v>13</v>
      </c>
      <c r="P15" s="95" t="str">
        <f>FormFields[[#This Row],[Form Name]]&amp;"/"&amp;FormFields[[#This Row],[Name]]</f>
        <v>Customer/NewCustomerForm/address</v>
      </c>
      <c r="Q15" s="96">
        <f>IF(FormFields[[#This Row],[No]]=0,"id",FormFields[[#This Row],[No]]+IF(ISNUMBER(VLOOKUP('Table Seed Map'!$A$12,SeedMap[],9,0)),VLOOKUP('Table Seed Map'!$A$12,SeedMap[],9,0),0))</f>
        <v>2111113</v>
      </c>
      <c r="R15" s="97">
        <f>IFERROR(VLOOKUP(FormFields[[#This Row],[Form Name]],ResourceForms[[FormName]:[ID]],4,0),"resource_form")</f>
        <v>2110104</v>
      </c>
      <c r="S15" s="98" t="s">
        <v>796</v>
      </c>
      <c r="T15" s="98" t="s">
        <v>1153</v>
      </c>
      <c r="U15" s="98" t="s">
        <v>1156</v>
      </c>
      <c r="V15" s="99" t="s">
        <v>1162</v>
      </c>
      <c r="W15" s="99"/>
      <c r="X15" s="99"/>
      <c r="Y15" s="99"/>
      <c r="Z15" s="100" t="str">
        <f>'Table Seed Map'!$A$13&amp;"-"&amp;FormFields[[#This Row],[NO2]]</f>
        <v>Field Data-13</v>
      </c>
      <c r="AA15" s="101">
        <f>COUNTIFS($AB$1:FormFields[[#This Row],[Exists]],1)-1</f>
        <v>13</v>
      </c>
      <c r="AB15" s="101">
        <f>IF(AND(FormFields[[#This Row],[Attribute]]="",FormFields[[#This Row],[Rel]]=""),0,1)</f>
        <v>1</v>
      </c>
      <c r="AC15" s="101">
        <f>IF(FormFields[[#This Row],[NO2]]=0,"id",FormFields[[#This Row],[NO2]]+IF(ISNUMBER(VLOOKUP('Table Seed Map'!$A$13,SeedMap[],9,0)),VLOOKUP('Table Seed Map'!$A$13,SeedMap[],9,0),0))</f>
        <v>2112113</v>
      </c>
      <c r="AD15" s="102">
        <f>IF(FormFields[[#This Row],[ID]]="id","form_field",FormFields[[#This Row],[ID]])</f>
        <v>2111113</v>
      </c>
      <c r="AE15" s="101" t="str">
        <f>IF(FormFields[[#This Row],[No]]=0,"attribute",FormFields[[#This Row],[Name]])</f>
        <v>address</v>
      </c>
      <c r="AF15" s="103">
        <f>IF(FormFields[[#This Row],[NO2]]=0,"relation",IF(FormFields[[#This Row],[Rel]]="","",VLOOKUP(FormFields[[#This Row],[Rel]],RelationTable[[Display]:[RELID]],2,0)))</f>
        <v>2109185</v>
      </c>
      <c r="AG15" s="103" t="str">
        <f>IF(FormFields[[#This Row],[NO2]]=0,"nest_relation1",IF(FormFields[[#This Row],[Rel1]]="","",VLOOKUP(FormFields[[#This Row],[Rel1]],RelationTable[[Display]:[RELID]],2,0)))</f>
        <v/>
      </c>
      <c r="AH15" s="103" t="str">
        <f>IF(FormFields[[#This Row],[NO2]]=0,"nest_relation2",IF(FormFields[[#This Row],[Rel2]]="","",VLOOKUP(FormFields[[#This Row],[Rel2]],RelationTable[[Display]:[RELID]],2,0)))</f>
        <v/>
      </c>
      <c r="AI15" s="103" t="str">
        <f>IF(FormFields[[#This Row],[NO2]]=0,"nest_relation3",IF(FormFields[[#This Row],[Rel3]]="","",VLOOKUP(FormFields[[#This Row],[Rel3]],RelationTable[[Display]:[RELID]],2,0)))</f>
        <v/>
      </c>
      <c r="AJ15" s="96">
        <f>IF(OR(FormFields[[#This Row],[Option Type]]="",FormFields[[#This Row],[Option Type]]="type"),0,1)</f>
        <v>0</v>
      </c>
      <c r="AK15" s="96" t="str">
        <f>'Table Seed Map'!$A$14&amp;"-"&amp;FormFields[[#This Row],[NO4]]</f>
        <v>Field Options-1</v>
      </c>
      <c r="AL15" s="96">
        <f>COUNTIF($AJ$2:FormFields[[#This Row],[Exists FO]],1)</f>
        <v>1</v>
      </c>
      <c r="AM15" s="96">
        <f>IF(FormFields[[#This Row],[NO4]]=0,"id",FormFields[[#This Row],[NO4]]+IF(ISNUMBER(VLOOKUP('Table Seed Map'!$A$14,SeedMap[],9,0)),VLOOKUP('Table Seed Map'!$A$14,SeedMap[],9,0),0))</f>
        <v>2113101</v>
      </c>
      <c r="AN15" s="104">
        <f>IF(FormFields[[#This Row],[ID]]="id","form_field",FormFields[[#This Row],[ID]])</f>
        <v>2111113</v>
      </c>
      <c r="AO15" s="105"/>
      <c r="AP15" s="105"/>
      <c r="AQ15" s="105"/>
      <c r="AR15" s="105"/>
      <c r="AS15" s="105"/>
      <c r="AT15" s="96">
        <f>IF(OR(FormFields[[#This Row],[Colspan]]="",FormFields[[#This Row],[Colspan]]="colspan"),0,1)</f>
        <v>0</v>
      </c>
      <c r="AU15" s="96" t="str">
        <f>'Table Seed Map'!$A$19&amp;"-"&amp;FormFields[[#This Row],[NO8]]</f>
        <v>Form Layout-0</v>
      </c>
      <c r="AV15" s="96">
        <f>COUNTIF($AT$1:FormFields[[#This Row],[Exists FL]],1)</f>
        <v>0</v>
      </c>
      <c r="AW15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96">
        <f>[Form]</f>
        <v>2110104</v>
      </c>
      <c r="AY15" s="96">
        <f>IF(FormFields[[#This Row],[ID]]="id","form_field",FormFields[[#This Row],[ID]])</f>
        <v>2111113</v>
      </c>
      <c r="AZ15" s="106"/>
      <c r="BA15" s="104">
        <f>FormFields[[#This Row],[ID]]</f>
        <v>2111113</v>
      </c>
      <c r="BC15" s="60" t="s">
        <v>1335</v>
      </c>
      <c r="BD15" s="61" t="str">
        <f>'Table Seed Map'!$A$15&amp;"-"&amp;(-1+COUNTA($BC$1:FieldAttrs[[#This Row],[ATTR Field]]))</f>
        <v>Field Attrs-13</v>
      </c>
      <c r="BE15" s="68">
        <f>IF(FieldAttrs[[#This Row],[ATTR Field]]="","id",-1+COUNTA($BC$1:FieldAttrs[[#This Row],[ATTR Field]])+VLOOKUP('Table Seed Map'!$A$15,SeedMap[],9,0))</f>
        <v>2114113</v>
      </c>
      <c r="BF15" s="58">
        <f>IFERROR(VLOOKUP([ATTR Field],FormFields[[Field Name]:[ID]],2,0),"form_field")</f>
        <v>2111113</v>
      </c>
      <c r="BG15" s="104" t="s">
        <v>1193</v>
      </c>
      <c r="BH15" s="104">
        <v>4</v>
      </c>
    </row>
    <row r="16" spans="1:149">
      <c r="A16" s="69" t="str">
        <f>'Table Seed Map'!$A$11&amp;"-"&amp;(COUNTA($F$1:ResourceForms[[#This Row],[Resource]])-2)</f>
        <v>Resource Forms-14</v>
      </c>
      <c r="B16" s="69" t="str">
        <f>ResourceForms[[#This Row],[Resource Name]]&amp;"/"&amp;ResourceForms[[#This Row],[Name]]</f>
        <v>PricelistContent/UpdatePLContent</v>
      </c>
      <c r="C16" s="69">
        <f>COUNTA($A$1:ResourceForms[[#This Row],[Primary]])-2</f>
        <v>14</v>
      </c>
      <c r="D16" s="14" t="s">
        <v>784</v>
      </c>
      <c r="E16" s="69">
        <f>IF(ResourceForms[[#This Row],[No]]=0,"id",ResourceForms[[#This Row],[No]]+IF(ISNUMBER(VLOOKUP('Table Seed Map'!$A$11,SeedMap[],9,0)),VLOOKUP('Table Seed Map'!$A$11,SeedMap[],9,0),0))</f>
        <v>2110114</v>
      </c>
      <c r="F16" s="69">
        <f>IFERROR(VLOOKUP(ResourceForms[[#This Row],[Resource Name]],ResourceTable[[RName]:[No]],3,0),"resource")</f>
        <v>2106116</v>
      </c>
      <c r="G16" s="63" t="s">
        <v>1222</v>
      </c>
      <c r="H16" s="69"/>
      <c r="I16" s="63" t="s">
        <v>1223</v>
      </c>
      <c r="J16" s="63" t="s">
        <v>1135</v>
      </c>
      <c r="K16" s="67">
        <f>[ID]</f>
        <v>2110114</v>
      </c>
      <c r="M16" s="95" t="str">
        <f>'Table Seed Map'!$A$12&amp;"-"&amp;FormFields[[#This Row],[No]]</f>
        <v>Form Fields-14</v>
      </c>
      <c r="N16" s="81" t="s">
        <v>1179</v>
      </c>
      <c r="O16" s="96">
        <f>COUNTA($N$1:FormFields[[#This Row],[Form Name]])-1</f>
        <v>14</v>
      </c>
      <c r="P16" s="95" t="str">
        <f>FormFields[[#This Row],[Form Name]]&amp;"/"&amp;FormFields[[#This Row],[Name]]</f>
        <v>Hub/NewHubCreateFrom/name</v>
      </c>
      <c r="Q16" s="96">
        <f>IF(FormFields[[#This Row],[No]]=0,"id",FormFields[[#This Row],[No]]+IF(ISNUMBER(VLOOKUP('Table Seed Map'!$A$12,SeedMap[],9,0)),VLOOKUP('Table Seed Map'!$A$12,SeedMap[],9,0),0))</f>
        <v>2111114</v>
      </c>
      <c r="R16" s="97">
        <f>IFERROR(VLOOKUP(FormFields[[#This Row],[Form Name]],ResourceForms[[FormName]:[ID]],4,0),"resource_form")</f>
        <v>2110105</v>
      </c>
      <c r="S16" s="98" t="s">
        <v>23</v>
      </c>
      <c r="T16" s="98" t="s">
        <v>1137</v>
      </c>
      <c r="U16" s="98" t="s">
        <v>1</v>
      </c>
      <c r="V16" s="99"/>
      <c r="W16" s="99"/>
      <c r="X16" s="99"/>
      <c r="Y16" s="99"/>
      <c r="Z16" s="100" t="str">
        <f>'Table Seed Map'!$A$13&amp;"-"&amp;FormFields[[#This Row],[NO2]]</f>
        <v>Field Data-14</v>
      </c>
      <c r="AA16" s="101">
        <f>COUNTIFS($AB$1:FormFields[[#This Row],[Exists]],1)-1</f>
        <v>14</v>
      </c>
      <c r="AB16" s="94">
        <f>IF(AND(FormFields[[#This Row],[Attribute]]="",FormFields[[#This Row],[Rel]]=""),0,1)</f>
        <v>1</v>
      </c>
      <c r="AC16" s="101">
        <f>IF(FormFields[[#This Row],[NO2]]=0,"id",FormFields[[#This Row],[NO2]]+IF(ISNUMBER(VLOOKUP('Table Seed Map'!$A$13,SeedMap[],9,0)),VLOOKUP('Table Seed Map'!$A$13,SeedMap[],9,0),0))</f>
        <v>2112114</v>
      </c>
      <c r="AD16" s="102">
        <f>IF(FormFields[[#This Row],[ID]]="id","form_field",FormFields[[#This Row],[ID]])</f>
        <v>2111114</v>
      </c>
      <c r="AE16" s="101" t="str">
        <f>IF(FormFields[[#This Row],[No]]=0,"attribute",FormFields[[#This Row],[Name]])</f>
        <v>name</v>
      </c>
      <c r="AF16" s="103" t="str">
        <f>IF(FormFields[[#This Row],[NO2]]=0,"relation",IF(FormFields[[#This Row],[Rel]]="","",VLOOKUP(FormFields[[#This Row],[Rel]],RelationTable[[Display]:[RELID]],2,0)))</f>
        <v/>
      </c>
      <c r="AG16" s="103" t="str">
        <f>IF(FormFields[[#This Row],[NO2]]=0,"nest_relation1",IF(FormFields[[#This Row],[Rel1]]="","",VLOOKUP(FormFields[[#This Row],[Rel1]],RelationTable[[Display]:[RELID]],2,0)))</f>
        <v/>
      </c>
      <c r="AH16" s="103" t="str">
        <f>IF(FormFields[[#This Row],[NO2]]=0,"nest_relation2",IF(FormFields[[#This Row],[Rel2]]="","",VLOOKUP(FormFields[[#This Row],[Rel2]],RelationTable[[Display]:[RELID]],2,0)))</f>
        <v/>
      </c>
      <c r="AI16" s="103" t="str">
        <f>IF(FormFields[[#This Row],[NO2]]=0,"nest_relation3",IF(FormFields[[#This Row],[Rel3]]="","",VLOOKUP(FormFields[[#This Row],[Rel3]],RelationTable[[Display]:[RELID]],2,0)))</f>
        <v/>
      </c>
      <c r="AJ16" s="96">
        <f>IF(OR(FormFields[[#This Row],[Option Type]]="",FormFields[[#This Row],[Option Type]]="type"),0,1)</f>
        <v>0</v>
      </c>
      <c r="AK16" s="96" t="str">
        <f>'Table Seed Map'!$A$14&amp;"-"&amp;FormFields[[#This Row],[NO4]]</f>
        <v>Field Options-1</v>
      </c>
      <c r="AL16" s="96">
        <f>COUNTIF($AJ$2:FormFields[[#This Row],[Exists FO]],1)</f>
        <v>1</v>
      </c>
      <c r="AM16" s="96">
        <f>IF(FormFields[[#This Row],[NO4]]=0,"id",FormFields[[#This Row],[NO4]]+IF(ISNUMBER(VLOOKUP('Table Seed Map'!$A$14,SeedMap[],9,0)),VLOOKUP('Table Seed Map'!$A$14,SeedMap[],9,0),0))</f>
        <v>2113101</v>
      </c>
      <c r="AN16" s="104">
        <f>IF(FormFields[[#This Row],[ID]]="id","form_field",FormFields[[#This Row],[ID]])</f>
        <v>2111114</v>
      </c>
      <c r="AO16" s="105"/>
      <c r="AP16" s="105"/>
      <c r="AQ16" s="105"/>
      <c r="AR16" s="105"/>
      <c r="AS16" s="105"/>
      <c r="AT16" s="96">
        <f>IF(OR(FormFields[[#This Row],[Colspan]]="",FormFields[[#This Row],[Colspan]]="colspan"),0,1)</f>
        <v>1</v>
      </c>
      <c r="AU16" s="96" t="str">
        <f>'Table Seed Map'!$A$19&amp;"-"&amp;FormFields[[#This Row],[NO8]]</f>
        <v>Form Layout-1</v>
      </c>
      <c r="AV16" s="96">
        <f>COUNTIF($AT$1:FormFields[[#This Row],[Exists FL]],1)</f>
        <v>1</v>
      </c>
      <c r="AW16" s="96">
        <f>IF(FormFields[[#This Row],[NO8]]=0,"id",IF(FormFields[[#This Row],[Exists FL]]=1,FormFields[[#This Row],[NO8]]+IF(ISNUMBER(VLOOKUP('Table Seed Map'!$A$19,SeedMap[],9,0)),VLOOKUP('Table Seed Map'!$A$19,SeedMap[],9,0),0),""))</f>
        <v>2118101</v>
      </c>
      <c r="AX16" s="96">
        <f>[Form]</f>
        <v>2110105</v>
      </c>
      <c r="AY16" s="96">
        <f>IF(FormFields[[#This Row],[ID]]="id","form_field",FormFields[[#This Row],[ID]])</f>
        <v>2111114</v>
      </c>
      <c r="AZ16" s="106">
        <v>4</v>
      </c>
      <c r="BA16" s="104">
        <f>FormFields[[#This Row],[ID]]</f>
        <v>2111114</v>
      </c>
      <c r="BC16" s="62" t="s">
        <v>1192</v>
      </c>
      <c r="BD16" s="63" t="str">
        <f>'Table Seed Map'!$A$15&amp;"-"&amp;(-1+COUNTA($BC$1:FieldAttrs[[#This Row],[ATTR Field]]))</f>
        <v>Field Attrs-14</v>
      </c>
      <c r="BE16" s="69">
        <f>IF(FieldAttrs[[#This Row],[ATTR Field]]="","id",-1+COUNTA($BC$1:FieldAttrs[[#This Row],[ATTR Field]])+VLOOKUP('Table Seed Map'!$A$15,SeedMap[],9,0))</f>
        <v>2114114</v>
      </c>
      <c r="BF16" s="104">
        <f>IFERROR(VLOOKUP([ATTR Field],FormFields[[Field Name]:[ID]],2,0),"form_field")</f>
        <v>2111121</v>
      </c>
      <c r="BG16" s="104" t="s">
        <v>1193</v>
      </c>
      <c r="BH16" s="104">
        <v>4</v>
      </c>
    </row>
    <row r="17" spans="1:60">
      <c r="A17" s="69" t="str">
        <f>'Table Seed Map'!$A$11&amp;"-"&amp;(COUNTA($F$1:ResourceForms[[#This Row],[Resource]])-2)</f>
        <v>Resource Forms-15</v>
      </c>
      <c r="B17" s="69" t="str">
        <f>ResourceForms[[#This Row],[Resource Name]]&amp;"/"&amp;ResourceForms[[#This Row],[Name]]</f>
        <v>IdentityLabel/NewIdentityLabelForm</v>
      </c>
      <c r="C17" s="69">
        <f>COUNTA($A$1:ResourceForms[[#This Row],[Primary]])-2</f>
        <v>15</v>
      </c>
      <c r="D17" s="14" t="s">
        <v>786</v>
      </c>
      <c r="E17" s="69">
        <f>IF(ResourceForms[[#This Row],[No]]=0,"id",ResourceForms[[#This Row],[No]]+IF(ISNUMBER(VLOOKUP('Table Seed Map'!$A$11,SeedMap[],9,0)),VLOOKUP('Table Seed Map'!$A$11,SeedMap[],9,0),0))</f>
        <v>2110115</v>
      </c>
      <c r="F17" s="69">
        <f>IFERROR(VLOOKUP(ResourceForms[[#This Row],[Resource Name]],ResourceTable[[RName]:[No]],3,0),"resource")</f>
        <v>2106117</v>
      </c>
      <c r="G17" s="63" t="s">
        <v>1226</v>
      </c>
      <c r="H17" s="69"/>
      <c r="I17" s="63" t="s">
        <v>1227</v>
      </c>
      <c r="J17" s="63" t="s">
        <v>1135</v>
      </c>
      <c r="K17" s="67">
        <f>[ID]</f>
        <v>2110115</v>
      </c>
      <c r="M17" s="95" t="str">
        <f>'Table Seed Map'!$A$12&amp;"-"&amp;FormFields[[#This Row],[No]]</f>
        <v>Form Fields-15</v>
      </c>
      <c r="N17" s="81" t="s">
        <v>1179</v>
      </c>
      <c r="O17" s="96">
        <f>COUNTA($N$1:FormFields[[#This Row],[Form Name]])-1</f>
        <v>15</v>
      </c>
      <c r="P17" s="95" t="str">
        <f>FormFields[[#This Row],[Form Name]]&amp;"/"&amp;FormFields[[#This Row],[Name]]</f>
        <v>Hub/NewHubCreateFrom/phone</v>
      </c>
      <c r="Q17" s="96">
        <f>IF(FormFields[[#This Row],[No]]=0,"id",FormFields[[#This Row],[No]]+IF(ISNUMBER(VLOOKUP('Table Seed Map'!$A$12,SeedMap[],9,0)),VLOOKUP('Table Seed Map'!$A$12,SeedMap[],9,0),0))</f>
        <v>2111115</v>
      </c>
      <c r="R17" s="97">
        <f>IFERROR(VLOOKUP(FormFields[[#This Row],[Form Name]],ResourceForms[[FormName]:[ID]],4,0),"resource_form")</f>
        <v>2110105</v>
      </c>
      <c r="S17" s="98" t="s">
        <v>799</v>
      </c>
      <c r="T17" s="98" t="s">
        <v>1137</v>
      </c>
      <c r="U17" s="98" t="s">
        <v>1155</v>
      </c>
      <c r="V17" s="99"/>
      <c r="W17" s="99"/>
      <c r="X17" s="99"/>
      <c r="Y17" s="99"/>
      <c r="Z17" s="100" t="str">
        <f>'Table Seed Map'!$A$13&amp;"-"&amp;FormFields[[#This Row],[NO2]]</f>
        <v>Field Data-15</v>
      </c>
      <c r="AA17" s="101">
        <f>COUNTIFS($AB$1:FormFields[[#This Row],[Exists]],1)-1</f>
        <v>15</v>
      </c>
      <c r="AB17" s="101">
        <f>IF(AND(FormFields[[#This Row],[Attribute]]="",FormFields[[#This Row],[Rel]]=""),0,1)</f>
        <v>1</v>
      </c>
      <c r="AC17" s="101">
        <f>IF(FormFields[[#This Row],[NO2]]=0,"id",FormFields[[#This Row],[NO2]]+IF(ISNUMBER(VLOOKUP('Table Seed Map'!$A$13,SeedMap[],9,0)),VLOOKUP('Table Seed Map'!$A$13,SeedMap[],9,0),0))</f>
        <v>2112115</v>
      </c>
      <c r="AD17" s="102">
        <f>IF(FormFields[[#This Row],[ID]]="id","form_field",FormFields[[#This Row],[ID]])</f>
        <v>2111115</v>
      </c>
      <c r="AE17" s="101" t="str">
        <f>IF(FormFields[[#This Row],[No]]=0,"attribute",FormFields[[#This Row],[Name]])</f>
        <v>phone</v>
      </c>
      <c r="AF17" s="103" t="str">
        <f>IF(FormFields[[#This Row],[NO2]]=0,"relation",IF(FormFields[[#This Row],[Rel]]="","",VLOOKUP(FormFields[[#This Row],[Rel]],RelationTable[[Display]:[RELID]],2,0)))</f>
        <v/>
      </c>
      <c r="AG17" s="103" t="str">
        <f>IF(FormFields[[#This Row],[NO2]]=0,"nest_relation1",IF(FormFields[[#This Row],[Rel1]]="","",VLOOKUP(FormFields[[#This Row],[Rel1]],RelationTable[[Display]:[RELID]],2,0)))</f>
        <v/>
      </c>
      <c r="AH17" s="103" t="str">
        <f>IF(FormFields[[#This Row],[NO2]]=0,"nest_relation2",IF(FormFields[[#This Row],[Rel2]]="","",VLOOKUP(FormFields[[#This Row],[Rel2]],RelationTable[[Display]:[RELID]],2,0)))</f>
        <v/>
      </c>
      <c r="AI17" s="103" t="str">
        <f>IF(FormFields[[#This Row],[NO2]]=0,"nest_relation3",IF(FormFields[[#This Row],[Rel3]]="","",VLOOKUP(FormFields[[#This Row],[Rel3]],RelationTable[[Display]:[RELID]],2,0)))</f>
        <v/>
      </c>
      <c r="AJ17" s="96">
        <f>IF(OR(FormFields[[#This Row],[Option Type]]="",FormFields[[#This Row],[Option Type]]="type"),0,1)</f>
        <v>0</v>
      </c>
      <c r="AK17" s="96" t="str">
        <f>'Table Seed Map'!$A$14&amp;"-"&amp;FormFields[[#This Row],[NO4]]</f>
        <v>Field Options-1</v>
      </c>
      <c r="AL17" s="96">
        <f>COUNTIF($AJ$2:FormFields[[#This Row],[Exists FO]],1)</f>
        <v>1</v>
      </c>
      <c r="AM17" s="96">
        <f>IF(FormFields[[#This Row],[NO4]]=0,"id",FormFields[[#This Row],[NO4]]+IF(ISNUMBER(VLOOKUP('Table Seed Map'!$A$14,SeedMap[],9,0)),VLOOKUP('Table Seed Map'!$A$14,SeedMap[],9,0),0))</f>
        <v>2113101</v>
      </c>
      <c r="AN17" s="104">
        <f>IF(FormFields[[#This Row],[ID]]="id","form_field",FormFields[[#This Row],[ID]])</f>
        <v>2111115</v>
      </c>
      <c r="AO17" s="105"/>
      <c r="AP17" s="105"/>
      <c r="AQ17" s="105"/>
      <c r="AR17" s="105"/>
      <c r="AS17" s="105"/>
      <c r="AT17" s="96">
        <f>IF(OR(FormFields[[#This Row],[Colspan]]="",FormFields[[#This Row],[Colspan]]="colspan"),0,1)</f>
        <v>1</v>
      </c>
      <c r="AU17" s="96" t="str">
        <f>'Table Seed Map'!$A$19&amp;"-"&amp;FormFields[[#This Row],[NO8]]</f>
        <v>Form Layout-2</v>
      </c>
      <c r="AV17" s="96">
        <f>COUNTIF($AT$1:FormFields[[#This Row],[Exists FL]],1)</f>
        <v>2</v>
      </c>
      <c r="AW17" s="96">
        <f>IF(FormFields[[#This Row],[NO8]]=0,"id",IF(FormFields[[#This Row],[Exists FL]]=1,FormFields[[#This Row],[NO8]]+IF(ISNUMBER(VLOOKUP('Table Seed Map'!$A$19,SeedMap[],9,0)),VLOOKUP('Table Seed Map'!$A$19,SeedMap[],9,0),0),""))</f>
        <v>2118102</v>
      </c>
      <c r="AX17" s="96">
        <f>[Form]</f>
        <v>2110105</v>
      </c>
      <c r="AY17" s="96">
        <f>IF(FormFields[[#This Row],[ID]]="id","form_field",FormFields[[#This Row],[ID]])</f>
        <v>2111115</v>
      </c>
      <c r="AZ17" s="106">
        <v>4</v>
      </c>
      <c r="BA17" s="104">
        <f>FormFields[[#This Row],[ID]]</f>
        <v>2111115</v>
      </c>
      <c r="BC17" s="62" t="s">
        <v>1194</v>
      </c>
      <c r="BD17" s="63" t="str">
        <f>'Table Seed Map'!$A$15&amp;"-"&amp;(-1+COUNTA($BC$1:FieldAttrs[[#This Row],[ATTR Field]]))</f>
        <v>Field Attrs-15</v>
      </c>
      <c r="BE17" s="69">
        <f>IF(FieldAttrs[[#This Row],[ATTR Field]]="","id",-1+COUNTA($BC$1:FieldAttrs[[#This Row],[ATTR Field]])+VLOOKUP('Table Seed Map'!$A$15,SeedMap[],9,0))</f>
        <v>2114115</v>
      </c>
      <c r="BF17" s="104">
        <f>IFERROR(VLOOKUP([ATTR Field],FormFields[[Field Name]:[ID]],2,0),"form_field")</f>
        <v>2111122</v>
      </c>
      <c r="BG17" s="104" t="s">
        <v>1193</v>
      </c>
      <c r="BH17" s="104">
        <v>4</v>
      </c>
    </row>
    <row r="18" spans="1:60">
      <c r="A18" s="69" t="str">
        <f>'Table Seed Map'!$A$11&amp;"-"&amp;(COUNTA($F$1:ResourceForms[[#This Row],[Resource]])-2)</f>
        <v>Resource Forms-16</v>
      </c>
      <c r="B18" s="69" t="str">
        <f>ResourceForms[[#This Row],[Resource Name]]&amp;"/"&amp;ResourceForms[[#This Row],[Name]]</f>
        <v>Order/NewOrderForm</v>
      </c>
      <c r="C18" s="69">
        <f>COUNTA($A$1:ResourceForms[[#This Row],[Primary]])-2</f>
        <v>16</v>
      </c>
      <c r="D18" s="14" t="s">
        <v>787</v>
      </c>
      <c r="E18" s="69">
        <f>IF(ResourceForms[[#This Row],[No]]=0,"id",ResourceForms[[#This Row],[No]]+IF(ISNUMBER(VLOOKUP('Table Seed Map'!$A$11,SeedMap[],9,0)),VLOOKUP('Table Seed Map'!$A$11,SeedMap[],9,0),0))</f>
        <v>2110116</v>
      </c>
      <c r="F18" s="69">
        <f>IFERROR(VLOOKUP(ResourceForms[[#This Row],[Resource Name]],ResourceTable[[RName]:[No]],3,0),"resource")</f>
        <v>2106118</v>
      </c>
      <c r="G18" s="63" t="s">
        <v>1241</v>
      </c>
      <c r="H18" s="69"/>
      <c r="I18" s="63" t="s">
        <v>787</v>
      </c>
      <c r="J18" s="63" t="s">
        <v>1135</v>
      </c>
      <c r="K18" s="67">
        <f>[ID]</f>
        <v>2110116</v>
      </c>
      <c r="M18" s="95" t="str">
        <f>'Table Seed Map'!$A$12&amp;"-"&amp;FormFields[[#This Row],[No]]</f>
        <v>Form Fields-16</v>
      </c>
      <c r="N18" s="81" t="s">
        <v>1179</v>
      </c>
      <c r="O18" s="96">
        <f>COUNTA($N$1:FormFields[[#This Row],[Form Name]])-1</f>
        <v>16</v>
      </c>
      <c r="P18" s="95" t="str">
        <f>FormFields[[#This Row],[Form Name]]&amp;"/"&amp;FormFields[[#This Row],[Name]]</f>
        <v>Hub/NewHubCreateFrom/status</v>
      </c>
      <c r="Q18" s="96">
        <f>IF(FormFields[[#This Row],[No]]=0,"id",FormFields[[#This Row],[No]]+IF(ISNUMBER(VLOOKUP('Table Seed Map'!$A$12,SeedMap[],9,0)),VLOOKUP('Table Seed Map'!$A$12,SeedMap[],9,0),0))</f>
        <v>2111116</v>
      </c>
      <c r="R18" s="97">
        <f>IFERROR(VLOOKUP(FormFields[[#This Row],[Form Name]],ResourceForms[[FormName]:[ID]],4,0),"resource_form")</f>
        <v>2110105</v>
      </c>
      <c r="S18" s="98" t="s">
        <v>804</v>
      </c>
      <c r="T18" s="98" t="s">
        <v>1189</v>
      </c>
      <c r="U18" s="98" t="s">
        <v>1190</v>
      </c>
      <c r="V18" s="99"/>
      <c r="W18" s="99"/>
      <c r="X18" s="99"/>
      <c r="Y18" s="99"/>
      <c r="Z18" s="100" t="str">
        <f>'Table Seed Map'!$A$13&amp;"-"&amp;FormFields[[#This Row],[NO2]]</f>
        <v>Field Data-16</v>
      </c>
      <c r="AA18" s="101">
        <f>COUNTIFS($AB$1:FormFields[[#This Row],[Exists]],1)-1</f>
        <v>16</v>
      </c>
      <c r="AB18" s="101">
        <f>IF(AND(FormFields[[#This Row],[Attribute]]="",FormFields[[#This Row],[Rel]]=""),0,1)</f>
        <v>1</v>
      </c>
      <c r="AC18" s="101">
        <f>IF(FormFields[[#This Row],[NO2]]=0,"id",FormFields[[#This Row],[NO2]]+IF(ISNUMBER(VLOOKUP('Table Seed Map'!$A$13,SeedMap[],9,0)),VLOOKUP('Table Seed Map'!$A$13,SeedMap[],9,0),0))</f>
        <v>2112116</v>
      </c>
      <c r="AD18" s="102">
        <f>IF(FormFields[[#This Row],[ID]]="id","form_field",FormFields[[#This Row],[ID]])</f>
        <v>2111116</v>
      </c>
      <c r="AE18" s="101" t="str">
        <f>IF(FormFields[[#This Row],[No]]=0,"attribute",FormFields[[#This Row],[Name]])</f>
        <v>status</v>
      </c>
      <c r="AF18" s="103" t="str">
        <f>IF(FormFields[[#This Row],[NO2]]=0,"relation",IF(FormFields[[#This Row],[Rel]]="","",VLOOKUP(FormFields[[#This Row],[Rel]],RelationTable[[Display]:[RELID]],2,0)))</f>
        <v/>
      </c>
      <c r="AG18" s="103" t="str">
        <f>IF(FormFields[[#This Row],[NO2]]=0,"nest_relation1",IF(FormFields[[#This Row],[Rel1]]="","",VLOOKUP(FormFields[[#This Row],[Rel1]],RelationTable[[Display]:[RELID]],2,0)))</f>
        <v/>
      </c>
      <c r="AH18" s="103" t="str">
        <f>IF(FormFields[[#This Row],[NO2]]=0,"nest_relation2",IF(FormFields[[#This Row],[Rel2]]="","",VLOOKUP(FormFields[[#This Row],[Rel2]],RelationTable[[Display]:[RELID]],2,0)))</f>
        <v/>
      </c>
      <c r="AI18" s="103" t="str">
        <f>IF(FormFields[[#This Row],[NO2]]=0,"nest_relation3",IF(FormFields[[#This Row],[Rel3]]="","",VLOOKUP(FormFields[[#This Row],[Rel3]],RelationTable[[Display]:[RELID]],2,0)))</f>
        <v/>
      </c>
      <c r="AJ18" s="96">
        <f>IF(OR(FormFields[[#This Row],[Option Type]]="",FormFields[[#This Row],[Option Type]]="type"),0,1)</f>
        <v>1</v>
      </c>
      <c r="AK18" s="96" t="str">
        <f>'Table Seed Map'!$A$14&amp;"-"&amp;FormFields[[#This Row],[NO4]]</f>
        <v>Field Options-2</v>
      </c>
      <c r="AL18" s="96">
        <f>COUNTIF($AJ$2:FormFields[[#This Row],[Exists FO]],1)</f>
        <v>2</v>
      </c>
      <c r="AM18" s="96">
        <f>IF(FormFields[[#This Row],[NO4]]=0,"id",FormFields[[#This Row],[NO4]]+IF(ISNUMBER(VLOOKUP('Table Seed Map'!$A$14,SeedMap[],9,0)),VLOOKUP('Table Seed Map'!$A$14,SeedMap[],9,0),0))</f>
        <v>2113102</v>
      </c>
      <c r="AN18" s="104">
        <f>IF(FormFields[[#This Row],[ID]]="id","form_field",FormFields[[#This Row],[ID]])</f>
        <v>2111116</v>
      </c>
      <c r="AO18" s="105" t="s">
        <v>1191</v>
      </c>
      <c r="AP18" s="105"/>
      <c r="AQ18" s="105"/>
      <c r="AR18" s="105"/>
      <c r="AS18" s="105"/>
      <c r="AT18" s="96">
        <f>IF(OR(FormFields[[#This Row],[Colspan]]="",FormFields[[#This Row],[Colspan]]="colspan"),0,1)</f>
        <v>1</v>
      </c>
      <c r="AU18" s="96" t="str">
        <f>'Table Seed Map'!$A$19&amp;"-"&amp;FormFields[[#This Row],[NO8]]</f>
        <v>Form Layout-3</v>
      </c>
      <c r="AV18" s="96">
        <f>COUNTIF($AT$1:FormFields[[#This Row],[Exists FL]],1)</f>
        <v>3</v>
      </c>
      <c r="AW18" s="96">
        <f>IF(FormFields[[#This Row],[NO8]]=0,"id",IF(FormFields[[#This Row],[Exists FL]]=1,FormFields[[#This Row],[NO8]]+IF(ISNUMBER(VLOOKUP('Table Seed Map'!$A$19,SeedMap[],9,0)),VLOOKUP('Table Seed Map'!$A$19,SeedMap[],9,0),0),""))</f>
        <v>2118103</v>
      </c>
      <c r="AX18" s="96">
        <f>[Form]</f>
        <v>2110105</v>
      </c>
      <c r="AY18" s="96">
        <f>IF(FormFields[[#This Row],[ID]]="id","form_field",FormFields[[#This Row],[ID]])</f>
        <v>2111116</v>
      </c>
      <c r="AZ18" s="106">
        <v>4</v>
      </c>
      <c r="BA18" s="104">
        <f>FormFields[[#This Row],[ID]]</f>
        <v>2111116</v>
      </c>
      <c r="BC18" s="62" t="s">
        <v>1195</v>
      </c>
      <c r="BD18" s="63" t="str">
        <f>'Table Seed Map'!$A$15&amp;"-"&amp;(-1+COUNTA($BC$1:FieldAttrs[[#This Row],[ATTR Field]]))</f>
        <v>Field Attrs-16</v>
      </c>
      <c r="BE18" s="69">
        <f>IF(FieldAttrs[[#This Row],[ATTR Field]]="","id",-1+COUNTA($BC$1:FieldAttrs[[#This Row],[ATTR Field]])+VLOOKUP('Table Seed Map'!$A$15,SeedMap[],9,0))</f>
        <v>2114116</v>
      </c>
      <c r="BF18" s="104">
        <f>IFERROR(VLOOKUP([ATTR Field],FormFields[[Field Name]:[ID]],2,0),"form_field")</f>
        <v>2111123</v>
      </c>
      <c r="BG18" s="104" t="s">
        <v>1193</v>
      </c>
      <c r="BH18" s="104">
        <v>4</v>
      </c>
    </row>
    <row r="19" spans="1:60">
      <c r="A19" s="69" t="str">
        <f>'Table Seed Map'!$A$11&amp;"-"&amp;(COUNTA($F$1:ResourceForms[[#This Row],[Resource]])-2)</f>
        <v>Resource Forms-17</v>
      </c>
      <c r="B19" s="69" t="str">
        <f>ResourceForms[[#This Row],[Resource Name]]&amp;"/"&amp;ResourceForms[[#This Row],[Name]]</f>
        <v>OrderItem/AddOrderItemForm</v>
      </c>
      <c r="C19" s="69">
        <f>COUNTA($A$1:ResourceForms[[#This Row],[Primary]])-2</f>
        <v>17</v>
      </c>
      <c r="D19" s="14" t="s">
        <v>788</v>
      </c>
      <c r="E19" s="69">
        <f>IF(ResourceForms[[#This Row],[No]]=0,"id",ResourceForms[[#This Row],[No]]+IF(ISNUMBER(VLOOKUP('Table Seed Map'!$A$11,SeedMap[],9,0)),VLOOKUP('Table Seed Map'!$A$11,SeedMap[],9,0),0))</f>
        <v>2110117</v>
      </c>
      <c r="F19" s="69">
        <f>IFERROR(VLOOKUP(ResourceForms[[#This Row],[Resource Name]],ResourceTable[[RName]:[No]],3,0),"resource")</f>
        <v>2106119</v>
      </c>
      <c r="G19" s="63" t="s">
        <v>1247</v>
      </c>
      <c r="H19" s="69"/>
      <c r="I19" s="63" t="s">
        <v>906</v>
      </c>
      <c r="J19" s="63" t="s">
        <v>1135</v>
      </c>
      <c r="K19" s="67">
        <f>[ID]</f>
        <v>2110117</v>
      </c>
      <c r="M19" s="95" t="str">
        <f>'Table Seed Map'!$A$12&amp;"-"&amp;FormFields[[#This Row],[No]]</f>
        <v>Form Fields-17</v>
      </c>
      <c r="N19" s="81" t="s">
        <v>1179</v>
      </c>
      <c r="O19" s="96">
        <f>COUNTA($N$1:FormFields[[#This Row],[Form Name]])-1</f>
        <v>17</v>
      </c>
      <c r="P19" s="95" t="str">
        <f>FormFields[[#This Row],[Form Name]]&amp;"/"&amp;FormFields[[#This Row],[Name]]</f>
        <v>Hub/NewHubCreateFrom/address</v>
      </c>
      <c r="Q19" s="96">
        <f>IF(FormFields[[#This Row],[No]]=0,"id",FormFields[[#This Row],[No]]+IF(ISNUMBER(VLOOKUP('Table Seed Map'!$A$12,SeedMap[],9,0)),VLOOKUP('Table Seed Map'!$A$12,SeedMap[],9,0),0))</f>
        <v>2111117</v>
      </c>
      <c r="R19" s="97">
        <f>IFERROR(VLOOKUP(FormFields[[#This Row],[Form Name]],ResourceForms[[FormName]:[ID]],4,0),"resource_form")</f>
        <v>2110105</v>
      </c>
      <c r="S19" s="98" t="s">
        <v>796</v>
      </c>
      <c r="T19" s="98" t="s">
        <v>1153</v>
      </c>
      <c r="U19" s="98" t="s">
        <v>1156</v>
      </c>
      <c r="V19" s="99"/>
      <c r="W19" s="99"/>
      <c r="X19" s="99"/>
      <c r="Y19" s="99"/>
      <c r="Z19" s="100" t="str">
        <f>'Table Seed Map'!$A$13&amp;"-"&amp;FormFields[[#This Row],[NO2]]</f>
        <v>Field Data-17</v>
      </c>
      <c r="AA19" s="101">
        <f>COUNTIFS($AB$1:FormFields[[#This Row],[Exists]],1)-1</f>
        <v>17</v>
      </c>
      <c r="AB19" s="101">
        <f>IF(AND(FormFields[[#This Row],[Attribute]]="",FormFields[[#This Row],[Rel]]=""),0,1)</f>
        <v>1</v>
      </c>
      <c r="AC19" s="101">
        <f>IF(FormFields[[#This Row],[NO2]]=0,"id",FormFields[[#This Row],[NO2]]+IF(ISNUMBER(VLOOKUP('Table Seed Map'!$A$13,SeedMap[],9,0)),VLOOKUP('Table Seed Map'!$A$13,SeedMap[],9,0),0))</f>
        <v>2112117</v>
      </c>
      <c r="AD19" s="102">
        <f>IF(FormFields[[#This Row],[ID]]="id","form_field",FormFields[[#This Row],[ID]])</f>
        <v>2111117</v>
      </c>
      <c r="AE19" s="101" t="str">
        <f>IF(FormFields[[#This Row],[No]]=0,"attribute",FormFields[[#This Row],[Name]])</f>
        <v>address</v>
      </c>
      <c r="AF19" s="103" t="str">
        <f>IF(FormFields[[#This Row],[NO2]]=0,"relation",IF(FormFields[[#This Row],[Rel]]="","",VLOOKUP(FormFields[[#This Row],[Rel]],RelationTable[[Display]:[RELID]],2,0)))</f>
        <v/>
      </c>
      <c r="AG19" s="103" t="str">
        <f>IF(FormFields[[#This Row],[NO2]]=0,"nest_relation1",IF(FormFields[[#This Row],[Rel1]]="","",VLOOKUP(FormFields[[#This Row],[Rel1]],RelationTable[[Display]:[RELID]],2,0)))</f>
        <v/>
      </c>
      <c r="AH19" s="103" t="str">
        <f>IF(FormFields[[#This Row],[NO2]]=0,"nest_relation2",IF(FormFields[[#This Row],[Rel2]]="","",VLOOKUP(FormFields[[#This Row],[Rel2]],RelationTable[[Display]:[RELID]],2,0)))</f>
        <v/>
      </c>
      <c r="AI19" s="103" t="str">
        <f>IF(FormFields[[#This Row],[NO2]]=0,"nest_relation3",IF(FormFields[[#This Row],[Rel3]]="","",VLOOKUP(FormFields[[#This Row],[Rel3]],RelationTable[[Display]:[RELID]],2,0)))</f>
        <v/>
      </c>
      <c r="AJ19" s="96">
        <f>IF(OR(FormFields[[#This Row],[Option Type]]="",FormFields[[#This Row],[Option Type]]="type"),0,1)</f>
        <v>0</v>
      </c>
      <c r="AK19" s="96" t="str">
        <f>'Table Seed Map'!$A$14&amp;"-"&amp;FormFields[[#This Row],[NO4]]</f>
        <v>Field Options-2</v>
      </c>
      <c r="AL19" s="96">
        <f>COUNTIF($AJ$2:FormFields[[#This Row],[Exists FO]],1)</f>
        <v>2</v>
      </c>
      <c r="AM19" s="96">
        <f>IF(FormFields[[#This Row],[NO4]]=0,"id",FormFields[[#This Row],[NO4]]+IF(ISNUMBER(VLOOKUP('Table Seed Map'!$A$14,SeedMap[],9,0)),VLOOKUP('Table Seed Map'!$A$14,SeedMap[],9,0),0))</f>
        <v>2113102</v>
      </c>
      <c r="AN19" s="104">
        <f>IF(FormFields[[#This Row],[ID]]="id","form_field",FormFields[[#This Row],[ID]])</f>
        <v>2111117</v>
      </c>
      <c r="AO19" s="105"/>
      <c r="AP19" s="105"/>
      <c r="AQ19" s="105"/>
      <c r="AR19" s="105"/>
      <c r="AS19" s="105"/>
      <c r="AT19" s="96">
        <f>IF(OR(FormFields[[#This Row],[Colspan]]="",FormFields[[#This Row],[Colspan]]="colspan"),0,1)</f>
        <v>1</v>
      </c>
      <c r="AU19" s="96" t="str">
        <f>'Table Seed Map'!$A$19&amp;"-"&amp;FormFields[[#This Row],[NO8]]</f>
        <v>Form Layout-4</v>
      </c>
      <c r="AV19" s="96">
        <f>COUNTIF($AT$1:FormFields[[#This Row],[Exists FL]],1)</f>
        <v>4</v>
      </c>
      <c r="AW19" s="96">
        <f>IF(FormFields[[#This Row],[NO8]]=0,"id",IF(FormFields[[#This Row],[Exists FL]]=1,FormFields[[#This Row],[NO8]]+IF(ISNUMBER(VLOOKUP('Table Seed Map'!$A$19,SeedMap[],9,0)),VLOOKUP('Table Seed Map'!$A$19,SeedMap[],9,0),0),""))</f>
        <v>2118104</v>
      </c>
      <c r="AX19" s="96">
        <f>[Form]</f>
        <v>2110105</v>
      </c>
      <c r="AY19" s="96">
        <f>IF(FormFields[[#This Row],[ID]]="id","form_field",FormFields[[#This Row],[ID]])</f>
        <v>2111117</v>
      </c>
      <c r="AZ19" s="106">
        <v>12</v>
      </c>
      <c r="BA19" s="104">
        <f>FormFields[[#This Row],[ID]]</f>
        <v>2111117</v>
      </c>
      <c r="BC19" s="62" t="s">
        <v>1196</v>
      </c>
      <c r="BD19" s="63" t="str">
        <f>'Table Seed Map'!$A$15&amp;"-"&amp;(-1+COUNTA($BC$1:FieldAttrs[[#This Row],[ATTR Field]]))</f>
        <v>Field Attrs-17</v>
      </c>
      <c r="BE19" s="69">
        <f>IF(FieldAttrs[[#This Row],[ATTR Field]]="","id",-1+COUNTA($BC$1:FieldAttrs[[#This Row],[ATTR Field]])+VLOOKUP('Table Seed Map'!$A$15,SeedMap[],9,0))</f>
        <v>2114117</v>
      </c>
      <c r="BF19" s="104">
        <f>IFERROR(VLOOKUP([ATTR Field],FormFields[[Field Name]:[ID]],2,0),"form_field")</f>
        <v>2111124</v>
      </c>
      <c r="BG19" s="104" t="s">
        <v>1193</v>
      </c>
      <c r="BH19" s="104">
        <v>4</v>
      </c>
    </row>
    <row r="20" spans="1:60">
      <c r="A20" s="69" t="str">
        <f>'Table Seed Map'!$A$11&amp;"-"&amp;(COUNTA($F$1:ResourceForms[[#This Row],[Resource]])-2)</f>
        <v>Resource Forms-18</v>
      </c>
      <c r="B20" s="69" t="str">
        <f>ResourceForms[[#This Row],[Resource Name]]&amp;"/"&amp;ResourceForms[[#This Row],[Name]]</f>
        <v>OrderItem/UpdateOrderItem</v>
      </c>
      <c r="C20" s="69">
        <f>COUNTA($A$1:ResourceForms[[#This Row],[Primary]])-2</f>
        <v>18</v>
      </c>
      <c r="D20" s="14" t="s">
        <v>788</v>
      </c>
      <c r="E20" s="69">
        <f>IF(ResourceForms[[#This Row],[No]]=0,"id",ResourceForms[[#This Row],[No]]+IF(ISNUMBER(VLOOKUP('Table Seed Map'!$A$11,SeedMap[],9,0)),VLOOKUP('Table Seed Map'!$A$11,SeedMap[],9,0),0))</f>
        <v>2110118</v>
      </c>
      <c r="F20" s="69">
        <f>IFERROR(VLOOKUP(ResourceForms[[#This Row],[Resource Name]],ResourceTable[[RName]:[No]],3,0),"resource")</f>
        <v>2106119</v>
      </c>
      <c r="G20" s="63" t="s">
        <v>1252</v>
      </c>
      <c r="H20" s="69"/>
      <c r="I20" s="63" t="s">
        <v>906</v>
      </c>
      <c r="J20" s="63" t="s">
        <v>1135</v>
      </c>
      <c r="K20" s="67">
        <f>[ID]</f>
        <v>2110118</v>
      </c>
      <c r="M20" s="95" t="str">
        <f>'Table Seed Map'!$A$12&amp;"-"&amp;FormFields[[#This Row],[No]]</f>
        <v>Form Fields-18</v>
      </c>
      <c r="N20" s="81" t="s">
        <v>1179</v>
      </c>
      <c r="O20" s="96">
        <f>COUNTA($N$1:FormFields[[#This Row],[Form Name]])-1</f>
        <v>18</v>
      </c>
      <c r="P20" s="95" t="str">
        <f>FormFields[[#This Row],[Form Name]]&amp;"/"&amp;FormFields[[#This Row],[Name]]</f>
        <v>Hub/NewHubCreateFrom/image</v>
      </c>
      <c r="Q20" s="96">
        <f>IF(FormFields[[#This Row],[No]]=0,"id",FormFields[[#This Row],[No]]+IF(ISNUMBER(VLOOKUP('Table Seed Map'!$A$12,SeedMap[],9,0)),VLOOKUP('Table Seed Map'!$A$12,SeedMap[],9,0),0))</f>
        <v>2111118</v>
      </c>
      <c r="R20" s="97">
        <f>IFERROR(VLOOKUP(FormFields[[#This Row],[Form Name]],ResourceForms[[FormName]:[ID]],4,0),"resource_form")</f>
        <v>2110105</v>
      </c>
      <c r="S20" s="98" t="s">
        <v>798</v>
      </c>
      <c r="T20" s="98" t="s">
        <v>1180</v>
      </c>
      <c r="U20" s="98" t="s">
        <v>1181</v>
      </c>
      <c r="V20" s="99"/>
      <c r="W20" s="99"/>
      <c r="X20" s="99"/>
      <c r="Y20" s="99"/>
      <c r="Z20" s="100" t="str">
        <f>'Table Seed Map'!$A$13&amp;"-"&amp;FormFields[[#This Row],[NO2]]</f>
        <v>Field Data-18</v>
      </c>
      <c r="AA20" s="101">
        <f>COUNTIFS($AB$1:FormFields[[#This Row],[Exists]],1)-1</f>
        <v>18</v>
      </c>
      <c r="AB20" s="101">
        <f>IF(AND(FormFields[[#This Row],[Attribute]]="",FormFields[[#This Row],[Rel]]=""),0,1)</f>
        <v>1</v>
      </c>
      <c r="AC20" s="101">
        <f>IF(FormFields[[#This Row],[NO2]]=0,"id",FormFields[[#This Row],[NO2]]+IF(ISNUMBER(VLOOKUP('Table Seed Map'!$A$13,SeedMap[],9,0)),VLOOKUP('Table Seed Map'!$A$13,SeedMap[],9,0),0))</f>
        <v>2112118</v>
      </c>
      <c r="AD20" s="102">
        <f>IF(FormFields[[#This Row],[ID]]="id","form_field",FormFields[[#This Row],[ID]])</f>
        <v>2111118</v>
      </c>
      <c r="AE20" s="101" t="str">
        <f>IF(FormFields[[#This Row],[No]]=0,"attribute",FormFields[[#This Row],[Name]])</f>
        <v>image</v>
      </c>
      <c r="AF20" s="103" t="str">
        <f>IF(FormFields[[#This Row],[NO2]]=0,"relation",IF(FormFields[[#This Row],[Rel]]="","",VLOOKUP(FormFields[[#This Row],[Rel]],RelationTable[[Display]:[RELID]],2,0)))</f>
        <v/>
      </c>
      <c r="AG20" s="103" t="str">
        <f>IF(FormFields[[#This Row],[NO2]]=0,"nest_relation1",IF(FormFields[[#This Row],[Rel1]]="","",VLOOKUP(FormFields[[#This Row],[Rel1]],RelationTable[[Display]:[RELID]],2,0)))</f>
        <v/>
      </c>
      <c r="AH20" s="103" t="str">
        <f>IF(FormFields[[#This Row],[NO2]]=0,"nest_relation2",IF(FormFields[[#This Row],[Rel2]]="","",VLOOKUP(FormFields[[#This Row],[Rel2]],RelationTable[[Display]:[RELID]],2,0)))</f>
        <v/>
      </c>
      <c r="AI20" s="103" t="str">
        <f>IF(FormFields[[#This Row],[NO2]]=0,"nest_relation3",IF(FormFields[[#This Row],[Rel3]]="","",VLOOKUP(FormFields[[#This Row],[Rel3]],RelationTable[[Display]:[RELID]],2,0)))</f>
        <v/>
      </c>
      <c r="AJ20" s="96">
        <f>IF(OR(FormFields[[#This Row],[Option Type]]="",FormFields[[#This Row],[Option Type]]="type"),0,1)</f>
        <v>0</v>
      </c>
      <c r="AK20" s="96" t="str">
        <f>'Table Seed Map'!$A$14&amp;"-"&amp;FormFields[[#This Row],[NO4]]</f>
        <v>Field Options-2</v>
      </c>
      <c r="AL20" s="96">
        <f>COUNTIF($AJ$2:FormFields[[#This Row],[Exists FO]],1)</f>
        <v>2</v>
      </c>
      <c r="AM20" s="96">
        <f>IF(FormFields[[#This Row],[NO4]]=0,"id",FormFields[[#This Row],[NO4]]+IF(ISNUMBER(VLOOKUP('Table Seed Map'!$A$14,SeedMap[],9,0)),VLOOKUP('Table Seed Map'!$A$14,SeedMap[],9,0),0))</f>
        <v>2113102</v>
      </c>
      <c r="AN20" s="104">
        <f>IF(FormFields[[#This Row],[ID]]="id","form_field",FormFields[[#This Row],[ID]])</f>
        <v>2111118</v>
      </c>
      <c r="AO20" s="105"/>
      <c r="AP20" s="105"/>
      <c r="AQ20" s="105"/>
      <c r="AR20" s="105"/>
      <c r="AS20" s="105"/>
      <c r="AT20" s="96">
        <f>IF(OR(FormFields[[#This Row],[Colspan]]="",FormFields[[#This Row],[Colspan]]="colspan"),0,1)</f>
        <v>1</v>
      </c>
      <c r="AU20" s="96" t="str">
        <f>'Table Seed Map'!$A$19&amp;"-"&amp;FormFields[[#This Row],[NO8]]</f>
        <v>Form Layout-5</v>
      </c>
      <c r="AV20" s="96">
        <f>COUNTIF($AT$1:FormFields[[#This Row],[Exists FL]],1)</f>
        <v>5</v>
      </c>
      <c r="AW20" s="96">
        <f>IF(FormFields[[#This Row],[NO8]]=0,"id",IF(FormFields[[#This Row],[Exists FL]]=1,FormFields[[#This Row],[NO8]]+IF(ISNUMBER(VLOOKUP('Table Seed Map'!$A$19,SeedMap[],9,0)),VLOOKUP('Table Seed Map'!$A$19,SeedMap[],9,0),0),""))</f>
        <v>2118105</v>
      </c>
      <c r="AX20" s="96">
        <f>[Form]</f>
        <v>2110105</v>
      </c>
      <c r="AY20" s="96">
        <f>IF(FormFields[[#This Row],[ID]]="id","form_field",FormFields[[#This Row],[ID]])</f>
        <v>2111118</v>
      </c>
      <c r="AZ20" s="106">
        <v>4</v>
      </c>
      <c r="BA20" s="104">
        <f>FormFields[[#This Row],[ID]]</f>
        <v>2111118</v>
      </c>
      <c r="BC20" s="62" t="s">
        <v>1197</v>
      </c>
      <c r="BD20" s="63" t="str">
        <f>'Table Seed Map'!$A$15&amp;"-"&amp;(-1+COUNTA($BC$1:FieldAttrs[[#This Row],[ATTR Field]]))</f>
        <v>Field Attrs-18</v>
      </c>
      <c r="BE20" s="69">
        <f>IF(FieldAttrs[[#This Row],[ATTR Field]]="","id",-1+COUNTA($BC$1:FieldAttrs[[#This Row],[ATTR Field]])+VLOOKUP('Table Seed Map'!$A$15,SeedMap[],9,0))</f>
        <v>2114118</v>
      </c>
      <c r="BF20" s="104">
        <f>IFERROR(VLOOKUP([ATTR Field],FormFields[[Field Name]:[ID]],2,0),"form_field")</f>
        <v>2111125</v>
      </c>
      <c r="BG20" s="104" t="s">
        <v>1193</v>
      </c>
      <c r="BH20" s="104">
        <v>4</v>
      </c>
    </row>
    <row r="21" spans="1:60">
      <c r="A21" s="69" t="str">
        <f>'Table Seed Map'!$A$11&amp;"-"&amp;(COUNTA($F$1:ResourceForms[[#This Row],[Resource]])-2)</f>
        <v>Resource Forms-19</v>
      </c>
      <c r="B21" s="69" t="str">
        <f>ResourceForms[[#This Row],[Resource Name]]&amp;"/"&amp;ResourceForms[[#This Row],[Name]]</f>
        <v>OrderItemServiceUser/AssignProviderToOIS</v>
      </c>
      <c r="C21" s="69">
        <f>COUNTA($A$1:ResourceForms[[#This Row],[Primary]])-2</f>
        <v>19</v>
      </c>
      <c r="D21" s="14" t="s">
        <v>790</v>
      </c>
      <c r="E21" s="69">
        <f>IF(ResourceForms[[#This Row],[No]]=0,"id",ResourceForms[[#This Row],[No]]+IF(ISNUMBER(VLOOKUP('Table Seed Map'!$A$11,SeedMap[],9,0)),VLOOKUP('Table Seed Map'!$A$11,SeedMap[],9,0),0))</f>
        <v>2110119</v>
      </c>
      <c r="F21" s="69">
        <f>IFERROR(VLOOKUP(ResourceForms[[#This Row],[Resource Name]],ResourceTable[[RName]:[No]],3,0),"resource")</f>
        <v>2106123</v>
      </c>
      <c r="G21" s="63" t="s">
        <v>1267</v>
      </c>
      <c r="H21" s="69"/>
      <c r="I21" s="63" t="s">
        <v>1843</v>
      </c>
      <c r="J21" s="63" t="s">
        <v>1135</v>
      </c>
      <c r="K21" s="67">
        <f>[ID]</f>
        <v>2110119</v>
      </c>
      <c r="M21" s="95" t="str">
        <f>'Table Seed Map'!$A$12&amp;"-"&amp;FormFields[[#This Row],[No]]</f>
        <v>Form Fields-19</v>
      </c>
      <c r="N21" s="81" t="s">
        <v>1179</v>
      </c>
      <c r="O21" s="96">
        <f>COUNTA($N$1:FormFields[[#This Row],[Form Name]])-1</f>
        <v>19</v>
      </c>
      <c r="P21" s="95" t="str">
        <f>FormFields[[#This Row],[Form Name]]&amp;"/"&amp;FormFields[[#This Row],[Name]]</f>
        <v>Hub/NewHubCreateFrom/email</v>
      </c>
      <c r="Q21" s="96">
        <f>IF(FormFields[[#This Row],[No]]=0,"id",FormFields[[#This Row],[No]]+IF(ISNUMBER(VLOOKUP('Table Seed Map'!$A$12,SeedMap[],9,0)),VLOOKUP('Table Seed Map'!$A$12,SeedMap[],9,0),0))</f>
        <v>2111119</v>
      </c>
      <c r="R21" s="97">
        <f>IFERROR(VLOOKUP(FormFields[[#This Row],[Form Name]],ResourceForms[[FormName]:[ID]],4,0),"resource_form")</f>
        <v>2110105</v>
      </c>
      <c r="S21" s="98" t="s">
        <v>800</v>
      </c>
      <c r="T21" s="98" t="s">
        <v>1137</v>
      </c>
      <c r="U21" s="98" t="s">
        <v>1182</v>
      </c>
      <c r="V21" s="99"/>
      <c r="W21" s="99"/>
      <c r="X21" s="99"/>
      <c r="Y21" s="99"/>
      <c r="Z21" s="100" t="str">
        <f>'Table Seed Map'!$A$13&amp;"-"&amp;FormFields[[#This Row],[NO2]]</f>
        <v>Field Data-19</v>
      </c>
      <c r="AA21" s="101">
        <f>COUNTIFS($AB$1:FormFields[[#This Row],[Exists]],1)-1</f>
        <v>19</v>
      </c>
      <c r="AB21" s="101">
        <f>IF(AND(FormFields[[#This Row],[Attribute]]="",FormFields[[#This Row],[Rel]]=""),0,1)</f>
        <v>1</v>
      </c>
      <c r="AC21" s="101">
        <f>IF(FormFields[[#This Row],[NO2]]=0,"id",FormFields[[#This Row],[NO2]]+IF(ISNUMBER(VLOOKUP('Table Seed Map'!$A$13,SeedMap[],9,0)),VLOOKUP('Table Seed Map'!$A$13,SeedMap[],9,0),0))</f>
        <v>2112119</v>
      </c>
      <c r="AD21" s="102">
        <f>IF(FormFields[[#This Row],[ID]]="id","form_field",FormFields[[#This Row],[ID]])</f>
        <v>2111119</v>
      </c>
      <c r="AE21" s="101" t="str">
        <f>IF(FormFields[[#This Row],[No]]=0,"attribute",FormFields[[#This Row],[Name]])</f>
        <v>email</v>
      </c>
      <c r="AF21" s="103" t="str">
        <f>IF(FormFields[[#This Row],[NO2]]=0,"relation",IF(FormFields[[#This Row],[Rel]]="","",VLOOKUP(FormFields[[#This Row],[Rel]],RelationTable[[Display]:[RELID]],2,0)))</f>
        <v/>
      </c>
      <c r="AG21" s="103" t="str">
        <f>IF(FormFields[[#This Row],[NO2]]=0,"nest_relation1",IF(FormFields[[#This Row],[Rel1]]="","",VLOOKUP(FormFields[[#This Row],[Rel1]],RelationTable[[Display]:[RELID]],2,0)))</f>
        <v/>
      </c>
      <c r="AH21" s="103" t="str">
        <f>IF(FormFields[[#This Row],[NO2]]=0,"nest_relation2",IF(FormFields[[#This Row],[Rel2]]="","",VLOOKUP(FormFields[[#This Row],[Rel2]],RelationTable[[Display]:[RELID]],2,0)))</f>
        <v/>
      </c>
      <c r="AI21" s="103" t="str">
        <f>IF(FormFields[[#This Row],[NO2]]=0,"nest_relation3",IF(FormFields[[#This Row],[Rel3]]="","",VLOOKUP(FormFields[[#This Row],[Rel3]],RelationTable[[Display]:[RELID]],2,0)))</f>
        <v/>
      </c>
      <c r="AJ21" s="96">
        <f>IF(OR(FormFields[[#This Row],[Option Type]]="",FormFields[[#This Row],[Option Type]]="type"),0,1)</f>
        <v>0</v>
      </c>
      <c r="AK21" s="96" t="str">
        <f>'Table Seed Map'!$A$14&amp;"-"&amp;FormFields[[#This Row],[NO4]]</f>
        <v>Field Options-2</v>
      </c>
      <c r="AL21" s="96">
        <f>COUNTIF($AJ$2:FormFields[[#This Row],[Exists FO]],1)</f>
        <v>2</v>
      </c>
      <c r="AM21" s="96">
        <f>IF(FormFields[[#This Row],[NO4]]=0,"id",FormFields[[#This Row],[NO4]]+IF(ISNUMBER(VLOOKUP('Table Seed Map'!$A$14,SeedMap[],9,0)),VLOOKUP('Table Seed Map'!$A$14,SeedMap[],9,0),0))</f>
        <v>2113102</v>
      </c>
      <c r="AN21" s="104">
        <f>IF(FormFields[[#This Row],[ID]]="id","form_field",FormFields[[#This Row],[ID]])</f>
        <v>2111119</v>
      </c>
      <c r="AO21" s="105"/>
      <c r="AP21" s="105"/>
      <c r="AQ21" s="105"/>
      <c r="AR21" s="105"/>
      <c r="AS21" s="105"/>
      <c r="AT21" s="96">
        <f>IF(OR(FormFields[[#This Row],[Colspan]]="",FormFields[[#This Row],[Colspan]]="colspan"),0,1)</f>
        <v>1</v>
      </c>
      <c r="AU21" s="96" t="str">
        <f>'Table Seed Map'!$A$19&amp;"-"&amp;FormFields[[#This Row],[NO8]]</f>
        <v>Form Layout-6</v>
      </c>
      <c r="AV21" s="96">
        <f>COUNTIF($AT$1:FormFields[[#This Row],[Exists FL]],1)</f>
        <v>6</v>
      </c>
      <c r="AW21" s="96">
        <f>IF(FormFields[[#This Row],[NO8]]=0,"id",IF(FormFields[[#This Row],[Exists FL]]=1,FormFields[[#This Row],[NO8]]+IF(ISNUMBER(VLOOKUP('Table Seed Map'!$A$19,SeedMap[],9,0)),VLOOKUP('Table Seed Map'!$A$19,SeedMap[],9,0),0),""))</f>
        <v>2118106</v>
      </c>
      <c r="AX21" s="96">
        <f>[Form]</f>
        <v>2110105</v>
      </c>
      <c r="AY21" s="96">
        <f>IF(FormFields[[#This Row],[ID]]="id","form_field",FormFields[[#This Row],[ID]])</f>
        <v>2111119</v>
      </c>
      <c r="AZ21" s="106">
        <v>4</v>
      </c>
      <c r="BA21" s="104">
        <f>FormFields[[#This Row],[ID]]</f>
        <v>2111119</v>
      </c>
      <c r="BC21" s="62" t="s">
        <v>1198</v>
      </c>
      <c r="BD21" s="63" t="str">
        <f>'Table Seed Map'!$A$15&amp;"-"&amp;(-1+COUNTA($BC$1:FieldAttrs[[#This Row],[ATTR Field]]))</f>
        <v>Field Attrs-19</v>
      </c>
      <c r="BE21" s="69">
        <f>IF(FieldAttrs[[#This Row],[ATTR Field]]="","id",-1+COUNTA($BC$1:FieldAttrs[[#This Row],[ATTR Field]])+VLOOKUP('Table Seed Map'!$A$15,SeedMap[],9,0))</f>
        <v>2114119</v>
      </c>
      <c r="BF21" s="104">
        <f>IFERROR(VLOOKUP([ATTR Field],FormFields[[Field Name]:[ID]],2,0),"form_field")</f>
        <v>2111126</v>
      </c>
      <c r="BG21" s="104" t="s">
        <v>1193</v>
      </c>
      <c r="BH21" s="104">
        <v>4</v>
      </c>
    </row>
    <row r="22" spans="1:60">
      <c r="A22" s="69" t="str">
        <f>'Table Seed Map'!$A$11&amp;"-"&amp;(COUNTA($F$1:ResourceForms[[#This Row],[Resource]])-2)</f>
        <v>Resource Forms-20</v>
      </c>
      <c r="B22" s="69" t="str">
        <f>ResourceForms[[#This Row],[Resource Name]]&amp;"/"&amp;ResourceForms[[#This Row],[Name]]</f>
        <v>Receipt/NewReceiptForm</v>
      </c>
      <c r="C22" s="69">
        <f>COUNTA($A$1:ResourceForms[[#This Row],[Primary]])-2</f>
        <v>20</v>
      </c>
      <c r="D22" s="14" t="s">
        <v>791</v>
      </c>
      <c r="E22" s="69">
        <f>IF(ResourceForms[[#This Row],[No]]=0,"id",ResourceForms[[#This Row],[No]]+IF(ISNUMBER(VLOOKUP('Table Seed Map'!$A$11,SeedMap[],9,0)),VLOOKUP('Table Seed Map'!$A$11,SeedMap[],9,0),0))</f>
        <v>2110120</v>
      </c>
      <c r="F22" s="69">
        <f>IFERROR(VLOOKUP(ResourceForms[[#This Row],[Resource Name]],ResourceTable[[RName]:[No]],3,0),"resource")</f>
        <v>2106124</v>
      </c>
      <c r="G22" s="63" t="s">
        <v>1273</v>
      </c>
      <c r="H22" s="69"/>
      <c r="I22" s="63" t="s">
        <v>791</v>
      </c>
      <c r="J22" s="63" t="s">
        <v>1135</v>
      </c>
      <c r="K22" s="67">
        <f>[ID]</f>
        <v>2110120</v>
      </c>
      <c r="M22" s="95" t="str">
        <f>'Table Seed Map'!$A$12&amp;"-"&amp;FormFields[[#This Row],[No]]</f>
        <v>Form Fields-20</v>
      </c>
      <c r="N22" s="81" t="s">
        <v>1179</v>
      </c>
      <c r="O22" s="96">
        <f>COUNTA($N$1:FormFields[[#This Row],[Form Name]])-1</f>
        <v>20</v>
      </c>
      <c r="P22" s="95" t="str">
        <f>FormFields[[#This Row],[Form Name]]&amp;"/"&amp;FormFields[[#This Row],[Name]]</f>
        <v>Hub/NewHubCreateFrom/website</v>
      </c>
      <c r="Q22" s="96">
        <f>IF(FormFields[[#This Row],[No]]=0,"id",FormFields[[#This Row],[No]]+IF(ISNUMBER(VLOOKUP('Table Seed Map'!$A$12,SeedMap[],9,0)),VLOOKUP('Table Seed Map'!$A$12,SeedMap[],9,0),0))</f>
        <v>2111120</v>
      </c>
      <c r="R22" s="97">
        <f>IFERROR(VLOOKUP(FormFields[[#This Row],[Form Name]],ResourceForms[[FormName]:[ID]],4,0),"resource_form")</f>
        <v>2110105</v>
      </c>
      <c r="S22" s="98" t="s">
        <v>801</v>
      </c>
      <c r="T22" s="98" t="s">
        <v>1137</v>
      </c>
      <c r="U22" s="98" t="s">
        <v>1183</v>
      </c>
      <c r="V22" s="99"/>
      <c r="W22" s="99"/>
      <c r="X22" s="99"/>
      <c r="Y22" s="99"/>
      <c r="Z22" s="100" t="str">
        <f>'Table Seed Map'!$A$13&amp;"-"&amp;FormFields[[#This Row],[NO2]]</f>
        <v>Field Data-20</v>
      </c>
      <c r="AA22" s="101">
        <f>COUNTIFS($AB$1:FormFields[[#This Row],[Exists]],1)-1</f>
        <v>20</v>
      </c>
      <c r="AB22" s="101">
        <f>IF(AND(FormFields[[#This Row],[Attribute]]="",FormFields[[#This Row],[Rel]]=""),0,1)</f>
        <v>1</v>
      </c>
      <c r="AC22" s="101">
        <f>IF(FormFields[[#This Row],[NO2]]=0,"id",FormFields[[#This Row],[NO2]]+IF(ISNUMBER(VLOOKUP('Table Seed Map'!$A$13,SeedMap[],9,0)),VLOOKUP('Table Seed Map'!$A$13,SeedMap[],9,0),0))</f>
        <v>2112120</v>
      </c>
      <c r="AD22" s="102">
        <f>IF(FormFields[[#This Row],[ID]]="id","form_field",FormFields[[#This Row],[ID]])</f>
        <v>2111120</v>
      </c>
      <c r="AE22" s="101" t="str">
        <f>IF(FormFields[[#This Row],[No]]=0,"attribute",FormFields[[#This Row],[Name]])</f>
        <v>website</v>
      </c>
      <c r="AF22" s="103" t="str">
        <f>IF(FormFields[[#This Row],[NO2]]=0,"relation",IF(FormFields[[#This Row],[Rel]]="","",VLOOKUP(FormFields[[#This Row],[Rel]],RelationTable[[Display]:[RELID]],2,0)))</f>
        <v/>
      </c>
      <c r="AG22" s="103" t="str">
        <f>IF(FormFields[[#This Row],[NO2]]=0,"nest_relation1",IF(FormFields[[#This Row],[Rel1]]="","",VLOOKUP(FormFields[[#This Row],[Rel1]],RelationTable[[Display]:[RELID]],2,0)))</f>
        <v/>
      </c>
      <c r="AH22" s="103" t="str">
        <f>IF(FormFields[[#This Row],[NO2]]=0,"nest_relation2",IF(FormFields[[#This Row],[Rel2]]="","",VLOOKUP(FormFields[[#This Row],[Rel2]],RelationTable[[Display]:[RELID]],2,0)))</f>
        <v/>
      </c>
      <c r="AI22" s="103" t="str">
        <f>IF(FormFields[[#This Row],[NO2]]=0,"nest_relation3",IF(FormFields[[#This Row],[Rel3]]="","",VLOOKUP(FormFields[[#This Row],[Rel3]],RelationTable[[Display]:[RELID]],2,0)))</f>
        <v/>
      </c>
      <c r="AJ22" s="96">
        <f>IF(OR(FormFields[[#This Row],[Option Type]]="",FormFields[[#This Row],[Option Type]]="type"),0,1)</f>
        <v>0</v>
      </c>
      <c r="AK22" s="96" t="str">
        <f>'Table Seed Map'!$A$14&amp;"-"&amp;FormFields[[#This Row],[NO4]]</f>
        <v>Field Options-2</v>
      </c>
      <c r="AL22" s="96">
        <f>COUNTIF($AJ$2:FormFields[[#This Row],[Exists FO]],1)</f>
        <v>2</v>
      </c>
      <c r="AM22" s="96">
        <f>IF(FormFields[[#This Row],[NO4]]=0,"id",FormFields[[#This Row],[NO4]]+IF(ISNUMBER(VLOOKUP('Table Seed Map'!$A$14,SeedMap[],9,0)),VLOOKUP('Table Seed Map'!$A$14,SeedMap[],9,0),0))</f>
        <v>2113102</v>
      </c>
      <c r="AN22" s="104">
        <f>IF(FormFields[[#This Row],[ID]]="id","form_field",FormFields[[#This Row],[ID]])</f>
        <v>2111120</v>
      </c>
      <c r="AO22" s="105"/>
      <c r="AP22" s="105"/>
      <c r="AQ22" s="105"/>
      <c r="AR22" s="105"/>
      <c r="AS22" s="105"/>
      <c r="AT22" s="96">
        <f>IF(OR(FormFields[[#This Row],[Colspan]]="",FormFields[[#This Row],[Colspan]]="colspan"),0,1)</f>
        <v>1</v>
      </c>
      <c r="AU22" s="96" t="str">
        <f>'Table Seed Map'!$A$19&amp;"-"&amp;FormFields[[#This Row],[NO8]]</f>
        <v>Form Layout-7</v>
      </c>
      <c r="AV22" s="96">
        <f>COUNTIF($AT$1:FormFields[[#This Row],[Exists FL]],1)</f>
        <v>7</v>
      </c>
      <c r="AW22" s="96">
        <f>IF(FormFields[[#This Row],[NO8]]=0,"id",IF(FormFields[[#This Row],[Exists FL]]=1,FormFields[[#This Row],[NO8]]+IF(ISNUMBER(VLOOKUP('Table Seed Map'!$A$19,SeedMap[],9,0)),VLOOKUP('Table Seed Map'!$A$19,SeedMap[],9,0),0),""))</f>
        <v>2118107</v>
      </c>
      <c r="AX22" s="96">
        <f>[Form]</f>
        <v>2110105</v>
      </c>
      <c r="AY22" s="96">
        <f>IF(FormFields[[#This Row],[ID]]="id","form_field",FormFields[[#This Row],[ID]])</f>
        <v>2111120</v>
      </c>
      <c r="AZ22" s="106">
        <v>4</v>
      </c>
      <c r="BA22" s="104">
        <f>FormFields[[#This Row],[ID]]</f>
        <v>2111120</v>
      </c>
      <c r="BC22" s="62" t="s">
        <v>1264</v>
      </c>
      <c r="BD22" s="63" t="str">
        <f>'Table Seed Map'!$A$15&amp;"-"&amp;(-1+COUNTA($BC$1:FieldAttrs[[#This Row],[ATTR Field]]))</f>
        <v>Field Attrs-20</v>
      </c>
      <c r="BE22" s="69">
        <f>IF(FieldAttrs[[#This Row],[ATTR Field]]="","id",-1+COUNTA($BC$1:FieldAttrs[[#This Row],[ATTR Field]])+VLOOKUP('Table Seed Map'!$A$15,SeedMap[],9,0))</f>
        <v>2114120</v>
      </c>
      <c r="BF22" s="104">
        <f>IFERROR(VLOOKUP([ATTR Field],FormFields[[Field Name]:[ID]],2,0),"form_field")</f>
        <v>2111130</v>
      </c>
      <c r="BG22" s="104" t="s">
        <v>1193</v>
      </c>
      <c r="BH22" s="104">
        <v>4</v>
      </c>
    </row>
    <row r="23" spans="1:60">
      <c r="A23" s="69" t="str">
        <f>'Table Seed Map'!$A$11&amp;"-"&amp;(COUNTA($F$1:ResourceForms[[#This Row],[Resource]])-2)</f>
        <v>Resource Forms-21</v>
      </c>
      <c r="B23" s="69" t="str">
        <f>ResourceForms[[#This Row],[Resource Name]]&amp;"/"&amp;ResourceForms[[#This Row],[Name]]</f>
        <v>Delivery/NewOrderDeliveryForm</v>
      </c>
      <c r="C23" s="69">
        <f>COUNTA($A$1:ResourceForms[[#This Row],[Primary]])-2</f>
        <v>21</v>
      </c>
      <c r="D23" s="14" t="s">
        <v>912</v>
      </c>
      <c r="E23" s="69">
        <f>IF(ResourceForms[[#This Row],[No]]=0,"id",ResourceForms[[#This Row],[No]]+IF(ISNUMBER(VLOOKUP('Table Seed Map'!$A$11,SeedMap[],9,0)),VLOOKUP('Table Seed Map'!$A$11,SeedMap[],9,0),0))</f>
        <v>2110121</v>
      </c>
      <c r="F23" s="69">
        <f>IFERROR(VLOOKUP(ResourceForms[[#This Row],[Resource Name]],ResourceTable[[RName]:[No]],3,0),"resource")</f>
        <v>2106125</v>
      </c>
      <c r="G23" s="63" t="s">
        <v>1280</v>
      </c>
      <c r="H23" s="69"/>
      <c r="I23" s="63" t="s">
        <v>1281</v>
      </c>
      <c r="J23" s="63" t="s">
        <v>1135</v>
      </c>
      <c r="K23" s="67">
        <f>[ID]</f>
        <v>2110121</v>
      </c>
      <c r="M23" s="95" t="str">
        <f>'Table Seed Map'!$A$12&amp;"-"&amp;FormFields[[#This Row],[No]]</f>
        <v>Form Fields-21</v>
      </c>
      <c r="N23" s="81" t="s">
        <v>1185</v>
      </c>
      <c r="O23" s="96">
        <f>COUNTA($N$1:FormFields[[#This Row],[Form Name]])-1</f>
        <v>21</v>
      </c>
      <c r="P23" s="95" t="str">
        <f>FormFields[[#This Row],[Form Name]]&amp;"/"&amp;FormFields[[#This Row],[Name]]</f>
        <v>Service/AddNewServiceForm/name</v>
      </c>
      <c r="Q23" s="96">
        <f>IF(FormFields[[#This Row],[No]]=0,"id",FormFields[[#This Row],[No]]+IF(ISNUMBER(VLOOKUP('Table Seed Map'!$A$12,SeedMap[],9,0)),VLOOKUP('Table Seed Map'!$A$12,SeedMap[],9,0),0))</f>
        <v>2111121</v>
      </c>
      <c r="R23" s="97">
        <f>IFERROR(VLOOKUP(FormFields[[#This Row],[Form Name]],ResourceForms[[FormName]:[ID]],4,0),"resource_form")</f>
        <v>2110106</v>
      </c>
      <c r="S23" s="98" t="s">
        <v>23</v>
      </c>
      <c r="T23" s="98" t="s">
        <v>1137</v>
      </c>
      <c r="U23" s="98" t="s">
        <v>1186</v>
      </c>
      <c r="V23" s="99"/>
      <c r="W23" s="99"/>
      <c r="X23" s="99"/>
      <c r="Y23" s="99"/>
      <c r="Z23" s="100" t="str">
        <f>'Table Seed Map'!$A$13&amp;"-"&amp;FormFields[[#This Row],[NO2]]</f>
        <v>Field Data-21</v>
      </c>
      <c r="AA23" s="101">
        <f>COUNTIFS($AB$1:FormFields[[#This Row],[Exists]],1)-1</f>
        <v>21</v>
      </c>
      <c r="AB23" s="101">
        <f>IF(AND(FormFields[[#This Row],[Attribute]]="",FormFields[[#This Row],[Rel]]=""),0,1)</f>
        <v>1</v>
      </c>
      <c r="AC23" s="101">
        <f>IF(FormFields[[#This Row],[NO2]]=0,"id",FormFields[[#This Row],[NO2]]+IF(ISNUMBER(VLOOKUP('Table Seed Map'!$A$13,SeedMap[],9,0)),VLOOKUP('Table Seed Map'!$A$13,SeedMap[],9,0),0))</f>
        <v>2112121</v>
      </c>
      <c r="AD23" s="102">
        <f>IF(FormFields[[#This Row],[ID]]="id","form_field",FormFields[[#This Row],[ID]])</f>
        <v>2111121</v>
      </c>
      <c r="AE23" s="101" t="str">
        <f>IF(FormFields[[#This Row],[No]]=0,"attribute",FormFields[[#This Row],[Name]])</f>
        <v>name</v>
      </c>
      <c r="AF23" s="103" t="str">
        <f>IF(FormFields[[#This Row],[NO2]]=0,"relation",IF(FormFields[[#This Row],[Rel]]="","",VLOOKUP(FormFields[[#This Row],[Rel]],RelationTable[[Display]:[RELID]],2,0)))</f>
        <v/>
      </c>
      <c r="AG23" s="103" t="str">
        <f>IF(FormFields[[#This Row],[NO2]]=0,"nest_relation1",IF(FormFields[[#This Row],[Rel1]]="","",VLOOKUP(FormFields[[#This Row],[Rel1]],RelationTable[[Display]:[RELID]],2,0)))</f>
        <v/>
      </c>
      <c r="AH23" s="103" t="str">
        <f>IF(FormFields[[#This Row],[NO2]]=0,"nest_relation2",IF(FormFields[[#This Row],[Rel2]]="","",VLOOKUP(FormFields[[#This Row],[Rel2]],RelationTable[[Display]:[RELID]],2,0)))</f>
        <v/>
      </c>
      <c r="AI23" s="103" t="str">
        <f>IF(FormFields[[#This Row],[NO2]]=0,"nest_relation3",IF(FormFields[[#This Row],[Rel3]]="","",VLOOKUP(FormFields[[#This Row],[Rel3]],RelationTable[[Display]:[RELID]],2,0)))</f>
        <v/>
      </c>
      <c r="AJ23" s="96">
        <f>IF(OR(FormFields[[#This Row],[Option Type]]="",FormFields[[#This Row],[Option Type]]="type"),0,1)</f>
        <v>0</v>
      </c>
      <c r="AK23" s="96" t="str">
        <f>'Table Seed Map'!$A$14&amp;"-"&amp;FormFields[[#This Row],[NO4]]</f>
        <v>Field Options-2</v>
      </c>
      <c r="AL23" s="96">
        <f>COUNTIF($AJ$2:FormFields[[#This Row],[Exists FO]],1)</f>
        <v>2</v>
      </c>
      <c r="AM23" s="96">
        <f>IF(FormFields[[#This Row],[NO4]]=0,"id",FormFields[[#This Row],[NO4]]+IF(ISNUMBER(VLOOKUP('Table Seed Map'!$A$14,SeedMap[],9,0)),VLOOKUP('Table Seed Map'!$A$14,SeedMap[],9,0),0))</f>
        <v>2113102</v>
      </c>
      <c r="AN23" s="104">
        <f>IF(FormFields[[#This Row],[ID]]="id","form_field",FormFields[[#This Row],[ID]])</f>
        <v>2111121</v>
      </c>
      <c r="AO23" s="105"/>
      <c r="AP23" s="105"/>
      <c r="AQ23" s="105"/>
      <c r="AR23" s="105"/>
      <c r="AS23" s="105"/>
      <c r="AT23" s="96">
        <f>IF(OR(FormFields[[#This Row],[Colspan]]="",FormFields[[#This Row],[Colspan]]="colspan"),0,1)</f>
        <v>0</v>
      </c>
      <c r="AU23" s="96" t="str">
        <f>'Table Seed Map'!$A$19&amp;"-"&amp;FormFields[[#This Row],[NO8]]</f>
        <v>Form Layout-7</v>
      </c>
      <c r="AV23" s="96">
        <f>COUNTIF($AT$1:FormFields[[#This Row],[Exists FL]],1)</f>
        <v>7</v>
      </c>
      <c r="AW2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96">
        <f>[Form]</f>
        <v>2110106</v>
      </c>
      <c r="AY23" s="96">
        <f>IF(FormFields[[#This Row],[ID]]="id","form_field",FormFields[[#This Row],[ID]])</f>
        <v>2111121</v>
      </c>
      <c r="AZ23" s="106"/>
      <c r="BA23" s="104">
        <f>FormFields[[#This Row],[ID]]</f>
        <v>2111121</v>
      </c>
      <c r="BC23" s="62" t="s">
        <v>1265</v>
      </c>
      <c r="BD23" s="63" t="str">
        <f>'Table Seed Map'!$A$15&amp;"-"&amp;(-1+COUNTA($BC$1:FieldAttrs[[#This Row],[ATTR Field]]))</f>
        <v>Field Attrs-21</v>
      </c>
      <c r="BE23" s="69">
        <f>IF(FieldAttrs[[#This Row],[ATTR Field]]="","id",-1+COUNTA($BC$1:FieldAttrs[[#This Row],[ATTR Field]])+VLOOKUP('Table Seed Map'!$A$15,SeedMap[],9,0))</f>
        <v>2114121</v>
      </c>
      <c r="BF23" s="104">
        <f>IFERROR(VLOOKUP([ATTR Field],FormFields[[Field Name]:[ID]],2,0),"form_field")</f>
        <v>2111131</v>
      </c>
      <c r="BG23" s="104" t="s">
        <v>1193</v>
      </c>
      <c r="BH23" s="104">
        <v>4</v>
      </c>
    </row>
    <row r="24" spans="1:60">
      <c r="A24" s="69" t="str">
        <f>'Table Seed Map'!$A$11&amp;"-"&amp;(COUNTA($F$1:ResourceForms[[#This Row],[Resource]])-2)</f>
        <v>Resource Forms-22</v>
      </c>
      <c r="B24" s="69" t="str">
        <f>ResourceForms[[#This Row],[Resource Name]]&amp;"/"&amp;ResourceForms[[#This Row],[Name]]</f>
        <v>DeliveryItem/AddDeliveryItemsForm</v>
      </c>
      <c r="C24" s="69">
        <f>COUNTA($A$1:ResourceForms[[#This Row],[Primary]])-2</f>
        <v>22</v>
      </c>
      <c r="D24" s="14" t="s">
        <v>1003</v>
      </c>
      <c r="E24" s="69">
        <f>IF(ResourceForms[[#This Row],[No]]=0,"id",ResourceForms[[#This Row],[No]]+IF(ISNUMBER(VLOOKUP('Table Seed Map'!$A$11,SeedMap[],9,0)),VLOOKUP('Table Seed Map'!$A$11,SeedMap[],9,0),0))</f>
        <v>2110122</v>
      </c>
      <c r="F24" s="69">
        <f>IFERROR(VLOOKUP(ResourceForms[[#This Row],[Resource Name]],ResourceTable[[RName]:[No]],3,0),"resource")</f>
        <v>2106126</v>
      </c>
      <c r="G24" s="63" t="s">
        <v>1284</v>
      </c>
      <c r="H24" s="69"/>
      <c r="I24" s="63" t="s">
        <v>1285</v>
      </c>
      <c r="J24" s="63" t="s">
        <v>1135</v>
      </c>
      <c r="K24" s="67">
        <f>[ID]</f>
        <v>2110122</v>
      </c>
      <c r="M24" s="95" t="str">
        <f>'Table Seed Map'!$A$12&amp;"-"&amp;FormFields[[#This Row],[No]]</f>
        <v>Form Fields-22</v>
      </c>
      <c r="N24" s="81" t="s">
        <v>1185</v>
      </c>
      <c r="O24" s="96">
        <f>COUNTA($N$1:FormFields[[#This Row],[Form Name]])-1</f>
        <v>22</v>
      </c>
      <c r="P24" s="95" t="str">
        <f>FormFields[[#This Row],[Form Name]]&amp;"/"&amp;FormFields[[#This Row],[Name]]</f>
        <v>Service/AddNewServiceForm/description</v>
      </c>
      <c r="Q24" s="96">
        <f>IF(FormFields[[#This Row],[No]]=0,"id",FormFields[[#This Row],[No]]+IF(ISNUMBER(VLOOKUP('Table Seed Map'!$A$12,SeedMap[],9,0)),VLOOKUP('Table Seed Map'!$A$12,SeedMap[],9,0),0))</f>
        <v>2111122</v>
      </c>
      <c r="R24" s="97">
        <f>IFERROR(VLOOKUP(FormFields[[#This Row],[Form Name]],ResourceForms[[FormName]:[ID]],4,0),"resource_form")</f>
        <v>2110106</v>
      </c>
      <c r="S24" s="98" t="s">
        <v>24</v>
      </c>
      <c r="T24" s="98" t="s">
        <v>1153</v>
      </c>
      <c r="U24" s="98" t="s">
        <v>102</v>
      </c>
      <c r="V24" s="99"/>
      <c r="W24" s="99"/>
      <c r="X24" s="99"/>
      <c r="Y24" s="99"/>
      <c r="Z24" s="100" t="str">
        <f>'Table Seed Map'!$A$13&amp;"-"&amp;FormFields[[#This Row],[NO2]]</f>
        <v>Field Data-22</v>
      </c>
      <c r="AA24" s="101">
        <f>COUNTIFS($AB$1:FormFields[[#This Row],[Exists]],1)-1</f>
        <v>22</v>
      </c>
      <c r="AB24" s="101">
        <f>IF(AND(FormFields[[#This Row],[Attribute]]="",FormFields[[#This Row],[Rel]]=""),0,1)</f>
        <v>1</v>
      </c>
      <c r="AC24" s="101">
        <f>IF(FormFields[[#This Row],[NO2]]=0,"id",FormFields[[#This Row],[NO2]]+IF(ISNUMBER(VLOOKUP('Table Seed Map'!$A$13,SeedMap[],9,0)),VLOOKUP('Table Seed Map'!$A$13,SeedMap[],9,0),0))</f>
        <v>2112122</v>
      </c>
      <c r="AD24" s="102">
        <f>IF(FormFields[[#This Row],[ID]]="id","form_field",FormFields[[#This Row],[ID]])</f>
        <v>2111122</v>
      </c>
      <c r="AE24" s="101" t="str">
        <f>IF(FormFields[[#This Row],[No]]=0,"attribute",FormFields[[#This Row],[Name]])</f>
        <v>description</v>
      </c>
      <c r="AF24" s="103" t="str">
        <f>IF(FormFields[[#This Row],[NO2]]=0,"relation",IF(FormFields[[#This Row],[Rel]]="","",VLOOKUP(FormFields[[#This Row],[Rel]],RelationTable[[Display]:[RELID]],2,0)))</f>
        <v/>
      </c>
      <c r="AG24" s="103" t="str">
        <f>IF(FormFields[[#This Row],[NO2]]=0,"nest_relation1",IF(FormFields[[#This Row],[Rel1]]="","",VLOOKUP(FormFields[[#This Row],[Rel1]],RelationTable[[Display]:[RELID]],2,0)))</f>
        <v/>
      </c>
      <c r="AH24" s="103" t="str">
        <f>IF(FormFields[[#This Row],[NO2]]=0,"nest_relation2",IF(FormFields[[#This Row],[Rel2]]="","",VLOOKUP(FormFields[[#This Row],[Rel2]],RelationTable[[Display]:[RELID]],2,0)))</f>
        <v/>
      </c>
      <c r="AI24" s="103" t="str">
        <f>IF(FormFields[[#This Row],[NO2]]=0,"nest_relation3",IF(FormFields[[#This Row],[Rel3]]="","",VLOOKUP(FormFields[[#This Row],[Rel3]],RelationTable[[Display]:[RELID]],2,0)))</f>
        <v/>
      </c>
      <c r="AJ24" s="96">
        <f>IF(OR(FormFields[[#This Row],[Option Type]]="",FormFields[[#This Row],[Option Type]]="type"),0,1)</f>
        <v>0</v>
      </c>
      <c r="AK24" s="96" t="str">
        <f>'Table Seed Map'!$A$14&amp;"-"&amp;FormFields[[#This Row],[NO4]]</f>
        <v>Field Options-2</v>
      </c>
      <c r="AL24" s="96">
        <f>COUNTIF($AJ$2:FormFields[[#This Row],[Exists FO]],1)</f>
        <v>2</v>
      </c>
      <c r="AM24" s="96">
        <f>IF(FormFields[[#This Row],[NO4]]=0,"id",FormFields[[#This Row],[NO4]]+IF(ISNUMBER(VLOOKUP('Table Seed Map'!$A$14,SeedMap[],9,0)),VLOOKUP('Table Seed Map'!$A$14,SeedMap[],9,0),0))</f>
        <v>2113102</v>
      </c>
      <c r="AN24" s="104">
        <f>IF(FormFields[[#This Row],[ID]]="id","form_field",FormFields[[#This Row],[ID]])</f>
        <v>2111122</v>
      </c>
      <c r="AO24" s="105"/>
      <c r="AP24" s="105"/>
      <c r="AQ24" s="105"/>
      <c r="AR24" s="105"/>
      <c r="AS24" s="105"/>
      <c r="AT24" s="96">
        <f>IF(OR(FormFields[[#This Row],[Colspan]]="",FormFields[[#This Row],[Colspan]]="colspan"),0,1)</f>
        <v>0</v>
      </c>
      <c r="AU24" s="96" t="str">
        <f>'Table Seed Map'!$A$19&amp;"-"&amp;FormFields[[#This Row],[NO8]]</f>
        <v>Form Layout-7</v>
      </c>
      <c r="AV24" s="96">
        <f>COUNTIF($AT$1:FormFields[[#This Row],[Exists FL]],1)</f>
        <v>7</v>
      </c>
      <c r="AW2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96">
        <f>[Form]</f>
        <v>2110106</v>
      </c>
      <c r="AY24" s="96">
        <f>IF(FormFields[[#This Row],[ID]]="id","form_field",FormFields[[#This Row],[ID]])</f>
        <v>2111122</v>
      </c>
      <c r="AZ24" s="106"/>
      <c r="BA24" s="104">
        <f>FormFields[[#This Row],[ID]]</f>
        <v>2111122</v>
      </c>
      <c r="BC24" s="62" t="s">
        <v>1266</v>
      </c>
      <c r="BD24" s="63" t="str">
        <f>'Table Seed Map'!$A$15&amp;"-"&amp;(-1+COUNTA($BC$1:FieldAttrs[[#This Row],[ATTR Field]]))</f>
        <v>Field Attrs-22</v>
      </c>
      <c r="BE24" s="69">
        <f>IF(FieldAttrs[[#This Row],[ATTR Field]]="","id",-1+COUNTA($BC$1:FieldAttrs[[#This Row],[ATTR Field]])+VLOOKUP('Table Seed Map'!$A$15,SeedMap[],9,0))</f>
        <v>2114122</v>
      </c>
      <c r="BF24" s="104">
        <f>IFERROR(VLOOKUP([ATTR Field],FormFields[[Field Name]:[ID]],2,0),"form_field")</f>
        <v>2111132</v>
      </c>
      <c r="BG24" s="104" t="s">
        <v>1193</v>
      </c>
      <c r="BH24" s="104">
        <v>4</v>
      </c>
    </row>
    <row r="25" spans="1:60">
      <c r="A25" s="69" t="str">
        <f>'Table Seed Map'!$A$11&amp;"-"&amp;(COUNTA($F$1:ResourceForms[[#This Row],[Resource]])-2)</f>
        <v>Resource Forms-23</v>
      </c>
      <c r="B25" s="69" t="str">
        <f>ResourceForms[[#This Row],[Resource Name]]&amp;"/"&amp;ResourceForms[[#This Row],[Name]]</f>
        <v>HubShift/NewHubShiftProcessForm</v>
      </c>
      <c r="C25" s="69">
        <f>COUNTA($A$1:ResourceForms[[#This Row],[Primary]])-2</f>
        <v>23</v>
      </c>
      <c r="D25" s="14" t="s">
        <v>792</v>
      </c>
      <c r="E25" s="69">
        <f>IF(ResourceForms[[#This Row],[No]]=0,"id",ResourceForms[[#This Row],[No]]+IF(ISNUMBER(VLOOKUP('Table Seed Map'!$A$11,SeedMap[],9,0)),VLOOKUP('Table Seed Map'!$A$11,SeedMap[],9,0),0))</f>
        <v>2110123</v>
      </c>
      <c r="F25" s="69">
        <f>IFERROR(VLOOKUP(ResourceForms[[#This Row],[Resource Name]],ResourceTable[[RName]:[No]],3,0),"resource")</f>
        <v>2106127</v>
      </c>
      <c r="G25" s="63" t="s">
        <v>1287</v>
      </c>
      <c r="H25" s="69"/>
      <c r="I25" s="63" t="s">
        <v>914</v>
      </c>
      <c r="J25" s="63" t="s">
        <v>1135</v>
      </c>
      <c r="K25" s="67">
        <f>[ID]</f>
        <v>2110123</v>
      </c>
      <c r="M25" s="95" t="str">
        <f>'Table Seed Map'!$A$12&amp;"-"&amp;FormFields[[#This Row],[No]]</f>
        <v>Form Fields-23</v>
      </c>
      <c r="N25" s="81" t="s">
        <v>1185</v>
      </c>
      <c r="O25" s="96">
        <f>COUNTA($N$1:FormFields[[#This Row],[Form Name]])-1</f>
        <v>23</v>
      </c>
      <c r="P25" s="95" t="str">
        <f>FormFields[[#This Row],[Form Name]]&amp;"/"&amp;FormFields[[#This Row],[Name]]</f>
        <v>Service/AddNewServiceForm/status</v>
      </c>
      <c r="Q25" s="96">
        <f>IF(FormFields[[#This Row],[No]]=0,"id",FormFields[[#This Row],[No]]+IF(ISNUMBER(VLOOKUP('Table Seed Map'!$A$12,SeedMap[],9,0)),VLOOKUP('Table Seed Map'!$A$12,SeedMap[],9,0),0))</f>
        <v>2111123</v>
      </c>
      <c r="R25" s="97">
        <f>IFERROR(VLOOKUP(FormFields[[#This Row],[Form Name]],ResourceForms[[FormName]:[ID]],4,0),"resource_form")</f>
        <v>2110106</v>
      </c>
      <c r="S25" s="98" t="s">
        <v>804</v>
      </c>
      <c r="T25" s="98" t="s">
        <v>1189</v>
      </c>
      <c r="U25" s="98" t="s">
        <v>1190</v>
      </c>
      <c r="V25" s="99"/>
      <c r="W25" s="99"/>
      <c r="X25" s="99"/>
      <c r="Y25" s="99"/>
      <c r="Z25" s="100" t="str">
        <f>'Table Seed Map'!$A$13&amp;"-"&amp;FormFields[[#This Row],[NO2]]</f>
        <v>Field Data-23</v>
      </c>
      <c r="AA25" s="101">
        <f>COUNTIFS($AB$1:FormFields[[#This Row],[Exists]],1)-1</f>
        <v>23</v>
      </c>
      <c r="AB25" s="101">
        <f>IF(AND(FormFields[[#This Row],[Attribute]]="",FormFields[[#This Row],[Rel]]=""),0,1)</f>
        <v>1</v>
      </c>
      <c r="AC25" s="101">
        <f>IF(FormFields[[#This Row],[NO2]]=0,"id",FormFields[[#This Row],[NO2]]+IF(ISNUMBER(VLOOKUP('Table Seed Map'!$A$13,SeedMap[],9,0)),VLOOKUP('Table Seed Map'!$A$13,SeedMap[],9,0),0))</f>
        <v>2112123</v>
      </c>
      <c r="AD25" s="102">
        <f>IF(FormFields[[#This Row],[ID]]="id","form_field",FormFields[[#This Row],[ID]])</f>
        <v>2111123</v>
      </c>
      <c r="AE25" s="101" t="str">
        <f>IF(FormFields[[#This Row],[No]]=0,"attribute",FormFields[[#This Row],[Name]])</f>
        <v>status</v>
      </c>
      <c r="AF25" s="103" t="str">
        <f>IF(FormFields[[#This Row],[NO2]]=0,"relation",IF(FormFields[[#This Row],[Rel]]="","",VLOOKUP(FormFields[[#This Row],[Rel]],RelationTable[[Display]:[RELID]],2,0)))</f>
        <v/>
      </c>
      <c r="AG25" s="103" t="str">
        <f>IF(FormFields[[#This Row],[NO2]]=0,"nest_relation1",IF(FormFields[[#This Row],[Rel1]]="","",VLOOKUP(FormFields[[#This Row],[Rel1]],RelationTable[[Display]:[RELID]],2,0)))</f>
        <v/>
      </c>
      <c r="AH25" s="103" t="str">
        <f>IF(FormFields[[#This Row],[NO2]]=0,"nest_relation2",IF(FormFields[[#This Row],[Rel2]]="","",VLOOKUP(FormFields[[#This Row],[Rel2]],RelationTable[[Display]:[RELID]],2,0)))</f>
        <v/>
      </c>
      <c r="AI25" s="103" t="str">
        <f>IF(FormFields[[#This Row],[NO2]]=0,"nest_relation3",IF(FormFields[[#This Row],[Rel3]]="","",VLOOKUP(FormFields[[#This Row],[Rel3]],RelationTable[[Display]:[RELID]],2,0)))</f>
        <v/>
      </c>
      <c r="AJ25" s="96">
        <f>IF(OR(FormFields[[#This Row],[Option Type]]="",FormFields[[#This Row],[Option Type]]="type"),0,1)</f>
        <v>1</v>
      </c>
      <c r="AK25" s="96" t="str">
        <f>'Table Seed Map'!$A$14&amp;"-"&amp;FormFields[[#This Row],[NO4]]</f>
        <v>Field Options-3</v>
      </c>
      <c r="AL25" s="96">
        <f>COUNTIF($AJ$2:FormFields[[#This Row],[Exists FO]],1)</f>
        <v>3</v>
      </c>
      <c r="AM25" s="96">
        <f>IF(FormFields[[#This Row],[NO4]]=0,"id",FormFields[[#This Row],[NO4]]+IF(ISNUMBER(VLOOKUP('Table Seed Map'!$A$14,SeedMap[],9,0)),VLOOKUP('Table Seed Map'!$A$14,SeedMap[],9,0),0))</f>
        <v>2113103</v>
      </c>
      <c r="AN25" s="104">
        <f>IF(FormFields[[#This Row],[ID]]="id","form_field",FormFields[[#This Row],[ID]])</f>
        <v>2111123</v>
      </c>
      <c r="AO25" s="105" t="s">
        <v>1191</v>
      </c>
      <c r="AP25" s="105"/>
      <c r="AQ25" s="105"/>
      <c r="AR25" s="105"/>
      <c r="AS25" s="105"/>
      <c r="AT25" s="96">
        <f>IF(OR(FormFields[[#This Row],[Colspan]]="",FormFields[[#This Row],[Colspan]]="colspan"),0,1)</f>
        <v>0</v>
      </c>
      <c r="AU25" s="96" t="str">
        <f>'Table Seed Map'!$A$19&amp;"-"&amp;FormFields[[#This Row],[NO8]]</f>
        <v>Form Layout-7</v>
      </c>
      <c r="AV25" s="96">
        <f>COUNTIF($AT$1:FormFields[[#This Row],[Exists FL]],1)</f>
        <v>7</v>
      </c>
      <c r="AW2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96">
        <f>[Form]</f>
        <v>2110106</v>
      </c>
      <c r="AY25" s="96">
        <f>IF(FormFields[[#This Row],[ID]]="id","form_field",FormFields[[#This Row],[ID]])</f>
        <v>2111123</v>
      </c>
      <c r="AZ25" s="106"/>
      <c r="BA25" s="104">
        <f>FormFields[[#This Row],[ID]]</f>
        <v>2111123</v>
      </c>
      <c r="BC25" s="62" t="s">
        <v>1230</v>
      </c>
      <c r="BD25" s="63" t="str">
        <f>'Table Seed Map'!$A$15&amp;"-"&amp;(-1+COUNTA($BC$1:FieldAttrs[[#This Row],[ATTR Field]]))</f>
        <v>Field Attrs-23</v>
      </c>
      <c r="BE25" s="69">
        <f>IF(FieldAttrs[[#This Row],[ATTR Field]]="","id",-1+COUNTA($BC$1:FieldAttrs[[#This Row],[ATTR Field]])+VLOOKUP('Table Seed Map'!$A$15,SeedMap[],9,0))</f>
        <v>2114123</v>
      </c>
      <c r="BF25" s="104">
        <f>IFERROR(VLOOKUP([ATTR Field],FormFields[[Field Name]:[ID]],2,0),"form_field")</f>
        <v>2111133</v>
      </c>
      <c r="BG25" s="104" t="s">
        <v>1193</v>
      </c>
      <c r="BH25" s="104">
        <v>4</v>
      </c>
    </row>
    <row r="26" spans="1:60">
      <c r="A26" s="69" t="str">
        <f>'Table Seed Map'!$A$11&amp;"-"&amp;(COUNTA($F$1:ResourceForms[[#This Row],[Resource]])-2)</f>
        <v>Resource Forms-24</v>
      </c>
      <c r="B26" s="69" t="str">
        <f>ResourceForms[[#This Row],[Resource Name]]&amp;"/"&amp;ResourceForms[[#This Row],[Name]]</f>
        <v>Employee/UpdateEmployeeDetails</v>
      </c>
      <c r="C26" s="69">
        <f>COUNTA($A$1:ResourceForms[[#This Row],[Primary]])-2</f>
        <v>24</v>
      </c>
      <c r="D26" s="14" t="s">
        <v>1337</v>
      </c>
      <c r="E26" s="69">
        <f>IF(ResourceForms[[#This Row],[No]]=0,"id",ResourceForms[[#This Row],[No]]+IF(ISNUMBER(VLOOKUP('Table Seed Map'!$A$11,SeedMap[],9,0)),VLOOKUP('Table Seed Map'!$A$11,SeedMap[],9,0),0))</f>
        <v>2110124</v>
      </c>
      <c r="F26" s="69">
        <f>IFERROR(VLOOKUP(ResourceForms[[#This Row],[Resource Name]],ResourceTable[[RName]:[No]],3,0),"resource")</f>
        <v>2106104</v>
      </c>
      <c r="G26" s="63" t="s">
        <v>1509</v>
      </c>
      <c r="H26" s="69"/>
      <c r="I26" s="63" t="s">
        <v>1512</v>
      </c>
      <c r="J26" s="63" t="s">
        <v>1513</v>
      </c>
      <c r="K26" s="67">
        <f>[ID]</f>
        <v>2110124</v>
      </c>
      <c r="M26" s="95" t="str">
        <f>'Table Seed Map'!$A$12&amp;"-"&amp;FormFields[[#This Row],[No]]</f>
        <v>Form Fields-24</v>
      </c>
      <c r="N26" s="81" t="s">
        <v>1188</v>
      </c>
      <c r="O26" s="96">
        <f>COUNTA($N$1:FormFields[[#This Row],[Form Name]])-1</f>
        <v>24</v>
      </c>
      <c r="P26" s="95" t="str">
        <f>FormFields[[#This Row],[Form Name]]&amp;"/"&amp;FormFields[[#This Row],[Name]]</f>
        <v>Item/AddNewItemForm/name</v>
      </c>
      <c r="Q26" s="96">
        <f>IF(FormFields[[#This Row],[No]]=0,"id",FormFields[[#This Row],[No]]+IF(ISNUMBER(VLOOKUP('Table Seed Map'!$A$12,SeedMap[],9,0)),VLOOKUP('Table Seed Map'!$A$12,SeedMap[],9,0),0))</f>
        <v>2111124</v>
      </c>
      <c r="R26" s="97">
        <f>IFERROR(VLOOKUP(FormFields[[#This Row],[Form Name]],ResourceForms[[FormName]:[ID]],4,0),"resource_form")</f>
        <v>2110107</v>
      </c>
      <c r="S26" s="98" t="s">
        <v>23</v>
      </c>
      <c r="T26" s="98" t="s">
        <v>1137</v>
      </c>
      <c r="U26" s="98" t="s">
        <v>1</v>
      </c>
      <c r="V26" s="99"/>
      <c r="W26" s="99"/>
      <c r="X26" s="99"/>
      <c r="Y26" s="99"/>
      <c r="Z26" s="100" t="str">
        <f>'Table Seed Map'!$A$13&amp;"-"&amp;FormFields[[#This Row],[NO2]]</f>
        <v>Field Data-24</v>
      </c>
      <c r="AA26" s="101">
        <f>COUNTIFS($AB$1:FormFields[[#This Row],[Exists]],1)-1</f>
        <v>24</v>
      </c>
      <c r="AB26" s="101">
        <f>IF(AND(FormFields[[#This Row],[Attribute]]="",FormFields[[#This Row],[Rel]]=""),0,1)</f>
        <v>1</v>
      </c>
      <c r="AC26" s="101">
        <f>IF(FormFields[[#This Row],[NO2]]=0,"id",FormFields[[#This Row],[NO2]]+IF(ISNUMBER(VLOOKUP('Table Seed Map'!$A$13,SeedMap[],9,0)),VLOOKUP('Table Seed Map'!$A$13,SeedMap[],9,0),0))</f>
        <v>2112124</v>
      </c>
      <c r="AD26" s="102">
        <f>IF(FormFields[[#This Row],[ID]]="id","form_field",FormFields[[#This Row],[ID]])</f>
        <v>2111124</v>
      </c>
      <c r="AE26" s="101" t="str">
        <f>IF(FormFields[[#This Row],[No]]=0,"attribute",FormFields[[#This Row],[Name]])</f>
        <v>name</v>
      </c>
      <c r="AF26" s="103" t="str">
        <f>IF(FormFields[[#This Row],[NO2]]=0,"relation",IF(FormFields[[#This Row],[Rel]]="","",VLOOKUP(FormFields[[#This Row],[Rel]],RelationTable[[Display]:[RELID]],2,0)))</f>
        <v/>
      </c>
      <c r="AG26" s="103" t="str">
        <f>IF(FormFields[[#This Row],[NO2]]=0,"nest_relation1",IF(FormFields[[#This Row],[Rel1]]="","",VLOOKUP(FormFields[[#This Row],[Rel1]],RelationTable[[Display]:[RELID]],2,0)))</f>
        <v/>
      </c>
      <c r="AH26" s="103" t="str">
        <f>IF(FormFields[[#This Row],[NO2]]=0,"nest_relation2",IF(FormFields[[#This Row],[Rel2]]="","",VLOOKUP(FormFields[[#This Row],[Rel2]],RelationTable[[Display]:[RELID]],2,0)))</f>
        <v/>
      </c>
      <c r="AI26" s="103" t="str">
        <f>IF(FormFields[[#This Row],[NO2]]=0,"nest_relation3",IF(FormFields[[#This Row],[Rel3]]="","",VLOOKUP(FormFields[[#This Row],[Rel3]],RelationTable[[Display]:[RELID]],2,0)))</f>
        <v/>
      </c>
      <c r="AJ26" s="96">
        <f>IF(OR(FormFields[[#This Row],[Option Type]]="",FormFields[[#This Row],[Option Type]]="type"),0,1)</f>
        <v>0</v>
      </c>
      <c r="AK26" s="96" t="str">
        <f>'Table Seed Map'!$A$14&amp;"-"&amp;FormFields[[#This Row],[NO4]]</f>
        <v>Field Options-3</v>
      </c>
      <c r="AL26" s="96">
        <f>COUNTIF($AJ$2:FormFields[[#This Row],[Exists FO]],1)</f>
        <v>3</v>
      </c>
      <c r="AM26" s="96">
        <f>IF(FormFields[[#This Row],[NO4]]=0,"id",FormFields[[#This Row],[NO4]]+IF(ISNUMBER(VLOOKUP('Table Seed Map'!$A$14,SeedMap[],9,0)),VLOOKUP('Table Seed Map'!$A$14,SeedMap[],9,0),0))</f>
        <v>2113103</v>
      </c>
      <c r="AN26" s="104">
        <f>IF(FormFields[[#This Row],[ID]]="id","form_field",FormFields[[#This Row],[ID]])</f>
        <v>2111124</v>
      </c>
      <c r="AO26" s="105"/>
      <c r="AP26" s="105"/>
      <c r="AQ26" s="105"/>
      <c r="AR26" s="105"/>
      <c r="AS26" s="105"/>
      <c r="AT26" s="96">
        <f>IF(OR(FormFields[[#This Row],[Colspan]]="",FormFields[[#This Row],[Colspan]]="colspan"),0,1)</f>
        <v>0</v>
      </c>
      <c r="AU26" s="96" t="str">
        <f>'Table Seed Map'!$A$19&amp;"-"&amp;FormFields[[#This Row],[NO8]]</f>
        <v>Form Layout-7</v>
      </c>
      <c r="AV26" s="96">
        <f>COUNTIF($AT$1:FormFields[[#This Row],[Exists FL]],1)</f>
        <v>7</v>
      </c>
      <c r="AW2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96">
        <f>[Form]</f>
        <v>2110107</v>
      </c>
      <c r="AY26" s="96">
        <f>IF(FormFields[[#This Row],[ID]]="id","form_field",FormFields[[#This Row],[ID]])</f>
        <v>2111124</v>
      </c>
      <c r="AZ26" s="106"/>
      <c r="BA26" s="104">
        <f>FormFields[[#This Row],[ID]]</f>
        <v>2111124</v>
      </c>
      <c r="BC26" s="62" t="s">
        <v>1371</v>
      </c>
      <c r="BD26" s="63" t="str">
        <f>'Table Seed Map'!$A$15&amp;"-"&amp;(-1+COUNTA($BC$1:FieldAttrs[[#This Row],[ATTR Field]]))</f>
        <v>Field Attrs-24</v>
      </c>
      <c r="BE26" s="69">
        <f>IF(FieldAttrs[[#This Row],[ATTR Field]]="","id",-1+COUNTA($BC$1:FieldAttrs[[#This Row],[ATTR Field]])+VLOOKUP('Table Seed Map'!$A$15,SeedMap[],9,0))</f>
        <v>2114124</v>
      </c>
      <c r="BF26" s="104">
        <f>IFERROR(VLOOKUP([ATTR Field],FormFields[[Field Name]:[ID]],2,0),"form_field")</f>
        <v>2111134</v>
      </c>
      <c r="BG26" s="104" t="s">
        <v>1193</v>
      </c>
      <c r="BH26" s="104">
        <v>4</v>
      </c>
    </row>
    <row r="27" spans="1:60">
      <c r="A27" s="69" t="str">
        <f>'Table Seed Map'!$A$11&amp;"-"&amp;(COUNTA($F$1:ResourceForms[[#This Row],[Resource]])-2)</f>
        <v>Resource Forms-25</v>
      </c>
      <c r="B27" s="69" t="str">
        <f>ResourceForms[[#This Row],[Resource Name]]&amp;"/"&amp;ResourceForms[[#This Row],[Name]]</f>
        <v>Pricelist/EditPricelistForm</v>
      </c>
      <c r="C27" s="69">
        <f>COUNTA($A$1:ResourceForms[[#This Row],[Primary]])-2</f>
        <v>25</v>
      </c>
      <c r="D27" s="14" t="s">
        <v>783</v>
      </c>
      <c r="E27" s="69">
        <f>IF(ResourceForms[[#This Row],[No]]=0,"id",ResourceForms[[#This Row],[No]]+IF(ISNUMBER(VLOOKUP('Table Seed Map'!$A$11,SeedMap[],9,0)),VLOOKUP('Table Seed Map'!$A$11,SeedMap[],9,0),0))</f>
        <v>2110125</v>
      </c>
      <c r="F27" s="69">
        <f>IFERROR(VLOOKUP(ResourceForms[[#This Row],[Resource Name]],ResourceTable[[RName]:[No]],3,0),"resource")</f>
        <v>2106115</v>
      </c>
      <c r="G27" s="63" t="s">
        <v>1749</v>
      </c>
      <c r="H27" s="69"/>
      <c r="I27" s="63" t="s">
        <v>1746</v>
      </c>
      <c r="J27" s="63" t="s">
        <v>335</v>
      </c>
      <c r="K27" s="67">
        <f>[ID]</f>
        <v>2110125</v>
      </c>
      <c r="M27" s="95" t="str">
        <f>'Table Seed Map'!$A$12&amp;"-"&amp;FormFields[[#This Row],[No]]</f>
        <v>Form Fields-25</v>
      </c>
      <c r="N27" s="81" t="s">
        <v>1188</v>
      </c>
      <c r="O27" s="96">
        <f>COUNTA($N$1:FormFields[[#This Row],[Form Name]])-1</f>
        <v>25</v>
      </c>
      <c r="P27" s="95" t="str">
        <f>FormFields[[#This Row],[Form Name]]&amp;"/"&amp;FormFields[[#This Row],[Name]]</f>
        <v>Item/AddNewItemForm/description</v>
      </c>
      <c r="Q27" s="96">
        <f>IF(FormFields[[#This Row],[No]]=0,"id",FormFields[[#This Row],[No]]+IF(ISNUMBER(VLOOKUP('Table Seed Map'!$A$12,SeedMap[],9,0)),VLOOKUP('Table Seed Map'!$A$12,SeedMap[],9,0),0))</f>
        <v>2111125</v>
      </c>
      <c r="R27" s="97">
        <f>IFERROR(VLOOKUP(FormFields[[#This Row],[Form Name]],ResourceForms[[FormName]:[ID]],4,0),"resource_form")</f>
        <v>2110107</v>
      </c>
      <c r="S27" s="98" t="s">
        <v>24</v>
      </c>
      <c r="T27" s="98" t="s">
        <v>1153</v>
      </c>
      <c r="U27" s="98" t="s">
        <v>102</v>
      </c>
      <c r="V27" s="99"/>
      <c r="W27" s="99"/>
      <c r="X27" s="99"/>
      <c r="Y27" s="99"/>
      <c r="Z27" s="100" t="str">
        <f>'Table Seed Map'!$A$13&amp;"-"&amp;FormFields[[#This Row],[NO2]]</f>
        <v>Field Data-25</v>
      </c>
      <c r="AA27" s="101">
        <f>COUNTIFS($AB$1:FormFields[[#This Row],[Exists]],1)-1</f>
        <v>25</v>
      </c>
      <c r="AB27" s="101">
        <f>IF(AND(FormFields[[#This Row],[Attribute]]="",FormFields[[#This Row],[Rel]]=""),0,1)</f>
        <v>1</v>
      </c>
      <c r="AC27" s="101">
        <f>IF(FormFields[[#This Row],[NO2]]=0,"id",FormFields[[#This Row],[NO2]]+IF(ISNUMBER(VLOOKUP('Table Seed Map'!$A$13,SeedMap[],9,0)),VLOOKUP('Table Seed Map'!$A$13,SeedMap[],9,0),0))</f>
        <v>2112125</v>
      </c>
      <c r="AD27" s="102">
        <f>IF(FormFields[[#This Row],[ID]]="id","form_field",FormFields[[#This Row],[ID]])</f>
        <v>2111125</v>
      </c>
      <c r="AE27" s="101" t="str">
        <f>IF(FormFields[[#This Row],[No]]=0,"attribute",FormFields[[#This Row],[Name]])</f>
        <v>description</v>
      </c>
      <c r="AF27" s="103" t="str">
        <f>IF(FormFields[[#This Row],[NO2]]=0,"relation",IF(FormFields[[#This Row],[Rel]]="","",VLOOKUP(FormFields[[#This Row],[Rel]],RelationTable[[Display]:[RELID]],2,0)))</f>
        <v/>
      </c>
      <c r="AG27" s="103" t="str">
        <f>IF(FormFields[[#This Row],[NO2]]=0,"nest_relation1",IF(FormFields[[#This Row],[Rel1]]="","",VLOOKUP(FormFields[[#This Row],[Rel1]],RelationTable[[Display]:[RELID]],2,0)))</f>
        <v/>
      </c>
      <c r="AH27" s="103" t="str">
        <f>IF(FormFields[[#This Row],[NO2]]=0,"nest_relation2",IF(FormFields[[#This Row],[Rel2]]="","",VLOOKUP(FormFields[[#This Row],[Rel2]],RelationTable[[Display]:[RELID]],2,0)))</f>
        <v/>
      </c>
      <c r="AI27" s="103" t="str">
        <f>IF(FormFields[[#This Row],[NO2]]=0,"nest_relation3",IF(FormFields[[#This Row],[Rel3]]="","",VLOOKUP(FormFields[[#This Row],[Rel3]],RelationTable[[Display]:[RELID]],2,0)))</f>
        <v/>
      </c>
      <c r="AJ27" s="96">
        <f>IF(OR(FormFields[[#This Row],[Option Type]]="",FormFields[[#This Row],[Option Type]]="type"),0,1)</f>
        <v>0</v>
      </c>
      <c r="AK27" s="96" t="str">
        <f>'Table Seed Map'!$A$14&amp;"-"&amp;FormFields[[#This Row],[NO4]]</f>
        <v>Field Options-3</v>
      </c>
      <c r="AL27" s="96">
        <f>COUNTIF($AJ$2:FormFields[[#This Row],[Exists FO]],1)</f>
        <v>3</v>
      </c>
      <c r="AM27" s="96">
        <f>IF(FormFields[[#This Row],[NO4]]=0,"id",FormFields[[#This Row],[NO4]]+IF(ISNUMBER(VLOOKUP('Table Seed Map'!$A$14,SeedMap[],9,0)),VLOOKUP('Table Seed Map'!$A$14,SeedMap[],9,0),0))</f>
        <v>2113103</v>
      </c>
      <c r="AN27" s="104">
        <f>IF(FormFields[[#This Row],[ID]]="id","form_field",FormFields[[#This Row],[ID]])</f>
        <v>2111125</v>
      </c>
      <c r="AO27" s="105"/>
      <c r="AP27" s="105"/>
      <c r="AQ27" s="105"/>
      <c r="AR27" s="105"/>
      <c r="AS27" s="105"/>
      <c r="AT27" s="96">
        <f>IF(OR(FormFields[[#This Row],[Colspan]]="",FormFields[[#This Row],[Colspan]]="colspan"),0,1)</f>
        <v>0</v>
      </c>
      <c r="AU27" s="96" t="str">
        <f>'Table Seed Map'!$A$19&amp;"-"&amp;FormFields[[#This Row],[NO8]]</f>
        <v>Form Layout-7</v>
      </c>
      <c r="AV27" s="96">
        <f>COUNTIF($AT$1:FormFields[[#This Row],[Exists FL]],1)</f>
        <v>7</v>
      </c>
      <c r="AW2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96">
        <f>[Form]</f>
        <v>2110107</v>
      </c>
      <c r="AY27" s="96">
        <f>IF(FormFields[[#This Row],[ID]]="id","form_field",FormFields[[#This Row],[ID]])</f>
        <v>2111125</v>
      </c>
      <c r="AZ27" s="106"/>
      <c r="BA27" s="104">
        <f>FormFields[[#This Row],[ID]]</f>
        <v>2111125</v>
      </c>
      <c r="BC27" s="62" t="s">
        <v>1231</v>
      </c>
      <c r="BD27" s="63" t="str">
        <f>'Table Seed Map'!$A$15&amp;"-"&amp;(-1+COUNTA($BC$1:FieldAttrs[[#This Row],[ATTR Field]]))</f>
        <v>Field Attrs-25</v>
      </c>
      <c r="BE27" s="69">
        <f>IF(FieldAttrs[[#This Row],[ATTR Field]]="","id",-1+COUNTA($BC$1:FieldAttrs[[#This Row],[ATTR Field]])+VLOOKUP('Table Seed Map'!$A$15,SeedMap[],9,0))</f>
        <v>2114125</v>
      </c>
      <c r="BF27" s="104">
        <f>IFERROR(VLOOKUP([ATTR Field],FormFields[[Field Name]:[ID]],2,0),"form_field")</f>
        <v>2111135</v>
      </c>
      <c r="BG27" s="104" t="s">
        <v>1193</v>
      </c>
      <c r="BH27" s="104">
        <v>4</v>
      </c>
    </row>
    <row r="28" spans="1:60">
      <c r="A28" s="69" t="str">
        <f>'Table Seed Map'!$A$11&amp;"-"&amp;(COUNTA($F$1:ResourceForms[[#This Row],[Resource]])-2)</f>
        <v>Resource Forms-26</v>
      </c>
      <c r="B28" s="69" t="str">
        <f>ResourceForms[[#This Row],[Resource Name]]&amp;"/"&amp;ResourceForms[[#This Row],[Name]]</f>
        <v>Item/EditItemForm</v>
      </c>
      <c r="C28" s="69">
        <f>COUNTA($A$1:ResourceForms[[#This Row],[Primary]])-2</f>
        <v>26</v>
      </c>
      <c r="D28" s="107" t="s">
        <v>779</v>
      </c>
      <c r="E28" s="69">
        <f>IF(ResourceForms[[#This Row],[No]]=0,"id",ResourceForms[[#This Row],[No]]+IF(ISNUMBER(VLOOKUP('Table Seed Map'!$A$11,SeedMap[],9,0)),VLOOKUP('Table Seed Map'!$A$11,SeedMap[],9,0),0))</f>
        <v>2110126</v>
      </c>
      <c r="F28" s="69">
        <f>IFERROR(VLOOKUP(ResourceForms[[#This Row],[Resource Name]],ResourceTable[[RName]:[No]],3,0),"resource")</f>
        <v>2106109</v>
      </c>
      <c r="G28" s="63" t="s">
        <v>1763</v>
      </c>
      <c r="H28" s="69"/>
      <c r="I28" s="63" t="s">
        <v>1764</v>
      </c>
      <c r="J28" s="63" t="s">
        <v>1765</v>
      </c>
      <c r="K28" s="67">
        <f>[ID]</f>
        <v>2110126</v>
      </c>
      <c r="M28" s="95" t="str">
        <f>'Table Seed Map'!$A$12&amp;"-"&amp;FormFields[[#This Row],[No]]</f>
        <v>Form Fields-26</v>
      </c>
      <c r="N28" s="81" t="s">
        <v>1188</v>
      </c>
      <c r="O28" s="96">
        <f>COUNTA($N$1:FormFields[[#This Row],[Form Name]])-1</f>
        <v>26</v>
      </c>
      <c r="P28" s="95" t="str">
        <f>FormFields[[#This Row],[Form Name]]&amp;"/"&amp;FormFields[[#This Row],[Name]]</f>
        <v>Item/AddNewItemForm/status</v>
      </c>
      <c r="Q28" s="96">
        <f>IF(FormFields[[#This Row],[No]]=0,"id",FormFields[[#This Row],[No]]+IF(ISNUMBER(VLOOKUP('Table Seed Map'!$A$12,SeedMap[],9,0)),VLOOKUP('Table Seed Map'!$A$12,SeedMap[],9,0),0))</f>
        <v>2111126</v>
      </c>
      <c r="R28" s="97">
        <f>IFERROR(VLOOKUP(FormFields[[#This Row],[Form Name]],ResourceForms[[FormName]:[ID]],4,0),"resource_form")</f>
        <v>2110107</v>
      </c>
      <c r="S28" s="98" t="s">
        <v>804</v>
      </c>
      <c r="T28" s="98" t="s">
        <v>1189</v>
      </c>
      <c r="U28" s="98" t="s">
        <v>1190</v>
      </c>
      <c r="V28" s="99"/>
      <c r="W28" s="99"/>
      <c r="X28" s="99"/>
      <c r="Y28" s="99"/>
      <c r="Z28" s="100" t="str">
        <f>'Table Seed Map'!$A$13&amp;"-"&amp;FormFields[[#This Row],[NO2]]</f>
        <v>Field Data-26</v>
      </c>
      <c r="AA28" s="101">
        <f>COUNTIFS($AB$1:FormFields[[#This Row],[Exists]],1)-1</f>
        <v>26</v>
      </c>
      <c r="AB28" s="101">
        <f>IF(AND(FormFields[[#This Row],[Attribute]]="",FormFields[[#This Row],[Rel]]=""),0,1)</f>
        <v>1</v>
      </c>
      <c r="AC28" s="101">
        <f>IF(FormFields[[#This Row],[NO2]]=0,"id",FormFields[[#This Row],[NO2]]+IF(ISNUMBER(VLOOKUP('Table Seed Map'!$A$13,SeedMap[],9,0)),VLOOKUP('Table Seed Map'!$A$13,SeedMap[],9,0),0))</f>
        <v>2112126</v>
      </c>
      <c r="AD28" s="102">
        <f>IF(FormFields[[#This Row],[ID]]="id","form_field",FormFields[[#This Row],[ID]])</f>
        <v>2111126</v>
      </c>
      <c r="AE28" s="101" t="str">
        <f>IF(FormFields[[#This Row],[No]]=0,"attribute",FormFields[[#This Row],[Name]])</f>
        <v>status</v>
      </c>
      <c r="AF28" s="103" t="str">
        <f>IF(FormFields[[#This Row],[NO2]]=0,"relation",IF(FormFields[[#This Row],[Rel]]="","",VLOOKUP(FormFields[[#This Row],[Rel]],RelationTable[[Display]:[RELID]],2,0)))</f>
        <v/>
      </c>
      <c r="AG28" s="103" t="str">
        <f>IF(FormFields[[#This Row],[NO2]]=0,"nest_relation1",IF(FormFields[[#This Row],[Rel1]]="","",VLOOKUP(FormFields[[#This Row],[Rel1]],RelationTable[[Display]:[RELID]],2,0)))</f>
        <v/>
      </c>
      <c r="AH28" s="103" t="str">
        <f>IF(FormFields[[#This Row],[NO2]]=0,"nest_relation2",IF(FormFields[[#This Row],[Rel2]]="","",VLOOKUP(FormFields[[#This Row],[Rel2]],RelationTable[[Display]:[RELID]],2,0)))</f>
        <v/>
      </c>
      <c r="AI28" s="103" t="str">
        <f>IF(FormFields[[#This Row],[NO2]]=0,"nest_relation3",IF(FormFields[[#This Row],[Rel3]]="","",VLOOKUP(FormFields[[#This Row],[Rel3]],RelationTable[[Display]:[RELID]],2,0)))</f>
        <v/>
      </c>
      <c r="AJ28" s="96">
        <f>IF(OR(FormFields[[#This Row],[Option Type]]="",FormFields[[#This Row],[Option Type]]="type"),0,1)</f>
        <v>1</v>
      </c>
      <c r="AK28" s="96" t="str">
        <f>'Table Seed Map'!$A$14&amp;"-"&amp;FormFields[[#This Row],[NO4]]</f>
        <v>Field Options-4</v>
      </c>
      <c r="AL28" s="96">
        <f>COUNTIF($AJ$2:FormFields[[#This Row],[Exists FO]],1)</f>
        <v>4</v>
      </c>
      <c r="AM28" s="96">
        <f>IF(FormFields[[#This Row],[NO4]]=0,"id",FormFields[[#This Row],[NO4]]+IF(ISNUMBER(VLOOKUP('Table Seed Map'!$A$14,SeedMap[],9,0)),VLOOKUP('Table Seed Map'!$A$14,SeedMap[],9,0),0))</f>
        <v>2113104</v>
      </c>
      <c r="AN28" s="104">
        <f>IF(FormFields[[#This Row],[ID]]="id","form_field",FormFields[[#This Row],[ID]])</f>
        <v>2111126</v>
      </c>
      <c r="AO28" s="105" t="s">
        <v>1191</v>
      </c>
      <c r="AP28" s="105"/>
      <c r="AQ28" s="105"/>
      <c r="AR28" s="105"/>
      <c r="AS28" s="105"/>
      <c r="AT28" s="96">
        <f>IF(OR(FormFields[[#This Row],[Colspan]]="",FormFields[[#This Row],[Colspan]]="colspan"),0,1)</f>
        <v>0</v>
      </c>
      <c r="AU28" s="96" t="str">
        <f>'Table Seed Map'!$A$19&amp;"-"&amp;FormFields[[#This Row],[NO8]]</f>
        <v>Form Layout-7</v>
      </c>
      <c r="AV28" s="96">
        <f>COUNTIF($AT$1:FormFields[[#This Row],[Exists FL]],1)</f>
        <v>7</v>
      </c>
      <c r="AW2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96">
        <f>[Form]</f>
        <v>2110107</v>
      </c>
      <c r="AY28" s="96">
        <f>IF(FormFields[[#This Row],[ID]]="id","form_field",FormFields[[#This Row],[ID]])</f>
        <v>2111126</v>
      </c>
      <c r="AZ28" s="106"/>
      <c r="BA28" s="104">
        <f>FormFields[[#This Row],[ID]]</f>
        <v>2111126</v>
      </c>
      <c r="BC28" s="62" t="s">
        <v>1232</v>
      </c>
      <c r="BD28" s="63" t="str">
        <f>'Table Seed Map'!$A$15&amp;"-"&amp;(-1+COUNTA($BC$1:FieldAttrs[[#This Row],[ATTR Field]]))</f>
        <v>Field Attrs-26</v>
      </c>
      <c r="BE28" s="69">
        <f>IF(FieldAttrs[[#This Row],[ATTR Field]]="","id",-1+COUNTA($BC$1:FieldAttrs[[#This Row],[ATTR Field]])+VLOOKUP('Table Seed Map'!$A$15,SeedMap[],9,0))</f>
        <v>2114126</v>
      </c>
      <c r="BF28" s="104">
        <f>IFERROR(VLOOKUP([ATTR Field],FormFields[[Field Name]:[ID]],2,0),"form_field")</f>
        <v>2111136</v>
      </c>
      <c r="BG28" s="104" t="s">
        <v>1193</v>
      </c>
      <c r="BH28" s="104">
        <v>4</v>
      </c>
    </row>
    <row r="29" spans="1:60">
      <c r="A29" s="69" t="str">
        <f>'Table Seed Map'!$A$11&amp;"-"&amp;(COUNTA($F$1:ResourceForms[[#This Row],[Resource]])-2)</f>
        <v>Resource Forms-27</v>
      </c>
      <c r="B29" s="69" t="str">
        <f>ResourceForms[[#This Row],[Resource Name]]&amp;"/"&amp;ResourceForms[[#This Row],[Name]]</f>
        <v>Order/EditOrderForm</v>
      </c>
      <c r="C29" s="69">
        <f>COUNTA($A$1:ResourceForms[[#This Row],[Primary]])-2</f>
        <v>27</v>
      </c>
      <c r="D29" s="107" t="s">
        <v>787</v>
      </c>
      <c r="E29" s="69">
        <f>IF(ResourceForms[[#This Row],[No]]=0,"id",ResourceForms[[#This Row],[No]]+IF(ISNUMBER(VLOOKUP('Table Seed Map'!$A$11,SeedMap[],9,0)),VLOOKUP('Table Seed Map'!$A$11,SeedMap[],9,0),0))</f>
        <v>2110127</v>
      </c>
      <c r="F29" s="69">
        <f>IFERROR(VLOOKUP(ResourceForms[[#This Row],[Resource Name]],ResourceTable[[RName]:[No]],3,0),"resource")</f>
        <v>2106118</v>
      </c>
      <c r="G29" s="63" t="s">
        <v>1775</v>
      </c>
      <c r="H29" s="69"/>
      <c r="I29" s="63" t="s">
        <v>1776</v>
      </c>
      <c r="J29" s="63" t="s">
        <v>1777</v>
      </c>
      <c r="K29" s="67">
        <f>[ID]</f>
        <v>2110127</v>
      </c>
      <c r="M29" s="95" t="str">
        <f>'Table Seed Map'!$A$12&amp;"-"&amp;FormFields[[#This Row],[No]]</f>
        <v>Form Fields-27</v>
      </c>
      <c r="N29" s="81" t="s">
        <v>1200</v>
      </c>
      <c r="O29" s="96">
        <f>COUNTA($N$1:FormFields[[#This Row],[Form Name]])-1</f>
        <v>27</v>
      </c>
      <c r="P29" s="95" t="str">
        <f>FormFields[[#This Row],[Form Name]]&amp;"/"&amp;FormFields[[#This Row],[Name]]</f>
        <v>ItemService/AddServicesToItemForm/item</v>
      </c>
      <c r="Q29" s="96">
        <f>IF(FormFields[[#This Row],[No]]=0,"id",FormFields[[#This Row],[No]]+IF(ISNUMBER(VLOOKUP('Table Seed Map'!$A$12,SeedMap[],9,0)),VLOOKUP('Table Seed Map'!$A$12,SeedMap[],9,0),0))</f>
        <v>2111127</v>
      </c>
      <c r="R29" s="97">
        <f>IFERROR(VLOOKUP(FormFields[[#This Row],[Form Name]],ResourceForms[[FormName]:[ID]],4,0),"resource_form")</f>
        <v>2110108</v>
      </c>
      <c r="S29" s="98" t="s">
        <v>817</v>
      </c>
      <c r="T29" s="98" t="s">
        <v>1189</v>
      </c>
      <c r="U29" s="98" t="s">
        <v>1201</v>
      </c>
      <c r="V29" s="99"/>
      <c r="W29" s="99"/>
      <c r="X29" s="99"/>
      <c r="Y29" s="99"/>
      <c r="Z29" s="100" t="str">
        <f>'Table Seed Map'!$A$13&amp;"-"&amp;FormFields[[#This Row],[NO2]]</f>
        <v>Field Data-27</v>
      </c>
      <c r="AA29" s="101">
        <f>COUNTIFS($AB$1:FormFields[[#This Row],[Exists]],1)-1</f>
        <v>27</v>
      </c>
      <c r="AB29" s="101">
        <f>IF(AND(FormFields[[#This Row],[Attribute]]="",FormFields[[#This Row],[Rel]]=""),0,1)</f>
        <v>1</v>
      </c>
      <c r="AC29" s="101">
        <f>IF(FormFields[[#This Row],[NO2]]=0,"id",FormFields[[#This Row],[NO2]]+IF(ISNUMBER(VLOOKUP('Table Seed Map'!$A$13,SeedMap[],9,0)),VLOOKUP('Table Seed Map'!$A$13,SeedMap[],9,0),0))</f>
        <v>2112127</v>
      </c>
      <c r="AD29" s="102">
        <f>IF(FormFields[[#This Row],[ID]]="id","form_field",FormFields[[#This Row],[ID]])</f>
        <v>2111127</v>
      </c>
      <c r="AE29" s="101" t="str">
        <f>IF(FormFields[[#This Row],[No]]=0,"attribute",FormFields[[#This Row],[Name]])</f>
        <v>item</v>
      </c>
      <c r="AF29" s="103" t="str">
        <f>IF(FormFields[[#This Row],[NO2]]=0,"relation",IF(FormFields[[#This Row],[Rel]]="","",VLOOKUP(FormFields[[#This Row],[Rel]],RelationTable[[Display]:[RELID]],2,0)))</f>
        <v/>
      </c>
      <c r="AG29" s="103" t="str">
        <f>IF(FormFields[[#This Row],[NO2]]=0,"nest_relation1",IF(FormFields[[#This Row],[Rel1]]="","",VLOOKUP(FormFields[[#This Row],[Rel1]],RelationTable[[Display]:[RELID]],2,0)))</f>
        <v/>
      </c>
      <c r="AH29" s="103" t="str">
        <f>IF(FormFields[[#This Row],[NO2]]=0,"nest_relation2",IF(FormFields[[#This Row],[Rel2]]="","",VLOOKUP(FormFields[[#This Row],[Rel2]],RelationTable[[Display]:[RELID]],2,0)))</f>
        <v/>
      </c>
      <c r="AI29" s="103" t="str">
        <f>IF(FormFields[[#This Row],[NO2]]=0,"nest_relation3",IF(FormFields[[#This Row],[Rel3]]="","",VLOOKUP(FormFields[[#This Row],[Rel3]],RelationTable[[Display]:[RELID]],2,0)))</f>
        <v/>
      </c>
      <c r="AJ29" s="96">
        <f>IF(OR(FormFields[[#This Row],[Option Type]]="",FormFields[[#This Row],[Option Type]]="type"),0,1)</f>
        <v>1</v>
      </c>
      <c r="AK29" s="96" t="str">
        <f>'Table Seed Map'!$A$14&amp;"-"&amp;FormFields[[#This Row],[NO4]]</f>
        <v>Field Options-5</v>
      </c>
      <c r="AL29" s="96">
        <f>COUNTIF($AJ$2:FormFields[[#This Row],[Exists FO]],1)</f>
        <v>5</v>
      </c>
      <c r="AM29" s="96">
        <f>IF(FormFields[[#This Row],[NO4]]=0,"id",FormFields[[#This Row],[NO4]]+IF(ISNUMBER(VLOOKUP('Table Seed Map'!$A$14,SeedMap[],9,0)),VLOOKUP('Table Seed Map'!$A$14,SeedMap[],9,0),0))</f>
        <v>2113105</v>
      </c>
      <c r="AN29" s="104">
        <f>IF(FormFields[[#This Row],[ID]]="id","form_field",FormFields[[#This Row],[ID]])</f>
        <v>2111127</v>
      </c>
      <c r="AO29" s="105" t="s">
        <v>278</v>
      </c>
      <c r="AP29" s="105"/>
      <c r="AQ29" s="105" t="s">
        <v>21</v>
      </c>
      <c r="AR29" s="105" t="s">
        <v>23</v>
      </c>
      <c r="AS29" s="105"/>
      <c r="AT29" s="96">
        <f>IF(OR(FormFields[[#This Row],[Colspan]]="",FormFields[[#This Row],[Colspan]]="colspan"),0,1)</f>
        <v>0</v>
      </c>
      <c r="AU29" s="96" t="str">
        <f>'Table Seed Map'!$A$19&amp;"-"&amp;FormFields[[#This Row],[NO8]]</f>
        <v>Form Layout-7</v>
      </c>
      <c r="AV29" s="96">
        <f>COUNTIF($AT$1:FormFields[[#This Row],[Exists FL]],1)</f>
        <v>7</v>
      </c>
      <c r="AW2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96">
        <f>[Form]</f>
        <v>2110108</v>
      </c>
      <c r="AY29" s="96">
        <f>IF(FormFields[[#This Row],[ID]]="id","form_field",FormFields[[#This Row],[ID]])</f>
        <v>2111127</v>
      </c>
      <c r="AZ29" s="106"/>
      <c r="BA29" s="104">
        <f>FormFields[[#This Row],[ID]]</f>
        <v>2111127</v>
      </c>
      <c r="BC29" s="62" t="s">
        <v>1233</v>
      </c>
      <c r="BD29" s="63" t="str">
        <f>'Table Seed Map'!$A$15&amp;"-"&amp;(-1+COUNTA($BC$1:FieldAttrs[[#This Row],[ATTR Field]]))</f>
        <v>Field Attrs-27</v>
      </c>
      <c r="BE29" s="69">
        <f>IF(FieldAttrs[[#This Row],[ATTR Field]]="","id",-1+COUNTA($BC$1:FieldAttrs[[#This Row],[ATTR Field]])+VLOOKUP('Table Seed Map'!$A$15,SeedMap[],9,0))</f>
        <v>2114127</v>
      </c>
      <c r="BF29" s="104">
        <f>IFERROR(VLOOKUP([ATTR Field],FormFields[[Field Name]:[ID]],2,0),"form_field")</f>
        <v>2111137</v>
      </c>
      <c r="BG29" s="104" t="s">
        <v>1193</v>
      </c>
      <c r="BH29" s="104">
        <v>4</v>
      </c>
    </row>
    <row r="30" spans="1:60">
      <c r="A30" s="69" t="str">
        <f>'Table Seed Map'!$A$11&amp;"-"&amp;(COUNTA($F$1:ResourceForms[[#This Row],[Resource]])-2)</f>
        <v>Resource Forms-28</v>
      </c>
      <c r="B30" s="69" t="str">
        <f>ResourceForms[[#This Row],[Resource Name]]&amp;"/"&amp;ResourceForms[[#This Row],[Name]]</f>
        <v>OrderItemServiceUser/JobStartForm</v>
      </c>
      <c r="C30" s="69">
        <f>COUNTA($A$1:ResourceForms[[#This Row],[Primary]])-2</f>
        <v>28</v>
      </c>
      <c r="D30" s="107" t="s">
        <v>790</v>
      </c>
      <c r="E30" s="69">
        <f>IF(ResourceForms[[#This Row],[No]]=0,"id",ResourceForms[[#This Row],[No]]+IF(ISNUMBER(VLOOKUP('Table Seed Map'!$A$11,SeedMap[],9,0)),VLOOKUP('Table Seed Map'!$A$11,SeedMap[],9,0),0))</f>
        <v>2110128</v>
      </c>
      <c r="F30" s="69">
        <f>IFERROR(VLOOKUP(ResourceForms[[#This Row],[Resource Name]],ResourceTable[[RName]:[No]],3,0),"resource")</f>
        <v>2106123</v>
      </c>
      <c r="G30" s="63" t="s">
        <v>1974</v>
      </c>
      <c r="H30" s="69"/>
      <c r="I30" s="63" t="s">
        <v>1975</v>
      </c>
      <c r="J30" s="63" t="s">
        <v>1913</v>
      </c>
      <c r="K30" s="67">
        <f>[ID]</f>
        <v>2110128</v>
      </c>
      <c r="M30" s="95" t="str">
        <f>'Table Seed Map'!$A$12&amp;"-"&amp;FormFields[[#This Row],[No]]</f>
        <v>Form Fields-28</v>
      </c>
      <c r="N30" s="81" t="s">
        <v>1200</v>
      </c>
      <c r="O30" s="96">
        <f>COUNTA($N$1:FormFields[[#This Row],[Form Name]])-1</f>
        <v>28</v>
      </c>
      <c r="P30" s="95" t="str">
        <f>FormFields[[#This Row],[Form Name]]&amp;"/"&amp;FormFields[[#This Row],[Name]]</f>
        <v>ItemService/AddServicesToItemForm/service</v>
      </c>
      <c r="Q30" s="96">
        <f>IF(FormFields[[#This Row],[No]]=0,"id",FormFields[[#This Row],[No]]+IF(ISNUMBER(VLOOKUP('Table Seed Map'!$A$12,SeedMap[],9,0)),VLOOKUP('Table Seed Map'!$A$12,SeedMap[],9,0),0))</f>
        <v>2111128</v>
      </c>
      <c r="R30" s="97">
        <f>IFERROR(VLOOKUP(FormFields[[#This Row],[Form Name]],ResourceForms[[FormName]:[ID]],4,0),"resource_form")</f>
        <v>2110108</v>
      </c>
      <c r="S30" s="98" t="s">
        <v>814</v>
      </c>
      <c r="T30" s="98" t="s">
        <v>1189</v>
      </c>
      <c r="U30" s="98" t="s">
        <v>1203</v>
      </c>
      <c r="V30" s="99"/>
      <c r="W30" s="99"/>
      <c r="X30" s="99"/>
      <c r="Y30" s="99"/>
      <c r="Z30" s="100" t="str">
        <f>'Table Seed Map'!$A$13&amp;"-"&amp;FormFields[[#This Row],[NO2]]</f>
        <v>Field Data-28</v>
      </c>
      <c r="AA30" s="101">
        <f>COUNTIFS($AB$1:FormFields[[#This Row],[Exists]],1)-1</f>
        <v>28</v>
      </c>
      <c r="AB30" s="101">
        <f>IF(AND(FormFields[[#This Row],[Attribute]]="",FormFields[[#This Row],[Rel]]=""),0,1)</f>
        <v>1</v>
      </c>
      <c r="AC30" s="101">
        <f>IF(FormFields[[#This Row],[NO2]]=0,"id",FormFields[[#This Row],[NO2]]+IF(ISNUMBER(VLOOKUP('Table Seed Map'!$A$13,SeedMap[],9,0)),VLOOKUP('Table Seed Map'!$A$13,SeedMap[],9,0),0))</f>
        <v>2112128</v>
      </c>
      <c r="AD30" s="102">
        <f>IF(FormFields[[#This Row],[ID]]="id","form_field",FormFields[[#This Row],[ID]])</f>
        <v>2111128</v>
      </c>
      <c r="AE30" s="101" t="str">
        <f>IF(FormFields[[#This Row],[No]]=0,"attribute",FormFields[[#This Row],[Name]])</f>
        <v>service</v>
      </c>
      <c r="AF30" s="103" t="str">
        <f>IF(FormFields[[#This Row],[NO2]]=0,"relation",IF(FormFields[[#This Row],[Rel]]="","",VLOOKUP(FormFields[[#This Row],[Rel]],RelationTable[[Display]:[RELID]],2,0)))</f>
        <v/>
      </c>
      <c r="AG30" s="103" t="str">
        <f>IF(FormFields[[#This Row],[NO2]]=0,"nest_relation1",IF(FormFields[[#This Row],[Rel1]]="","",VLOOKUP(FormFields[[#This Row],[Rel1]],RelationTable[[Display]:[RELID]],2,0)))</f>
        <v/>
      </c>
      <c r="AH30" s="103" t="str">
        <f>IF(FormFields[[#This Row],[NO2]]=0,"nest_relation2",IF(FormFields[[#This Row],[Rel2]]="","",VLOOKUP(FormFields[[#This Row],[Rel2]],RelationTable[[Display]:[RELID]],2,0)))</f>
        <v/>
      </c>
      <c r="AI30" s="103" t="str">
        <f>IF(FormFields[[#This Row],[NO2]]=0,"nest_relation3",IF(FormFields[[#This Row],[Rel3]]="","",VLOOKUP(FormFields[[#This Row],[Rel3]],RelationTable[[Display]:[RELID]],2,0)))</f>
        <v/>
      </c>
      <c r="AJ30" s="96">
        <f>IF(OR(FormFields[[#This Row],[Option Type]]="",FormFields[[#This Row],[Option Type]]="type"),0,1)</f>
        <v>1</v>
      </c>
      <c r="AK30" s="96" t="str">
        <f>'Table Seed Map'!$A$14&amp;"-"&amp;FormFields[[#This Row],[NO4]]</f>
        <v>Field Options-6</v>
      </c>
      <c r="AL30" s="96">
        <f>COUNTIF($AJ$2:FormFields[[#This Row],[Exists FO]],1)</f>
        <v>6</v>
      </c>
      <c r="AM30" s="96">
        <f>IF(FormFields[[#This Row],[NO4]]=0,"id",FormFields[[#This Row],[NO4]]+IF(ISNUMBER(VLOOKUP('Table Seed Map'!$A$14,SeedMap[],9,0)),VLOOKUP('Table Seed Map'!$A$14,SeedMap[],9,0),0))</f>
        <v>2113106</v>
      </c>
      <c r="AN30" s="104">
        <f>IF(FormFields[[#This Row],[ID]]="id","form_field",FormFields[[#This Row],[ID]])</f>
        <v>2111128</v>
      </c>
      <c r="AO30" s="105" t="s">
        <v>278</v>
      </c>
      <c r="AP30" s="105"/>
      <c r="AQ30" s="105" t="s">
        <v>21</v>
      </c>
      <c r="AR30" s="105" t="s">
        <v>23</v>
      </c>
      <c r="AS30" s="105"/>
      <c r="AT30" s="96">
        <f>IF(OR(FormFields[[#This Row],[Colspan]]="",FormFields[[#This Row],[Colspan]]="colspan"),0,1)</f>
        <v>0</v>
      </c>
      <c r="AU30" s="96" t="str">
        <f>'Table Seed Map'!$A$19&amp;"-"&amp;FormFields[[#This Row],[NO8]]</f>
        <v>Form Layout-7</v>
      </c>
      <c r="AV30" s="96">
        <f>COUNTIF($AT$1:FormFields[[#This Row],[Exists FL]],1)</f>
        <v>7</v>
      </c>
      <c r="AW3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96">
        <f>[Form]</f>
        <v>2110108</v>
      </c>
      <c r="AY30" s="96">
        <f>IF(FormFields[[#This Row],[ID]]="id","form_field",FormFields[[#This Row],[ID]])</f>
        <v>2111128</v>
      </c>
      <c r="AZ30" s="106"/>
      <c r="BA30" s="104">
        <f>FormFields[[#This Row],[ID]]</f>
        <v>2111128</v>
      </c>
      <c r="BC30" s="62" t="s">
        <v>1234</v>
      </c>
      <c r="BD30" s="63" t="str">
        <f>'Table Seed Map'!$A$15&amp;"-"&amp;(-1+COUNTA($BC$1:FieldAttrs[[#This Row],[ATTR Field]]))</f>
        <v>Field Attrs-28</v>
      </c>
      <c r="BE30" s="69">
        <f>IF(FieldAttrs[[#This Row],[ATTR Field]]="","id",-1+COUNTA($BC$1:FieldAttrs[[#This Row],[ATTR Field]])+VLOOKUP('Table Seed Map'!$A$15,SeedMap[],9,0))</f>
        <v>2114128</v>
      </c>
      <c r="BF30" s="104">
        <f>IFERROR(VLOOKUP([ATTR Field],FormFields[[Field Name]:[ID]],2,0),"form_field")</f>
        <v>2111138</v>
      </c>
      <c r="BG30" s="104" t="s">
        <v>1193</v>
      </c>
      <c r="BH30" s="104">
        <v>4</v>
      </c>
    </row>
    <row r="31" spans="1:60">
      <c r="A31" s="69" t="str">
        <f>'Table Seed Map'!$A$11&amp;"-"&amp;(COUNTA($F$1:ResourceForms[[#This Row],[Resource]])-2)</f>
        <v>Resource Forms-29</v>
      </c>
      <c r="B31" s="69" t="str">
        <f>ResourceForms[[#This Row],[Resource Name]]&amp;"/"&amp;ResourceForms[[#This Row],[Name]]</f>
        <v>OrderItemServiceUser/FinishJobForm</v>
      </c>
      <c r="C31" s="69">
        <f>COUNTA($A$1:ResourceForms[[#This Row],[Primary]])-2</f>
        <v>29</v>
      </c>
      <c r="D31" s="107" t="s">
        <v>790</v>
      </c>
      <c r="E31" s="69">
        <f>IF(ResourceForms[[#This Row],[No]]=0,"id",ResourceForms[[#This Row],[No]]+IF(ISNUMBER(VLOOKUP('Table Seed Map'!$A$11,SeedMap[],9,0)),VLOOKUP('Table Seed Map'!$A$11,SeedMap[],9,0),0))</f>
        <v>2110129</v>
      </c>
      <c r="F31" s="69">
        <f>IFERROR(VLOOKUP(ResourceForms[[#This Row],[Resource Name]],ResourceTable[[RName]:[No]],3,0),"resource")</f>
        <v>2106123</v>
      </c>
      <c r="G31" s="63" t="s">
        <v>1979</v>
      </c>
      <c r="H31" s="69"/>
      <c r="I31" s="63" t="s">
        <v>1980</v>
      </c>
      <c r="J31" s="63" t="s">
        <v>1981</v>
      </c>
      <c r="K31" s="67">
        <f>[ID]</f>
        <v>2110129</v>
      </c>
      <c r="M31" s="95" t="str">
        <f>'Table Seed Map'!$A$12&amp;"-"&amp;FormFields[[#This Row],[No]]</f>
        <v>Form Fields-29</v>
      </c>
      <c r="N31" s="81" t="s">
        <v>1200</v>
      </c>
      <c r="O31" s="96">
        <f>COUNTA($N$1:FormFields[[#This Row],[Form Name]])-1</f>
        <v>29</v>
      </c>
      <c r="P31" s="95" t="str">
        <f>FormFields[[#This Row],[Form Name]]&amp;"/"&amp;FormFields[[#This Row],[Name]]</f>
        <v>ItemService/AddServicesToItemForm/name</v>
      </c>
      <c r="Q31" s="96">
        <f>IF(FormFields[[#This Row],[No]]=0,"id",FormFields[[#This Row],[No]]+IF(ISNUMBER(VLOOKUP('Table Seed Map'!$A$12,SeedMap[],9,0)),VLOOKUP('Table Seed Map'!$A$12,SeedMap[],9,0),0))</f>
        <v>2111129</v>
      </c>
      <c r="R31" s="97">
        <f>IFERROR(VLOOKUP(FormFields[[#This Row],[Form Name]],ResourceForms[[FormName]:[ID]],4,0),"resource_form")</f>
        <v>2110108</v>
      </c>
      <c r="S31" s="98" t="s">
        <v>23</v>
      </c>
      <c r="T31" s="98" t="s">
        <v>1137</v>
      </c>
      <c r="U31" s="98" t="s">
        <v>1202</v>
      </c>
      <c r="V31" s="99"/>
      <c r="W31" s="99"/>
      <c r="X31" s="99"/>
      <c r="Y31" s="99"/>
      <c r="Z31" s="100" t="str">
        <f>'Table Seed Map'!$A$13&amp;"-"&amp;FormFields[[#This Row],[NO2]]</f>
        <v>Field Data-29</v>
      </c>
      <c r="AA31" s="101">
        <f>COUNTIFS($AB$1:FormFields[[#This Row],[Exists]],1)-1</f>
        <v>29</v>
      </c>
      <c r="AB31" s="101">
        <f>IF(AND(FormFields[[#This Row],[Attribute]]="",FormFields[[#This Row],[Rel]]=""),0,1)</f>
        <v>1</v>
      </c>
      <c r="AC31" s="101">
        <f>IF(FormFields[[#This Row],[NO2]]=0,"id",FormFields[[#This Row],[NO2]]+IF(ISNUMBER(VLOOKUP('Table Seed Map'!$A$13,SeedMap[],9,0)),VLOOKUP('Table Seed Map'!$A$13,SeedMap[],9,0),0))</f>
        <v>2112129</v>
      </c>
      <c r="AD31" s="102">
        <f>IF(FormFields[[#This Row],[ID]]="id","form_field",FormFields[[#This Row],[ID]])</f>
        <v>2111129</v>
      </c>
      <c r="AE31" s="101" t="str">
        <f>IF(FormFields[[#This Row],[No]]=0,"attribute",FormFields[[#This Row],[Name]])</f>
        <v>name</v>
      </c>
      <c r="AF31" s="103" t="str">
        <f>IF(FormFields[[#This Row],[NO2]]=0,"relation",IF(FormFields[[#This Row],[Rel]]="","",VLOOKUP(FormFields[[#This Row],[Rel]],RelationTable[[Display]:[RELID]],2,0)))</f>
        <v/>
      </c>
      <c r="AG31" s="103" t="str">
        <f>IF(FormFields[[#This Row],[NO2]]=0,"nest_relation1",IF(FormFields[[#This Row],[Rel1]]="","",VLOOKUP(FormFields[[#This Row],[Rel1]],RelationTable[[Display]:[RELID]],2,0)))</f>
        <v/>
      </c>
      <c r="AH31" s="103" t="str">
        <f>IF(FormFields[[#This Row],[NO2]]=0,"nest_relation2",IF(FormFields[[#This Row],[Rel2]]="","",VLOOKUP(FormFields[[#This Row],[Rel2]],RelationTable[[Display]:[RELID]],2,0)))</f>
        <v/>
      </c>
      <c r="AI31" s="103" t="str">
        <f>IF(FormFields[[#This Row],[NO2]]=0,"nest_relation3",IF(FormFields[[#This Row],[Rel3]]="","",VLOOKUP(FormFields[[#This Row],[Rel3]],RelationTable[[Display]:[RELID]],2,0)))</f>
        <v/>
      </c>
      <c r="AJ31" s="96">
        <f>IF(OR(FormFields[[#This Row],[Option Type]]="",FormFields[[#This Row],[Option Type]]="type"),0,1)</f>
        <v>0</v>
      </c>
      <c r="AK31" s="96" t="str">
        <f>'Table Seed Map'!$A$14&amp;"-"&amp;FormFields[[#This Row],[NO4]]</f>
        <v>Field Options-6</v>
      </c>
      <c r="AL31" s="96">
        <f>COUNTIF($AJ$2:FormFields[[#This Row],[Exists FO]],1)</f>
        <v>6</v>
      </c>
      <c r="AM31" s="96">
        <f>IF(FormFields[[#This Row],[NO4]]=0,"id",FormFields[[#This Row],[NO4]]+IF(ISNUMBER(VLOOKUP('Table Seed Map'!$A$14,SeedMap[],9,0)),VLOOKUP('Table Seed Map'!$A$14,SeedMap[],9,0),0))</f>
        <v>2113106</v>
      </c>
      <c r="AN31" s="104">
        <f>IF(FormFields[[#This Row],[ID]]="id","form_field",FormFields[[#This Row],[ID]])</f>
        <v>2111129</v>
      </c>
      <c r="AO31" s="105"/>
      <c r="AP31" s="105"/>
      <c r="AQ31" s="105"/>
      <c r="AR31" s="105"/>
      <c r="AS31" s="105"/>
      <c r="AT31" s="96">
        <f>IF(OR(FormFields[[#This Row],[Colspan]]="",FormFields[[#This Row],[Colspan]]="colspan"),0,1)</f>
        <v>0</v>
      </c>
      <c r="AU31" s="96" t="str">
        <f>'Table Seed Map'!$A$19&amp;"-"&amp;FormFields[[#This Row],[NO8]]</f>
        <v>Form Layout-7</v>
      </c>
      <c r="AV31" s="96">
        <f>COUNTIF($AT$1:FormFields[[#This Row],[Exists FL]],1)</f>
        <v>7</v>
      </c>
      <c r="AW3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96">
        <f>[Form]</f>
        <v>2110108</v>
      </c>
      <c r="AY31" s="96">
        <f>IF(FormFields[[#This Row],[ID]]="id","form_field",FormFields[[#This Row],[ID]])</f>
        <v>2111129</v>
      </c>
      <c r="AZ31" s="106"/>
      <c r="BA31" s="104">
        <f>FormFields[[#This Row],[ID]]</f>
        <v>2111129</v>
      </c>
      <c r="BC31" s="62" t="s">
        <v>1235</v>
      </c>
      <c r="BD31" s="63" t="str">
        <f>'Table Seed Map'!$A$15&amp;"-"&amp;(-1+COUNTA($BC$1:FieldAttrs[[#This Row],[ATTR Field]]))</f>
        <v>Field Attrs-29</v>
      </c>
      <c r="BE31" s="69">
        <f>IF(FieldAttrs[[#This Row],[ATTR Field]]="","id",-1+COUNTA($BC$1:FieldAttrs[[#This Row],[ATTR Field]])+VLOOKUP('Table Seed Map'!$A$15,SeedMap[],9,0))</f>
        <v>2114129</v>
      </c>
      <c r="BF31" s="104">
        <f>IFERROR(VLOOKUP([ATTR Field],FormFields[[Field Name]:[ID]],2,0),"form_field")</f>
        <v>2111139</v>
      </c>
      <c r="BG31" s="104" t="s">
        <v>1193</v>
      </c>
      <c r="BH31" s="104">
        <v>4</v>
      </c>
    </row>
    <row r="32" spans="1:60">
      <c r="M32" s="95" t="str">
        <f>'Table Seed Map'!$A$12&amp;"-"&amp;FormFields[[#This Row],[No]]</f>
        <v>Form Fields-30</v>
      </c>
      <c r="N32" s="81" t="s">
        <v>1262</v>
      </c>
      <c r="O32" s="96">
        <f>COUNTA($N$1:FormFields[[#This Row],[Form Name]])-1</f>
        <v>30</v>
      </c>
      <c r="P32" s="95" t="str">
        <f>FormFields[[#This Row],[Form Name]]&amp;"/"&amp;FormFields[[#This Row],[Name]]</f>
        <v>ItemService/UpdateItemsService/name</v>
      </c>
      <c r="Q32" s="96">
        <f>IF(FormFields[[#This Row],[No]]=0,"id",FormFields[[#This Row],[No]]+IF(ISNUMBER(VLOOKUP('Table Seed Map'!$A$12,SeedMap[],9,0)),VLOOKUP('Table Seed Map'!$A$12,SeedMap[],9,0),0))</f>
        <v>2111130</v>
      </c>
      <c r="R32" s="97">
        <f>IFERROR(VLOOKUP(FormFields[[#This Row],[Form Name]],ResourceForms[[FormName]:[ID]],4,0),"resource_form")</f>
        <v>2110109</v>
      </c>
      <c r="S32" s="98" t="s">
        <v>23</v>
      </c>
      <c r="T32" s="98" t="s">
        <v>1137</v>
      </c>
      <c r="U32" s="98" t="s">
        <v>1263</v>
      </c>
      <c r="V32" s="99"/>
      <c r="W32" s="99"/>
      <c r="X32" s="99"/>
      <c r="Y32" s="99"/>
      <c r="Z32" s="100" t="str">
        <f>'Table Seed Map'!$A$13&amp;"-"&amp;FormFields[[#This Row],[NO2]]</f>
        <v>Field Data-30</v>
      </c>
      <c r="AA32" s="101">
        <f>COUNTIFS($AB$1:FormFields[[#This Row],[Exists]],1)-1</f>
        <v>30</v>
      </c>
      <c r="AB32" s="101">
        <f>IF(AND(FormFields[[#This Row],[Attribute]]="",FormFields[[#This Row],[Rel]]=""),0,1)</f>
        <v>1</v>
      </c>
      <c r="AC32" s="101">
        <f>IF(FormFields[[#This Row],[NO2]]=0,"id",FormFields[[#This Row],[NO2]]+IF(ISNUMBER(VLOOKUP('Table Seed Map'!$A$13,SeedMap[],9,0)),VLOOKUP('Table Seed Map'!$A$13,SeedMap[],9,0),0))</f>
        <v>2112130</v>
      </c>
      <c r="AD32" s="102">
        <f>IF(FormFields[[#This Row],[ID]]="id","form_field",FormFields[[#This Row],[ID]])</f>
        <v>2111130</v>
      </c>
      <c r="AE32" s="101" t="str">
        <f>IF(FormFields[[#This Row],[No]]=0,"attribute",FormFields[[#This Row],[Name]])</f>
        <v>name</v>
      </c>
      <c r="AF32" s="103" t="str">
        <f>IF(FormFields[[#This Row],[NO2]]=0,"relation",IF(FormFields[[#This Row],[Rel]]="","",VLOOKUP(FormFields[[#This Row],[Rel]],RelationTable[[Display]:[RELID]],2,0)))</f>
        <v/>
      </c>
      <c r="AG32" s="103" t="str">
        <f>IF(FormFields[[#This Row],[NO2]]=0,"nest_relation1",IF(FormFields[[#This Row],[Rel1]]="","",VLOOKUP(FormFields[[#This Row],[Rel1]],RelationTable[[Display]:[RELID]],2,0)))</f>
        <v/>
      </c>
      <c r="AH32" s="103" t="str">
        <f>IF(FormFields[[#This Row],[NO2]]=0,"nest_relation2",IF(FormFields[[#This Row],[Rel2]]="","",VLOOKUP(FormFields[[#This Row],[Rel2]],RelationTable[[Display]:[RELID]],2,0)))</f>
        <v/>
      </c>
      <c r="AI32" s="103" t="str">
        <f>IF(FormFields[[#This Row],[NO2]]=0,"nest_relation3",IF(FormFields[[#This Row],[Rel3]]="","",VLOOKUP(FormFields[[#This Row],[Rel3]],RelationTable[[Display]:[RELID]],2,0)))</f>
        <v/>
      </c>
      <c r="AJ32" s="96">
        <f>IF(OR(FormFields[[#This Row],[Option Type]]="",FormFields[[#This Row],[Option Type]]="type"),0,1)</f>
        <v>0</v>
      </c>
      <c r="AK32" s="96" t="str">
        <f>'Table Seed Map'!$A$14&amp;"-"&amp;FormFields[[#This Row],[NO4]]</f>
        <v>Field Options-6</v>
      </c>
      <c r="AL32" s="96">
        <f>COUNTIF($AJ$2:FormFields[[#This Row],[Exists FO]],1)</f>
        <v>6</v>
      </c>
      <c r="AM32" s="96">
        <f>IF(FormFields[[#This Row],[NO4]]=0,"id",FormFields[[#This Row],[NO4]]+IF(ISNUMBER(VLOOKUP('Table Seed Map'!$A$14,SeedMap[],9,0)),VLOOKUP('Table Seed Map'!$A$14,SeedMap[],9,0),0))</f>
        <v>2113106</v>
      </c>
      <c r="AN32" s="104">
        <f>IF(FormFields[[#This Row],[ID]]="id","form_field",FormFields[[#This Row],[ID]])</f>
        <v>2111130</v>
      </c>
      <c r="AO32" s="105"/>
      <c r="AP32" s="105"/>
      <c r="AQ32" s="105"/>
      <c r="AR32" s="105"/>
      <c r="AS32" s="105"/>
      <c r="AT32" s="96">
        <f>IF(OR(FormFields[[#This Row],[Colspan]]="",FormFields[[#This Row],[Colspan]]="colspan"),0,1)</f>
        <v>0</v>
      </c>
      <c r="AU32" s="96" t="str">
        <f>'Table Seed Map'!$A$19&amp;"-"&amp;FormFields[[#This Row],[NO8]]</f>
        <v>Form Layout-7</v>
      </c>
      <c r="AV32" s="96">
        <f>COUNTIF($AT$1:FormFields[[#This Row],[Exists FL]],1)</f>
        <v>7</v>
      </c>
      <c r="AW3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96">
        <f>[Form]</f>
        <v>2110109</v>
      </c>
      <c r="AY32" s="96">
        <f>IF(FormFields[[#This Row],[ID]]="id","form_field",FormFields[[#This Row],[ID]])</f>
        <v>2111130</v>
      </c>
      <c r="AZ32" s="106"/>
      <c r="BA32" s="104">
        <f>FormFields[[#This Row],[ID]]</f>
        <v>2111130</v>
      </c>
      <c r="BC32" s="62" t="s">
        <v>1236</v>
      </c>
      <c r="BD32" s="63" t="str">
        <f>'Table Seed Map'!$A$15&amp;"-"&amp;(-1+COUNTA($BC$1:FieldAttrs[[#This Row],[ATTR Field]]))</f>
        <v>Field Attrs-30</v>
      </c>
      <c r="BE32" s="69">
        <f>IF(FieldAttrs[[#This Row],[ATTR Field]]="","id",-1+COUNTA($BC$1:FieldAttrs[[#This Row],[ATTR Field]])+VLOOKUP('Table Seed Map'!$A$15,SeedMap[],9,0))</f>
        <v>2114130</v>
      </c>
      <c r="BF32" s="104">
        <f>IFERROR(VLOOKUP([ATTR Field],FormFields[[Field Name]:[ID]],2,0),"form_field")</f>
        <v>2111140</v>
      </c>
      <c r="BG32" s="104" t="s">
        <v>1193</v>
      </c>
      <c r="BH32" s="104">
        <v>4</v>
      </c>
    </row>
    <row r="33" spans="13:60">
      <c r="M33" s="95" t="str">
        <f>'Table Seed Map'!$A$12&amp;"-"&amp;FormFields[[#This Row],[No]]</f>
        <v>Form Fields-31</v>
      </c>
      <c r="N33" s="81" t="s">
        <v>1262</v>
      </c>
      <c r="O33" s="96">
        <f>COUNTA($N$1:FormFields[[#This Row],[Form Name]])-1</f>
        <v>31</v>
      </c>
      <c r="P33" s="95" t="str">
        <f>FormFields[[#This Row],[Form Name]]&amp;"/"&amp;FormFields[[#This Row],[Name]]</f>
        <v>ItemService/UpdateItemsService/service</v>
      </c>
      <c r="Q33" s="96">
        <f>IF(FormFields[[#This Row],[No]]=0,"id",FormFields[[#This Row],[No]]+IF(ISNUMBER(VLOOKUP('Table Seed Map'!$A$12,SeedMap[],9,0)),VLOOKUP('Table Seed Map'!$A$12,SeedMap[],9,0),0))</f>
        <v>2111131</v>
      </c>
      <c r="R33" s="97">
        <f>IFERROR(VLOOKUP(FormFields[[#This Row],[Form Name]],ResourceForms[[FormName]:[ID]],4,0),"resource_form")</f>
        <v>2110109</v>
      </c>
      <c r="S33" s="98" t="s">
        <v>814</v>
      </c>
      <c r="T33" s="98" t="s">
        <v>1189</v>
      </c>
      <c r="U33" s="98" t="s">
        <v>1203</v>
      </c>
      <c r="V33" s="99"/>
      <c r="W33" s="99"/>
      <c r="X33" s="99"/>
      <c r="Y33" s="99"/>
      <c r="Z33" s="100" t="str">
        <f>'Table Seed Map'!$A$13&amp;"-"&amp;FormFields[[#This Row],[NO2]]</f>
        <v>Field Data-31</v>
      </c>
      <c r="AA33" s="101">
        <f>COUNTIFS($AB$1:FormFields[[#This Row],[Exists]],1)-1</f>
        <v>31</v>
      </c>
      <c r="AB33" s="101">
        <f>IF(AND(FormFields[[#This Row],[Attribute]]="",FormFields[[#This Row],[Rel]]=""),0,1)</f>
        <v>1</v>
      </c>
      <c r="AC33" s="101">
        <f>IF(FormFields[[#This Row],[NO2]]=0,"id",FormFields[[#This Row],[NO2]]+IF(ISNUMBER(VLOOKUP('Table Seed Map'!$A$13,SeedMap[],9,0)),VLOOKUP('Table Seed Map'!$A$13,SeedMap[],9,0),0))</f>
        <v>2112131</v>
      </c>
      <c r="AD33" s="102">
        <f>IF(FormFields[[#This Row],[ID]]="id","form_field",FormFields[[#This Row],[ID]])</f>
        <v>2111131</v>
      </c>
      <c r="AE33" s="101" t="str">
        <f>IF(FormFields[[#This Row],[No]]=0,"attribute",FormFields[[#This Row],[Name]])</f>
        <v>service</v>
      </c>
      <c r="AF33" s="103" t="str">
        <f>IF(FormFields[[#This Row],[NO2]]=0,"relation",IF(FormFields[[#This Row],[Rel]]="","",VLOOKUP(FormFields[[#This Row],[Rel]],RelationTable[[Display]:[RELID]],2,0)))</f>
        <v/>
      </c>
      <c r="AG33" s="103" t="str">
        <f>IF(FormFields[[#This Row],[NO2]]=0,"nest_relation1",IF(FormFields[[#This Row],[Rel1]]="","",VLOOKUP(FormFields[[#This Row],[Rel1]],RelationTable[[Display]:[RELID]],2,0)))</f>
        <v/>
      </c>
      <c r="AH33" s="103" t="str">
        <f>IF(FormFields[[#This Row],[NO2]]=0,"nest_relation2",IF(FormFields[[#This Row],[Rel2]]="","",VLOOKUP(FormFields[[#This Row],[Rel2]],RelationTable[[Display]:[RELID]],2,0)))</f>
        <v/>
      </c>
      <c r="AI33" s="103" t="str">
        <f>IF(FormFields[[#This Row],[NO2]]=0,"nest_relation3",IF(FormFields[[#This Row],[Rel3]]="","",VLOOKUP(FormFields[[#This Row],[Rel3]],RelationTable[[Display]:[RELID]],2,0)))</f>
        <v/>
      </c>
      <c r="AJ33" s="96">
        <f>IF(OR(FormFields[[#This Row],[Option Type]]="",FormFields[[#This Row],[Option Type]]="type"),0,1)</f>
        <v>1</v>
      </c>
      <c r="AK33" s="96" t="str">
        <f>'Table Seed Map'!$A$14&amp;"-"&amp;FormFields[[#This Row],[NO4]]</f>
        <v>Field Options-7</v>
      </c>
      <c r="AL33" s="96">
        <f>COUNTIF($AJ$2:FormFields[[#This Row],[Exists FO]],1)</f>
        <v>7</v>
      </c>
      <c r="AM33" s="96">
        <f>IF(FormFields[[#This Row],[NO4]]=0,"id",FormFields[[#This Row],[NO4]]+IF(ISNUMBER(VLOOKUP('Table Seed Map'!$A$14,SeedMap[],9,0)),VLOOKUP('Table Seed Map'!$A$14,SeedMap[],9,0),0))</f>
        <v>2113107</v>
      </c>
      <c r="AN33" s="104">
        <f>IF(FormFields[[#This Row],[ID]]="id","form_field",FormFields[[#This Row],[ID]])</f>
        <v>2111131</v>
      </c>
      <c r="AO33" s="89" t="s">
        <v>278</v>
      </c>
      <c r="AP33" s="105"/>
      <c r="AQ33" s="89" t="s">
        <v>21</v>
      </c>
      <c r="AR33" s="89" t="s">
        <v>23</v>
      </c>
      <c r="AS33" s="105"/>
      <c r="AT33" s="96">
        <f>IF(OR(FormFields[[#This Row],[Colspan]]="",FormFields[[#This Row],[Colspan]]="colspan"),0,1)</f>
        <v>0</v>
      </c>
      <c r="AU33" s="96" t="str">
        <f>'Table Seed Map'!$A$19&amp;"-"&amp;FormFields[[#This Row],[NO8]]</f>
        <v>Form Layout-7</v>
      </c>
      <c r="AV33" s="96">
        <f>COUNTIF($AT$1:FormFields[[#This Row],[Exists FL]],1)</f>
        <v>7</v>
      </c>
      <c r="AW3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96">
        <f>[Form]</f>
        <v>2110109</v>
      </c>
      <c r="AY33" s="96">
        <f>IF(FormFields[[#This Row],[ID]]="id","form_field",FormFields[[#This Row],[ID]])</f>
        <v>2111131</v>
      </c>
      <c r="AZ33" s="106"/>
      <c r="BA33" s="104">
        <f>FormFields[[#This Row],[ID]]</f>
        <v>2111131</v>
      </c>
      <c r="BC33" s="62" t="s">
        <v>1237</v>
      </c>
      <c r="BD33" s="63" t="str">
        <f>'Table Seed Map'!$A$15&amp;"-"&amp;(-1+COUNTA($BC$1:FieldAttrs[[#This Row],[ATTR Field]]))</f>
        <v>Field Attrs-31</v>
      </c>
      <c r="BE33" s="69">
        <f>IF(FieldAttrs[[#This Row],[ATTR Field]]="","id",-1+COUNTA($BC$1:FieldAttrs[[#This Row],[ATTR Field]])+VLOOKUP('Table Seed Map'!$A$15,SeedMap[],9,0))</f>
        <v>2114131</v>
      </c>
      <c r="BF33" s="104">
        <f>IFERROR(VLOOKUP([ATTR Field],FormFields[[Field Name]:[ID]],2,0),"form_field")</f>
        <v>2111144</v>
      </c>
      <c r="BG33" s="104" t="s">
        <v>1193</v>
      </c>
      <c r="BH33" s="104">
        <v>4</v>
      </c>
    </row>
    <row r="34" spans="13:60">
      <c r="M34" s="95" t="str">
        <f>'Table Seed Map'!$A$12&amp;"-"&amp;FormFields[[#This Row],[No]]</f>
        <v>Form Fields-32</v>
      </c>
      <c r="N34" s="81" t="s">
        <v>1262</v>
      </c>
      <c r="O34" s="96">
        <f>COUNTA($N$1:FormFields[[#This Row],[Form Name]])-1</f>
        <v>32</v>
      </c>
      <c r="P34" s="95" t="str">
        <f>FormFields[[#This Row],[Form Name]]&amp;"/"&amp;FormFields[[#This Row],[Name]]</f>
        <v>ItemService/UpdateItemsService/status</v>
      </c>
      <c r="Q34" s="96">
        <f>IF(FormFields[[#This Row],[No]]=0,"id",FormFields[[#This Row],[No]]+IF(ISNUMBER(VLOOKUP('Table Seed Map'!$A$12,SeedMap[],9,0)),VLOOKUP('Table Seed Map'!$A$12,SeedMap[],9,0),0))</f>
        <v>2111132</v>
      </c>
      <c r="R34" s="97">
        <f>IFERROR(VLOOKUP(FormFields[[#This Row],[Form Name]],ResourceForms[[FormName]:[ID]],4,0),"resource_form")</f>
        <v>2110109</v>
      </c>
      <c r="S34" s="98" t="s">
        <v>804</v>
      </c>
      <c r="T34" s="98" t="s">
        <v>1189</v>
      </c>
      <c r="U34" s="98" t="s">
        <v>1190</v>
      </c>
      <c r="V34" s="99"/>
      <c r="W34" s="99"/>
      <c r="X34" s="99"/>
      <c r="Y34" s="99"/>
      <c r="Z34" s="100" t="str">
        <f>'Table Seed Map'!$A$13&amp;"-"&amp;FormFields[[#This Row],[NO2]]</f>
        <v>Field Data-32</v>
      </c>
      <c r="AA34" s="101">
        <f>COUNTIFS($AB$1:FormFields[[#This Row],[Exists]],1)-1</f>
        <v>32</v>
      </c>
      <c r="AB34" s="101">
        <f>IF(AND(FormFields[[#This Row],[Attribute]]="",FormFields[[#This Row],[Rel]]=""),0,1)</f>
        <v>1</v>
      </c>
      <c r="AC34" s="101">
        <f>IF(FormFields[[#This Row],[NO2]]=0,"id",FormFields[[#This Row],[NO2]]+IF(ISNUMBER(VLOOKUP('Table Seed Map'!$A$13,SeedMap[],9,0)),VLOOKUP('Table Seed Map'!$A$13,SeedMap[],9,0),0))</f>
        <v>2112132</v>
      </c>
      <c r="AD34" s="102">
        <f>IF(FormFields[[#This Row],[ID]]="id","form_field",FormFields[[#This Row],[ID]])</f>
        <v>2111132</v>
      </c>
      <c r="AE34" s="101" t="str">
        <f>IF(FormFields[[#This Row],[No]]=0,"attribute",FormFields[[#This Row],[Name]])</f>
        <v>status</v>
      </c>
      <c r="AF34" s="103" t="str">
        <f>IF(FormFields[[#This Row],[NO2]]=0,"relation",IF(FormFields[[#This Row],[Rel]]="","",VLOOKUP(FormFields[[#This Row],[Rel]],RelationTable[[Display]:[RELID]],2,0)))</f>
        <v/>
      </c>
      <c r="AG34" s="103" t="str">
        <f>IF(FormFields[[#This Row],[NO2]]=0,"nest_relation1",IF(FormFields[[#This Row],[Rel1]]="","",VLOOKUP(FormFields[[#This Row],[Rel1]],RelationTable[[Display]:[RELID]],2,0)))</f>
        <v/>
      </c>
      <c r="AH34" s="103" t="str">
        <f>IF(FormFields[[#This Row],[NO2]]=0,"nest_relation2",IF(FormFields[[#This Row],[Rel2]]="","",VLOOKUP(FormFields[[#This Row],[Rel2]],RelationTable[[Display]:[RELID]],2,0)))</f>
        <v/>
      </c>
      <c r="AI34" s="103" t="str">
        <f>IF(FormFields[[#This Row],[NO2]]=0,"nest_relation3",IF(FormFields[[#This Row],[Rel3]]="","",VLOOKUP(FormFields[[#This Row],[Rel3]],RelationTable[[Display]:[RELID]],2,0)))</f>
        <v/>
      </c>
      <c r="AJ34" s="96">
        <f>IF(OR(FormFields[[#This Row],[Option Type]]="",FormFields[[#This Row],[Option Type]]="type"),0,1)</f>
        <v>1</v>
      </c>
      <c r="AK34" s="96" t="str">
        <f>'Table Seed Map'!$A$14&amp;"-"&amp;FormFields[[#This Row],[NO4]]</f>
        <v>Field Options-8</v>
      </c>
      <c r="AL34" s="96">
        <f>COUNTIF($AJ$2:FormFields[[#This Row],[Exists FO]],1)</f>
        <v>8</v>
      </c>
      <c r="AM34" s="96">
        <f>IF(FormFields[[#This Row],[NO4]]=0,"id",FormFields[[#This Row],[NO4]]+IF(ISNUMBER(VLOOKUP('Table Seed Map'!$A$14,SeedMap[],9,0)),VLOOKUP('Table Seed Map'!$A$14,SeedMap[],9,0),0))</f>
        <v>2113108</v>
      </c>
      <c r="AN34" s="104">
        <f>IF(FormFields[[#This Row],[ID]]="id","form_field",FormFields[[#This Row],[ID]])</f>
        <v>2111132</v>
      </c>
      <c r="AO34" s="89" t="s">
        <v>1191</v>
      </c>
      <c r="AP34" s="105"/>
      <c r="AQ34" s="89"/>
      <c r="AR34" s="89"/>
      <c r="AS34" s="105"/>
      <c r="AT34" s="96">
        <f>IF(OR(FormFields[[#This Row],[Colspan]]="",FormFields[[#This Row],[Colspan]]="colspan"),0,1)</f>
        <v>0</v>
      </c>
      <c r="AU34" s="96" t="str">
        <f>'Table Seed Map'!$A$19&amp;"-"&amp;FormFields[[#This Row],[NO8]]</f>
        <v>Form Layout-7</v>
      </c>
      <c r="AV34" s="96">
        <f>COUNTIF($AT$1:FormFields[[#This Row],[Exists FL]],1)</f>
        <v>7</v>
      </c>
      <c r="AW3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96">
        <f>[Form]</f>
        <v>2110109</v>
      </c>
      <c r="AY34" s="96">
        <f>IF(FormFields[[#This Row],[ID]]="id","form_field",FormFields[[#This Row],[ID]])</f>
        <v>2111132</v>
      </c>
      <c r="AZ34" s="106"/>
      <c r="BA34" s="104">
        <f>FormFields[[#This Row],[ID]]</f>
        <v>2111132</v>
      </c>
      <c r="BC34" s="62" t="s">
        <v>1238</v>
      </c>
      <c r="BD34" s="63" t="str">
        <f>'Table Seed Map'!$A$15&amp;"-"&amp;(-1+COUNTA($BC$1:FieldAttrs[[#This Row],[ATTR Field]]))</f>
        <v>Field Attrs-32</v>
      </c>
      <c r="BE34" s="69">
        <f>IF(FieldAttrs[[#This Row],[ATTR Field]]="","id",-1+COUNTA($BC$1:FieldAttrs[[#This Row],[ATTR Field]])+VLOOKUP('Table Seed Map'!$A$15,SeedMap[],9,0))</f>
        <v>2114132</v>
      </c>
      <c r="BF34" s="104">
        <f>IFERROR(VLOOKUP([ATTR Field],FormFields[[Field Name]:[ID]],2,0),"form_field")</f>
        <v>2111145</v>
      </c>
      <c r="BG34" s="104" t="s">
        <v>1193</v>
      </c>
      <c r="BH34" s="104">
        <v>4</v>
      </c>
    </row>
    <row r="35" spans="13:60">
      <c r="M35" s="95" t="str">
        <f>'Table Seed Map'!$A$12&amp;"-"&amp;FormFields[[#This Row],[No]]</f>
        <v>Form Fields-33</v>
      </c>
      <c r="N35" s="81" t="s">
        <v>1208</v>
      </c>
      <c r="O35" s="96">
        <f>COUNTA($N$1:FormFields[[#This Row],[Form Name]])-1</f>
        <v>33</v>
      </c>
      <c r="P35" s="95" t="str">
        <f>FormFields[[#This Row],[Form Name]]&amp;"/"&amp;FormFields[[#This Row],[Name]]</f>
        <v>Shelf/CreateNewShelfForm/hub</v>
      </c>
      <c r="Q35" s="96">
        <f>IF(FormFields[[#This Row],[No]]=0,"id",FormFields[[#This Row],[No]]+IF(ISNUMBER(VLOOKUP('Table Seed Map'!$A$12,SeedMap[],9,0)),VLOOKUP('Table Seed Map'!$A$12,SeedMap[],9,0),0))</f>
        <v>2111133</v>
      </c>
      <c r="R35" s="97">
        <f>IFERROR(VLOOKUP(FormFields[[#This Row],[Form Name]],ResourceForms[[FormName]:[ID]],4,0),"resource_form")</f>
        <v>2110110</v>
      </c>
      <c r="S35" s="98" t="s">
        <v>809</v>
      </c>
      <c r="T35" s="98" t="s">
        <v>1189</v>
      </c>
      <c r="U35" s="98" t="s">
        <v>1209</v>
      </c>
      <c r="V35" s="99"/>
      <c r="W35" s="99"/>
      <c r="X35" s="99"/>
      <c r="Y35" s="99"/>
      <c r="Z35" s="100" t="str">
        <f>'Table Seed Map'!$A$13&amp;"-"&amp;FormFields[[#This Row],[NO2]]</f>
        <v>Field Data-33</v>
      </c>
      <c r="AA35" s="101">
        <f>COUNTIFS($AB$1:FormFields[[#This Row],[Exists]],1)-1</f>
        <v>33</v>
      </c>
      <c r="AB35" s="101">
        <f>IF(AND(FormFields[[#This Row],[Attribute]]="",FormFields[[#This Row],[Rel]]=""),0,1)</f>
        <v>1</v>
      </c>
      <c r="AC35" s="101">
        <f>IF(FormFields[[#This Row],[NO2]]=0,"id",FormFields[[#This Row],[NO2]]+IF(ISNUMBER(VLOOKUP('Table Seed Map'!$A$13,SeedMap[],9,0)),VLOOKUP('Table Seed Map'!$A$13,SeedMap[],9,0),0))</f>
        <v>2112133</v>
      </c>
      <c r="AD35" s="102">
        <f>IF(FormFields[[#This Row],[ID]]="id","form_field",FormFields[[#This Row],[ID]])</f>
        <v>2111133</v>
      </c>
      <c r="AE35" s="101" t="str">
        <f>IF(FormFields[[#This Row],[No]]=0,"attribute",FormFields[[#This Row],[Name]])</f>
        <v>hub</v>
      </c>
      <c r="AF35" s="103" t="str">
        <f>IF(FormFields[[#This Row],[NO2]]=0,"relation",IF(FormFields[[#This Row],[Rel]]="","",VLOOKUP(FormFields[[#This Row],[Rel]],RelationTable[[Display]:[RELID]],2,0)))</f>
        <v/>
      </c>
      <c r="AG35" s="103" t="str">
        <f>IF(FormFields[[#This Row],[NO2]]=0,"nest_relation1",IF(FormFields[[#This Row],[Rel1]]="","",VLOOKUP(FormFields[[#This Row],[Rel1]],RelationTable[[Display]:[RELID]],2,0)))</f>
        <v/>
      </c>
      <c r="AH35" s="103" t="str">
        <f>IF(FormFields[[#This Row],[NO2]]=0,"nest_relation2",IF(FormFields[[#This Row],[Rel2]]="","",VLOOKUP(FormFields[[#This Row],[Rel2]],RelationTable[[Display]:[RELID]],2,0)))</f>
        <v/>
      </c>
      <c r="AI35" s="103" t="str">
        <f>IF(FormFields[[#This Row],[NO2]]=0,"nest_relation3",IF(FormFields[[#This Row],[Rel3]]="","",VLOOKUP(FormFields[[#This Row],[Rel3]],RelationTable[[Display]:[RELID]],2,0)))</f>
        <v/>
      </c>
      <c r="AJ35" s="96">
        <f>IF(OR(FormFields[[#This Row],[Option Type]]="",FormFields[[#This Row],[Option Type]]="type"),0,1)</f>
        <v>1</v>
      </c>
      <c r="AK35" s="96" t="str">
        <f>'Table Seed Map'!$A$14&amp;"-"&amp;FormFields[[#This Row],[NO4]]</f>
        <v>Field Options-9</v>
      </c>
      <c r="AL35" s="96">
        <f>COUNTIF($AJ$2:FormFields[[#This Row],[Exists FO]],1)</f>
        <v>9</v>
      </c>
      <c r="AM35" s="96">
        <f>IF(FormFields[[#This Row],[NO4]]=0,"id",FormFields[[#This Row],[NO4]]+IF(ISNUMBER(VLOOKUP('Table Seed Map'!$A$14,SeedMap[],9,0)),VLOOKUP('Table Seed Map'!$A$14,SeedMap[],9,0),0))</f>
        <v>2113109</v>
      </c>
      <c r="AN35" s="104">
        <f>IF(FormFields[[#This Row],[ID]]="id","form_field",FormFields[[#This Row],[ID]])</f>
        <v>2111133</v>
      </c>
      <c r="AO35" s="105" t="s">
        <v>278</v>
      </c>
      <c r="AP35" s="105"/>
      <c r="AQ35" s="105" t="s">
        <v>21</v>
      </c>
      <c r="AR35" s="105" t="s">
        <v>23</v>
      </c>
      <c r="AS35" s="105"/>
      <c r="AT35" s="96">
        <f>IF(OR(FormFields[[#This Row],[Colspan]]="",FormFields[[#This Row],[Colspan]]="colspan"),0,1)</f>
        <v>0</v>
      </c>
      <c r="AU35" s="96" t="str">
        <f>'Table Seed Map'!$A$19&amp;"-"&amp;FormFields[[#This Row],[NO8]]</f>
        <v>Form Layout-7</v>
      </c>
      <c r="AV35" s="96">
        <f>COUNTIF($AT$1:FormFields[[#This Row],[Exists FL]],1)</f>
        <v>7</v>
      </c>
      <c r="AW3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96">
        <f>[Form]</f>
        <v>2110110</v>
      </c>
      <c r="AY35" s="96">
        <f>IF(FormFields[[#This Row],[ID]]="id","form_field",FormFields[[#This Row],[ID]])</f>
        <v>2111133</v>
      </c>
      <c r="AZ35" s="106"/>
      <c r="BA35" s="104">
        <f>FormFields[[#This Row],[ID]]</f>
        <v>2111133</v>
      </c>
      <c r="BC35" s="62" t="s">
        <v>1743</v>
      </c>
      <c r="BD35" s="9" t="str">
        <f>'Table Seed Map'!$A$15&amp;"-"&amp;(-1+COUNTA($BC$1:FieldAttrs[[#This Row],[ATTR Field]]))</f>
        <v>Field Attrs-33</v>
      </c>
      <c r="BE35" s="16">
        <f>IF(FieldAttrs[[#This Row],[ATTR Field]]="","id",-1+COUNTA($BC$1:FieldAttrs[[#This Row],[ATTR Field]])+VLOOKUP('Table Seed Map'!$A$15,SeedMap[],9,0))</f>
        <v>2114133</v>
      </c>
      <c r="BF35" s="88">
        <f>IFERROR(VLOOKUP([ATTR Field],FormFields[[Field Name]:[ID]],2,0),"form_field")</f>
        <v>2111146</v>
      </c>
      <c r="BG35" s="104" t="s">
        <v>1193</v>
      </c>
      <c r="BH35" s="104">
        <v>4</v>
      </c>
    </row>
    <row r="36" spans="13:60">
      <c r="M36" s="95" t="str">
        <f>'Table Seed Map'!$A$12&amp;"-"&amp;FormFields[[#This Row],[No]]</f>
        <v>Form Fields-34</v>
      </c>
      <c r="N36" s="81" t="s">
        <v>1208</v>
      </c>
      <c r="O36" s="96">
        <f>COUNTA($N$1:FormFields[[#This Row],[Form Name]])-1</f>
        <v>34</v>
      </c>
      <c r="P36" s="95" t="str">
        <f>FormFields[[#This Row],[Form Name]]&amp;"/"&amp;FormFields[[#This Row],[Name]]</f>
        <v>Shelf/CreateNewShelfForm/name</v>
      </c>
      <c r="Q36" s="96">
        <f>IF(FormFields[[#This Row],[No]]=0,"id",FormFields[[#This Row],[No]]+IF(ISNUMBER(VLOOKUP('Table Seed Map'!$A$12,SeedMap[],9,0)),VLOOKUP('Table Seed Map'!$A$12,SeedMap[],9,0),0))</f>
        <v>2111134</v>
      </c>
      <c r="R36" s="97">
        <f>IFERROR(VLOOKUP(FormFields[[#This Row],[Form Name]],ResourceForms[[FormName]:[ID]],4,0),"resource_form")</f>
        <v>2110110</v>
      </c>
      <c r="S36" s="98" t="s">
        <v>23</v>
      </c>
      <c r="T36" s="98" t="s">
        <v>1137</v>
      </c>
      <c r="U36" s="98" t="s">
        <v>1</v>
      </c>
      <c r="V36" s="99"/>
      <c r="W36" s="99"/>
      <c r="X36" s="99"/>
      <c r="Y36" s="99"/>
      <c r="Z36" s="100" t="str">
        <f>'Table Seed Map'!$A$13&amp;"-"&amp;FormFields[[#This Row],[NO2]]</f>
        <v>Field Data-34</v>
      </c>
      <c r="AA36" s="101">
        <f>COUNTIFS($AB$1:FormFields[[#This Row],[Exists]],1)-1</f>
        <v>34</v>
      </c>
      <c r="AB36" s="101">
        <f>IF(AND(FormFields[[#This Row],[Attribute]]="",FormFields[[#This Row],[Rel]]=""),0,1)</f>
        <v>1</v>
      </c>
      <c r="AC36" s="101">
        <f>IF(FormFields[[#This Row],[NO2]]=0,"id",FormFields[[#This Row],[NO2]]+IF(ISNUMBER(VLOOKUP('Table Seed Map'!$A$13,SeedMap[],9,0)),VLOOKUP('Table Seed Map'!$A$13,SeedMap[],9,0),0))</f>
        <v>2112134</v>
      </c>
      <c r="AD36" s="102">
        <f>IF(FormFields[[#This Row],[ID]]="id","form_field",FormFields[[#This Row],[ID]])</f>
        <v>2111134</v>
      </c>
      <c r="AE36" s="101" t="str">
        <f>IF(FormFields[[#This Row],[No]]=0,"attribute",FormFields[[#This Row],[Name]])</f>
        <v>name</v>
      </c>
      <c r="AF36" s="103" t="str">
        <f>IF(FormFields[[#This Row],[NO2]]=0,"relation",IF(FormFields[[#This Row],[Rel]]="","",VLOOKUP(FormFields[[#This Row],[Rel]],RelationTable[[Display]:[RELID]],2,0)))</f>
        <v/>
      </c>
      <c r="AG36" s="103" t="str">
        <f>IF(FormFields[[#This Row],[NO2]]=0,"nest_relation1",IF(FormFields[[#This Row],[Rel1]]="","",VLOOKUP(FormFields[[#This Row],[Rel1]],RelationTable[[Display]:[RELID]],2,0)))</f>
        <v/>
      </c>
      <c r="AH36" s="103" t="str">
        <f>IF(FormFields[[#This Row],[NO2]]=0,"nest_relation2",IF(FormFields[[#This Row],[Rel2]]="","",VLOOKUP(FormFields[[#This Row],[Rel2]],RelationTable[[Display]:[RELID]],2,0)))</f>
        <v/>
      </c>
      <c r="AI36" s="103" t="str">
        <f>IF(FormFields[[#This Row],[NO2]]=0,"nest_relation3",IF(FormFields[[#This Row],[Rel3]]="","",VLOOKUP(FormFields[[#This Row],[Rel3]],RelationTable[[Display]:[RELID]],2,0)))</f>
        <v/>
      </c>
      <c r="AJ36" s="96">
        <f>IF(OR(FormFields[[#This Row],[Option Type]]="",FormFields[[#This Row],[Option Type]]="type"),0,1)</f>
        <v>0</v>
      </c>
      <c r="AK36" s="96" t="str">
        <f>'Table Seed Map'!$A$14&amp;"-"&amp;FormFields[[#This Row],[NO4]]</f>
        <v>Field Options-9</v>
      </c>
      <c r="AL36" s="96">
        <f>COUNTIF($AJ$2:FormFields[[#This Row],[Exists FO]],1)</f>
        <v>9</v>
      </c>
      <c r="AM36" s="96">
        <f>IF(FormFields[[#This Row],[NO4]]=0,"id",FormFields[[#This Row],[NO4]]+IF(ISNUMBER(VLOOKUP('Table Seed Map'!$A$14,SeedMap[],9,0)),VLOOKUP('Table Seed Map'!$A$14,SeedMap[],9,0),0))</f>
        <v>2113109</v>
      </c>
      <c r="AN36" s="104">
        <f>IF(FormFields[[#This Row],[ID]]="id","form_field",FormFields[[#This Row],[ID]])</f>
        <v>2111134</v>
      </c>
      <c r="AO36" s="105"/>
      <c r="AP36" s="105"/>
      <c r="AQ36" s="105"/>
      <c r="AR36" s="105"/>
      <c r="AS36" s="105"/>
      <c r="AT36" s="96">
        <f>IF(OR(FormFields[[#This Row],[Colspan]]="",FormFields[[#This Row],[Colspan]]="colspan"),0,1)</f>
        <v>0</v>
      </c>
      <c r="AU36" s="96" t="str">
        <f>'Table Seed Map'!$A$19&amp;"-"&amp;FormFields[[#This Row],[NO8]]</f>
        <v>Form Layout-7</v>
      </c>
      <c r="AV36" s="96">
        <f>COUNTIF($AT$1:FormFields[[#This Row],[Exists FL]],1)</f>
        <v>7</v>
      </c>
      <c r="AW3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96">
        <f>[Form]</f>
        <v>2110110</v>
      </c>
      <c r="AY36" s="96">
        <f>IF(FormFields[[#This Row],[ID]]="id","form_field",FormFields[[#This Row],[ID]])</f>
        <v>2111134</v>
      </c>
      <c r="AZ36" s="106"/>
      <c r="BA36" s="104">
        <f>FormFields[[#This Row],[ID]]</f>
        <v>2111134</v>
      </c>
      <c r="BC36" s="62" t="s">
        <v>1239</v>
      </c>
      <c r="BD36" s="63" t="str">
        <f>'Table Seed Map'!$A$15&amp;"-"&amp;(-1+COUNTA($BC$1:FieldAttrs[[#This Row],[ATTR Field]]))</f>
        <v>Field Attrs-34</v>
      </c>
      <c r="BE36" s="69">
        <f>IF(FieldAttrs[[#This Row],[ATTR Field]]="","id",-1+COUNTA($BC$1:FieldAttrs[[#This Row],[ATTR Field]])+VLOOKUP('Table Seed Map'!$A$15,SeedMap[],9,0))</f>
        <v>2114134</v>
      </c>
      <c r="BF36" s="104">
        <f>IFERROR(VLOOKUP([ATTR Field],FormFields[[Field Name]:[ID]],2,0),"form_field")</f>
        <v>2111147</v>
      </c>
      <c r="BG36" s="104" t="s">
        <v>1193</v>
      </c>
      <c r="BH36" s="104">
        <v>4</v>
      </c>
    </row>
    <row r="37" spans="13:60">
      <c r="M37" s="95" t="str">
        <f>'Table Seed Map'!$A$12&amp;"-"&amp;FormFields[[#This Row],[No]]</f>
        <v>Form Fields-35</v>
      </c>
      <c r="N37" s="81" t="s">
        <v>1208</v>
      </c>
      <c r="O37" s="96">
        <f>COUNTA($N$1:FormFields[[#This Row],[Form Name]])-1</f>
        <v>35</v>
      </c>
      <c r="P37" s="95" t="str">
        <f>FormFields[[#This Row],[Form Name]]&amp;"/"&amp;FormFields[[#This Row],[Name]]</f>
        <v>Shelf/CreateNewShelfForm/status</v>
      </c>
      <c r="Q37" s="96">
        <f>IF(FormFields[[#This Row],[No]]=0,"id",FormFields[[#This Row],[No]]+IF(ISNUMBER(VLOOKUP('Table Seed Map'!$A$12,SeedMap[],9,0)),VLOOKUP('Table Seed Map'!$A$12,SeedMap[],9,0),0))</f>
        <v>2111135</v>
      </c>
      <c r="R37" s="97">
        <f>IFERROR(VLOOKUP(FormFields[[#This Row],[Form Name]],ResourceForms[[FormName]:[ID]],4,0),"resource_form")</f>
        <v>2110110</v>
      </c>
      <c r="S37" s="98" t="s">
        <v>804</v>
      </c>
      <c r="T37" s="98" t="s">
        <v>1189</v>
      </c>
      <c r="U37" s="98" t="s">
        <v>1190</v>
      </c>
      <c r="V37" s="99"/>
      <c r="W37" s="99"/>
      <c r="X37" s="99"/>
      <c r="Y37" s="99"/>
      <c r="Z37" s="100" t="str">
        <f>'Table Seed Map'!$A$13&amp;"-"&amp;FormFields[[#This Row],[NO2]]</f>
        <v>Field Data-35</v>
      </c>
      <c r="AA37" s="101">
        <f>COUNTIFS($AB$1:FormFields[[#This Row],[Exists]],1)-1</f>
        <v>35</v>
      </c>
      <c r="AB37" s="101">
        <f>IF(AND(FormFields[[#This Row],[Attribute]]="",FormFields[[#This Row],[Rel]]=""),0,1)</f>
        <v>1</v>
      </c>
      <c r="AC37" s="101">
        <f>IF(FormFields[[#This Row],[NO2]]=0,"id",FormFields[[#This Row],[NO2]]+IF(ISNUMBER(VLOOKUP('Table Seed Map'!$A$13,SeedMap[],9,0)),VLOOKUP('Table Seed Map'!$A$13,SeedMap[],9,0),0))</f>
        <v>2112135</v>
      </c>
      <c r="AD37" s="102">
        <f>IF(FormFields[[#This Row],[ID]]="id","form_field",FormFields[[#This Row],[ID]])</f>
        <v>2111135</v>
      </c>
      <c r="AE37" s="101" t="str">
        <f>IF(FormFields[[#This Row],[No]]=0,"attribute",FormFields[[#This Row],[Name]])</f>
        <v>status</v>
      </c>
      <c r="AF37" s="103" t="str">
        <f>IF(FormFields[[#This Row],[NO2]]=0,"relation",IF(FormFields[[#This Row],[Rel]]="","",VLOOKUP(FormFields[[#This Row],[Rel]],RelationTable[[Display]:[RELID]],2,0)))</f>
        <v/>
      </c>
      <c r="AG37" s="103" t="str">
        <f>IF(FormFields[[#This Row],[NO2]]=0,"nest_relation1",IF(FormFields[[#This Row],[Rel1]]="","",VLOOKUP(FormFields[[#This Row],[Rel1]],RelationTable[[Display]:[RELID]],2,0)))</f>
        <v/>
      </c>
      <c r="AH37" s="103" t="str">
        <f>IF(FormFields[[#This Row],[NO2]]=0,"nest_relation2",IF(FormFields[[#This Row],[Rel2]]="","",VLOOKUP(FormFields[[#This Row],[Rel2]],RelationTable[[Display]:[RELID]],2,0)))</f>
        <v/>
      </c>
      <c r="AI37" s="103" t="str">
        <f>IF(FormFields[[#This Row],[NO2]]=0,"nest_relation3",IF(FormFields[[#This Row],[Rel3]]="","",VLOOKUP(FormFields[[#This Row],[Rel3]],RelationTable[[Display]:[RELID]],2,0)))</f>
        <v/>
      </c>
      <c r="AJ37" s="96">
        <f>IF(OR(FormFields[[#This Row],[Option Type]]="",FormFields[[#This Row],[Option Type]]="type"),0,1)</f>
        <v>1</v>
      </c>
      <c r="AK37" s="96" t="str">
        <f>'Table Seed Map'!$A$14&amp;"-"&amp;FormFields[[#This Row],[NO4]]</f>
        <v>Field Options-10</v>
      </c>
      <c r="AL37" s="96">
        <f>COUNTIF($AJ$2:FormFields[[#This Row],[Exists FO]],1)</f>
        <v>10</v>
      </c>
      <c r="AM37" s="96">
        <f>IF(FormFields[[#This Row],[NO4]]=0,"id",FormFields[[#This Row],[NO4]]+IF(ISNUMBER(VLOOKUP('Table Seed Map'!$A$14,SeedMap[],9,0)),VLOOKUP('Table Seed Map'!$A$14,SeedMap[],9,0),0))</f>
        <v>2113110</v>
      </c>
      <c r="AN37" s="104">
        <f>IF(FormFields[[#This Row],[ID]]="id","form_field",FormFields[[#This Row],[ID]])</f>
        <v>2111135</v>
      </c>
      <c r="AO37" s="105" t="s">
        <v>1191</v>
      </c>
      <c r="AP37" s="105"/>
      <c r="AQ37" s="105"/>
      <c r="AR37" s="105"/>
      <c r="AS37" s="105"/>
      <c r="AT37" s="96">
        <f>IF(OR(FormFields[[#This Row],[Colspan]]="",FormFields[[#This Row],[Colspan]]="colspan"),0,1)</f>
        <v>0</v>
      </c>
      <c r="AU37" s="96" t="str">
        <f>'Table Seed Map'!$A$19&amp;"-"&amp;FormFields[[#This Row],[NO8]]</f>
        <v>Form Layout-7</v>
      </c>
      <c r="AV37" s="96">
        <f>COUNTIF($AT$1:FormFields[[#This Row],[Exists FL]],1)</f>
        <v>7</v>
      </c>
      <c r="AW3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96">
        <f>[Form]</f>
        <v>2110110</v>
      </c>
      <c r="AY37" s="96">
        <f>IF(FormFields[[#This Row],[ID]]="id","form_field",FormFields[[#This Row],[ID]])</f>
        <v>2111135</v>
      </c>
      <c r="AZ37" s="106"/>
      <c r="BA37" s="104">
        <f>FormFields[[#This Row],[ID]]</f>
        <v>2111135</v>
      </c>
      <c r="BC37" s="62" t="s">
        <v>1240</v>
      </c>
      <c r="BD37" s="63" t="str">
        <f>'Table Seed Map'!$A$15&amp;"-"&amp;(-1+COUNTA($BC$1:FieldAttrs[[#This Row],[ATTR Field]]))</f>
        <v>Field Attrs-35</v>
      </c>
      <c r="BE37" s="69">
        <f>IF(FieldAttrs[[#This Row],[ATTR Field]]="","id",-1+COUNTA($BC$1:FieldAttrs[[#This Row],[ATTR Field]])+VLOOKUP('Table Seed Map'!$A$15,SeedMap[],9,0))</f>
        <v>2114135</v>
      </c>
      <c r="BF37" s="104">
        <f>IFERROR(VLOOKUP([ATTR Field],FormFields[[Field Name]:[ID]],2,0),"form_field")</f>
        <v>2111148</v>
      </c>
      <c r="BG37" s="104" t="s">
        <v>1193</v>
      </c>
      <c r="BH37" s="104">
        <v>4</v>
      </c>
    </row>
    <row r="38" spans="13:60">
      <c r="M38" s="95" t="str">
        <f>'Table Seed Map'!$A$12&amp;"-"&amp;FormFields[[#This Row],[No]]</f>
        <v>Form Fields-36</v>
      </c>
      <c r="N38" s="81" t="s">
        <v>1212</v>
      </c>
      <c r="O38" s="96">
        <f>COUNTA($N$1:FormFields[[#This Row],[Form Name]])-1</f>
        <v>36</v>
      </c>
      <c r="P38" s="95" t="str">
        <f>FormFields[[#This Row],[Form Name]]&amp;"/"&amp;FormFields[[#This Row],[Name]]</f>
        <v>HubDefaultShelf/AssignHubsDefaultShelf/hub</v>
      </c>
      <c r="Q38" s="96">
        <f>IF(FormFields[[#This Row],[No]]=0,"id",FormFields[[#This Row],[No]]+IF(ISNUMBER(VLOOKUP('Table Seed Map'!$A$12,SeedMap[],9,0)),VLOOKUP('Table Seed Map'!$A$12,SeedMap[],9,0),0))</f>
        <v>2111136</v>
      </c>
      <c r="R38" s="97">
        <f>IFERROR(VLOOKUP(FormFields[[#This Row],[Form Name]],ResourceForms[[FormName]:[ID]],4,0),"resource_form")</f>
        <v>2110111</v>
      </c>
      <c r="S38" s="98" t="s">
        <v>809</v>
      </c>
      <c r="T38" s="98" t="s">
        <v>1189</v>
      </c>
      <c r="U38" s="98" t="s">
        <v>1209</v>
      </c>
      <c r="V38" s="99"/>
      <c r="W38" s="99"/>
      <c r="X38" s="99"/>
      <c r="Y38" s="99"/>
      <c r="Z38" s="100" t="str">
        <f>'Table Seed Map'!$A$13&amp;"-"&amp;FormFields[[#This Row],[NO2]]</f>
        <v>Field Data-36</v>
      </c>
      <c r="AA38" s="101">
        <f>COUNTIFS($AB$1:FormFields[[#This Row],[Exists]],1)-1</f>
        <v>36</v>
      </c>
      <c r="AB38" s="101">
        <f>IF(AND(FormFields[[#This Row],[Attribute]]="",FormFields[[#This Row],[Rel]]=""),0,1)</f>
        <v>1</v>
      </c>
      <c r="AC38" s="101">
        <f>IF(FormFields[[#This Row],[NO2]]=0,"id",FormFields[[#This Row],[NO2]]+IF(ISNUMBER(VLOOKUP('Table Seed Map'!$A$13,SeedMap[],9,0)),VLOOKUP('Table Seed Map'!$A$13,SeedMap[],9,0),0))</f>
        <v>2112136</v>
      </c>
      <c r="AD38" s="102">
        <f>IF(FormFields[[#This Row],[ID]]="id","form_field",FormFields[[#This Row],[ID]])</f>
        <v>2111136</v>
      </c>
      <c r="AE38" s="101" t="str">
        <f>IF(FormFields[[#This Row],[No]]=0,"attribute",FormFields[[#This Row],[Name]])</f>
        <v>hub</v>
      </c>
      <c r="AF38" s="103" t="str">
        <f>IF(FormFields[[#This Row],[NO2]]=0,"relation",IF(FormFields[[#This Row],[Rel]]="","",VLOOKUP(FormFields[[#This Row],[Rel]],RelationTable[[Display]:[RELID]],2,0)))</f>
        <v/>
      </c>
      <c r="AG38" s="103" t="str">
        <f>IF(FormFields[[#This Row],[NO2]]=0,"nest_relation1",IF(FormFields[[#This Row],[Rel1]]="","",VLOOKUP(FormFields[[#This Row],[Rel1]],RelationTable[[Display]:[RELID]],2,0)))</f>
        <v/>
      </c>
      <c r="AH38" s="103" t="str">
        <f>IF(FormFields[[#This Row],[NO2]]=0,"nest_relation2",IF(FormFields[[#This Row],[Rel2]]="","",VLOOKUP(FormFields[[#This Row],[Rel2]],RelationTable[[Display]:[RELID]],2,0)))</f>
        <v/>
      </c>
      <c r="AI38" s="103" t="str">
        <f>IF(FormFields[[#This Row],[NO2]]=0,"nest_relation3",IF(FormFields[[#This Row],[Rel3]]="","",VLOOKUP(FormFields[[#This Row],[Rel3]],RelationTable[[Display]:[RELID]],2,0)))</f>
        <v/>
      </c>
      <c r="AJ38" s="96">
        <f>IF(OR(FormFields[[#This Row],[Option Type]]="",FormFields[[#This Row],[Option Type]]="type"),0,1)</f>
        <v>1</v>
      </c>
      <c r="AK38" s="96" t="str">
        <f>'Table Seed Map'!$A$14&amp;"-"&amp;FormFields[[#This Row],[NO4]]</f>
        <v>Field Options-11</v>
      </c>
      <c r="AL38" s="96">
        <f>COUNTIF($AJ$2:FormFields[[#This Row],[Exists FO]],1)</f>
        <v>11</v>
      </c>
      <c r="AM38" s="96">
        <f>IF(FormFields[[#This Row],[NO4]]=0,"id",FormFields[[#This Row],[NO4]]+IF(ISNUMBER(VLOOKUP('Table Seed Map'!$A$14,SeedMap[],9,0)),VLOOKUP('Table Seed Map'!$A$14,SeedMap[],9,0),0))</f>
        <v>2113111</v>
      </c>
      <c r="AN38" s="104">
        <f>IF(FormFields[[#This Row],[ID]]="id","form_field",FormFields[[#This Row],[ID]])</f>
        <v>2111136</v>
      </c>
      <c r="AO38" s="105" t="s">
        <v>278</v>
      </c>
      <c r="AP38" s="105"/>
      <c r="AQ38" s="105" t="s">
        <v>21</v>
      </c>
      <c r="AR38" s="105" t="s">
        <v>23</v>
      </c>
      <c r="AS38" s="105"/>
      <c r="AT38" s="96">
        <f>IF(OR(FormFields[[#This Row],[Colspan]]="",FormFields[[#This Row],[Colspan]]="colspan"),0,1)</f>
        <v>0</v>
      </c>
      <c r="AU38" s="96" t="str">
        <f>'Table Seed Map'!$A$19&amp;"-"&amp;FormFields[[#This Row],[NO8]]</f>
        <v>Form Layout-7</v>
      </c>
      <c r="AV38" s="96">
        <f>COUNTIF($AT$1:FormFields[[#This Row],[Exists FL]],1)</f>
        <v>7</v>
      </c>
      <c r="AW3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96">
        <f>[Form]</f>
        <v>2110111</v>
      </c>
      <c r="AY38" s="96">
        <f>IF(FormFields[[#This Row],[ID]]="id","form_field",FormFields[[#This Row],[ID]])</f>
        <v>2111136</v>
      </c>
      <c r="AZ38" s="106"/>
      <c r="BA38" s="104">
        <f>FormFields[[#This Row],[ID]]</f>
        <v>2111136</v>
      </c>
      <c r="BC38" s="62" t="s">
        <v>1245</v>
      </c>
      <c r="BD38" s="63" t="str">
        <f>'Table Seed Map'!$A$15&amp;"-"&amp;(-1+COUNTA($BC$1:FieldAttrs[[#This Row],[ATTR Field]]))</f>
        <v>Field Attrs-36</v>
      </c>
      <c r="BE38" s="69">
        <f>IF(FieldAttrs[[#This Row],[ATTR Field]]="","id",-1+COUNTA($BC$1:FieldAttrs[[#This Row],[ATTR Field]])+VLOOKUP('Table Seed Map'!$A$15,SeedMap[],9,0))</f>
        <v>2114136</v>
      </c>
      <c r="BF38" s="104">
        <f>IFERROR(VLOOKUP([ATTR Field],FormFields[[Field Name]:[ID]],2,0),"form_field")</f>
        <v>2111149</v>
      </c>
      <c r="BG38" s="104" t="s">
        <v>1193</v>
      </c>
      <c r="BH38" s="104">
        <v>4</v>
      </c>
    </row>
    <row r="39" spans="13:60">
      <c r="M39" s="95" t="str">
        <f>'Table Seed Map'!$A$12&amp;"-"&amp;FormFields[[#This Row],[No]]</f>
        <v>Form Fields-37</v>
      </c>
      <c r="N39" s="81" t="s">
        <v>1212</v>
      </c>
      <c r="O39" s="96">
        <f>COUNTA($N$1:FormFields[[#This Row],[Form Name]])-1</f>
        <v>37</v>
      </c>
      <c r="P39" s="95" t="str">
        <f>FormFields[[#This Row],[Form Name]]&amp;"/"&amp;FormFields[[#This Row],[Name]]</f>
        <v>HubDefaultShelf/AssignHubsDefaultShelf/shelf</v>
      </c>
      <c r="Q39" s="96">
        <f>IF(FormFields[[#This Row],[No]]=0,"id",FormFields[[#This Row],[No]]+IF(ISNUMBER(VLOOKUP('Table Seed Map'!$A$12,SeedMap[],9,0)),VLOOKUP('Table Seed Map'!$A$12,SeedMap[],9,0),0))</f>
        <v>2111137</v>
      </c>
      <c r="R39" s="97">
        <f>IFERROR(VLOOKUP(FormFields[[#This Row],[Form Name]],ResourceForms[[FormName]:[ID]],4,0),"resource_form")</f>
        <v>2110111</v>
      </c>
      <c r="S39" s="98" t="s">
        <v>1015</v>
      </c>
      <c r="T39" s="98" t="s">
        <v>1189</v>
      </c>
      <c r="U39" s="98" t="s">
        <v>1213</v>
      </c>
      <c r="V39" s="99"/>
      <c r="W39" s="99"/>
      <c r="X39" s="99"/>
      <c r="Y39" s="99"/>
      <c r="Z39" s="100" t="str">
        <f>'Table Seed Map'!$A$13&amp;"-"&amp;FormFields[[#This Row],[NO2]]</f>
        <v>Field Data-37</v>
      </c>
      <c r="AA39" s="101">
        <f>COUNTIFS($AB$1:FormFields[[#This Row],[Exists]],1)-1</f>
        <v>37</v>
      </c>
      <c r="AB39" s="101">
        <f>IF(AND(FormFields[[#This Row],[Attribute]]="",FormFields[[#This Row],[Rel]]=""),0,1)</f>
        <v>1</v>
      </c>
      <c r="AC39" s="101">
        <f>IF(FormFields[[#This Row],[NO2]]=0,"id",FormFields[[#This Row],[NO2]]+IF(ISNUMBER(VLOOKUP('Table Seed Map'!$A$13,SeedMap[],9,0)),VLOOKUP('Table Seed Map'!$A$13,SeedMap[],9,0),0))</f>
        <v>2112137</v>
      </c>
      <c r="AD39" s="102">
        <f>IF(FormFields[[#This Row],[ID]]="id","form_field",FormFields[[#This Row],[ID]])</f>
        <v>2111137</v>
      </c>
      <c r="AE39" s="101" t="str">
        <f>IF(FormFields[[#This Row],[No]]=0,"attribute",FormFields[[#This Row],[Name]])</f>
        <v>shelf</v>
      </c>
      <c r="AF39" s="103" t="str">
        <f>IF(FormFields[[#This Row],[NO2]]=0,"relation",IF(FormFields[[#This Row],[Rel]]="","",VLOOKUP(FormFields[[#This Row],[Rel]],RelationTable[[Display]:[RELID]],2,0)))</f>
        <v/>
      </c>
      <c r="AG39" s="103" t="str">
        <f>IF(FormFields[[#This Row],[NO2]]=0,"nest_relation1",IF(FormFields[[#This Row],[Rel1]]="","",VLOOKUP(FormFields[[#This Row],[Rel1]],RelationTable[[Display]:[RELID]],2,0)))</f>
        <v/>
      </c>
      <c r="AH39" s="103" t="str">
        <f>IF(FormFields[[#This Row],[NO2]]=0,"nest_relation2",IF(FormFields[[#This Row],[Rel2]]="","",VLOOKUP(FormFields[[#This Row],[Rel2]],RelationTable[[Display]:[RELID]],2,0)))</f>
        <v/>
      </c>
      <c r="AI39" s="103" t="str">
        <f>IF(FormFields[[#This Row],[NO2]]=0,"nest_relation3",IF(FormFields[[#This Row],[Rel3]]="","",VLOOKUP(FormFields[[#This Row],[Rel3]],RelationTable[[Display]:[RELID]],2,0)))</f>
        <v/>
      </c>
      <c r="AJ39" s="96">
        <f>IF(OR(FormFields[[#This Row],[Option Type]]="",FormFields[[#This Row],[Option Type]]="type"),0,1)</f>
        <v>1</v>
      </c>
      <c r="AK39" s="96" t="str">
        <f>'Table Seed Map'!$A$14&amp;"-"&amp;FormFields[[#This Row],[NO4]]</f>
        <v>Field Options-12</v>
      </c>
      <c r="AL39" s="96">
        <f>COUNTIF($AJ$2:FormFields[[#This Row],[Exists FO]],1)</f>
        <v>12</v>
      </c>
      <c r="AM39" s="96">
        <f>IF(FormFields[[#This Row],[NO4]]=0,"id",FormFields[[#This Row],[NO4]]+IF(ISNUMBER(VLOOKUP('Table Seed Map'!$A$14,SeedMap[],9,0)),VLOOKUP('Table Seed Map'!$A$14,SeedMap[],9,0),0))</f>
        <v>2113112</v>
      </c>
      <c r="AN39" s="104">
        <f>IF(FormFields[[#This Row],[ID]]="id","form_field",FormFields[[#This Row],[ID]])</f>
        <v>2111137</v>
      </c>
      <c r="AO39" s="105" t="s">
        <v>278</v>
      </c>
      <c r="AP39" s="105"/>
      <c r="AQ39" s="105" t="s">
        <v>21</v>
      </c>
      <c r="AR39" s="105" t="s">
        <v>23</v>
      </c>
      <c r="AS39" s="105"/>
      <c r="AT39" s="96">
        <f>IF(OR(FormFields[[#This Row],[Colspan]]="",FormFields[[#This Row],[Colspan]]="colspan"),0,1)</f>
        <v>0</v>
      </c>
      <c r="AU39" s="96" t="str">
        <f>'Table Seed Map'!$A$19&amp;"-"&amp;FormFields[[#This Row],[NO8]]</f>
        <v>Form Layout-7</v>
      </c>
      <c r="AV39" s="96">
        <f>COUNTIF($AT$1:FormFields[[#This Row],[Exists FL]],1)</f>
        <v>7</v>
      </c>
      <c r="AW3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96">
        <f>[Form]</f>
        <v>2110111</v>
      </c>
      <c r="AY39" s="96">
        <f>IF(FormFields[[#This Row],[ID]]="id","form_field",FormFields[[#This Row],[ID]])</f>
        <v>2111137</v>
      </c>
      <c r="AZ39" s="106"/>
      <c r="BA39" s="104">
        <f>FormFields[[#This Row],[ID]]</f>
        <v>2111137</v>
      </c>
      <c r="BC39" s="62" t="s">
        <v>1246</v>
      </c>
      <c r="BD39" s="63" t="str">
        <f>'Table Seed Map'!$A$15&amp;"-"&amp;(-1+COUNTA($BC$1:FieldAttrs[[#This Row],[ATTR Field]]))</f>
        <v>Field Attrs-37</v>
      </c>
      <c r="BE39" s="69">
        <f>IF(FieldAttrs[[#This Row],[ATTR Field]]="","id",-1+COUNTA($BC$1:FieldAttrs[[#This Row],[ATTR Field]])+VLOOKUP('Table Seed Map'!$A$15,SeedMap[],9,0))</f>
        <v>2114137</v>
      </c>
      <c r="BF39" s="104">
        <f>IFERROR(VLOOKUP([ATTR Field],FormFields[[Field Name]:[ID]],2,0),"form_field")</f>
        <v>2111150</v>
      </c>
      <c r="BG39" s="104" t="s">
        <v>1193</v>
      </c>
      <c r="BH39" s="104">
        <v>4</v>
      </c>
    </row>
    <row r="40" spans="13:60">
      <c r="M40" s="95" t="str">
        <f>'Table Seed Map'!$A$12&amp;"-"&amp;FormFields[[#This Row],[No]]</f>
        <v>Form Fields-38</v>
      </c>
      <c r="N40" s="81" t="s">
        <v>1215</v>
      </c>
      <c r="O40" s="96">
        <f>COUNTA($N$1:FormFields[[#This Row],[Form Name]])-1</f>
        <v>38</v>
      </c>
      <c r="P40" s="95" t="str">
        <f>FormFields[[#This Row],[Form Name]]&amp;"/"&amp;FormFields[[#This Row],[Name]]</f>
        <v>Pricelist/CreateNewPLForm/name</v>
      </c>
      <c r="Q40" s="96">
        <f>IF(FormFields[[#This Row],[No]]=0,"id",FormFields[[#This Row],[No]]+IF(ISNUMBER(VLOOKUP('Table Seed Map'!$A$12,SeedMap[],9,0)),VLOOKUP('Table Seed Map'!$A$12,SeedMap[],9,0),0))</f>
        <v>2111138</v>
      </c>
      <c r="R40" s="97">
        <f>IFERROR(VLOOKUP(FormFields[[#This Row],[Form Name]],ResourceForms[[FormName]:[ID]],4,0),"resource_form")</f>
        <v>2110112</v>
      </c>
      <c r="S40" s="98" t="s">
        <v>23</v>
      </c>
      <c r="T40" s="98" t="s">
        <v>1137</v>
      </c>
      <c r="U40" s="98" t="s">
        <v>1216</v>
      </c>
      <c r="V40" s="99"/>
      <c r="W40" s="99"/>
      <c r="X40" s="99"/>
      <c r="Y40" s="99"/>
      <c r="Z40" s="100" t="str">
        <f>'Table Seed Map'!$A$13&amp;"-"&amp;FormFields[[#This Row],[NO2]]</f>
        <v>Field Data-38</v>
      </c>
      <c r="AA40" s="101">
        <f>COUNTIFS($AB$1:FormFields[[#This Row],[Exists]],1)-1</f>
        <v>38</v>
      </c>
      <c r="AB40" s="101">
        <f>IF(AND(FormFields[[#This Row],[Attribute]]="",FormFields[[#This Row],[Rel]]=""),0,1)</f>
        <v>1</v>
      </c>
      <c r="AC40" s="101">
        <f>IF(FormFields[[#This Row],[NO2]]=0,"id",FormFields[[#This Row],[NO2]]+IF(ISNUMBER(VLOOKUP('Table Seed Map'!$A$13,SeedMap[],9,0)),VLOOKUP('Table Seed Map'!$A$13,SeedMap[],9,0),0))</f>
        <v>2112138</v>
      </c>
      <c r="AD40" s="102">
        <f>IF(FormFields[[#This Row],[ID]]="id","form_field",FormFields[[#This Row],[ID]])</f>
        <v>2111138</v>
      </c>
      <c r="AE40" s="101" t="str">
        <f>IF(FormFields[[#This Row],[No]]=0,"attribute",FormFields[[#This Row],[Name]])</f>
        <v>name</v>
      </c>
      <c r="AF40" s="103" t="str">
        <f>IF(FormFields[[#This Row],[NO2]]=0,"relation",IF(FormFields[[#This Row],[Rel]]="","",VLOOKUP(FormFields[[#This Row],[Rel]],RelationTable[[Display]:[RELID]],2,0)))</f>
        <v/>
      </c>
      <c r="AG40" s="103" t="str">
        <f>IF(FormFields[[#This Row],[NO2]]=0,"nest_relation1",IF(FormFields[[#This Row],[Rel1]]="","",VLOOKUP(FormFields[[#This Row],[Rel1]],RelationTable[[Display]:[RELID]],2,0)))</f>
        <v/>
      </c>
      <c r="AH40" s="103" t="str">
        <f>IF(FormFields[[#This Row],[NO2]]=0,"nest_relation2",IF(FormFields[[#This Row],[Rel2]]="","",VLOOKUP(FormFields[[#This Row],[Rel2]],RelationTable[[Display]:[RELID]],2,0)))</f>
        <v/>
      </c>
      <c r="AI40" s="103" t="str">
        <f>IF(FormFields[[#This Row],[NO2]]=0,"nest_relation3",IF(FormFields[[#This Row],[Rel3]]="","",VLOOKUP(FormFields[[#This Row],[Rel3]],RelationTable[[Display]:[RELID]],2,0)))</f>
        <v/>
      </c>
      <c r="AJ40" s="96">
        <f>IF(OR(FormFields[[#This Row],[Option Type]]="",FormFields[[#This Row],[Option Type]]="type"),0,1)</f>
        <v>0</v>
      </c>
      <c r="AK40" s="96" t="str">
        <f>'Table Seed Map'!$A$14&amp;"-"&amp;FormFields[[#This Row],[NO4]]</f>
        <v>Field Options-12</v>
      </c>
      <c r="AL40" s="96">
        <f>COUNTIF($AJ$2:FormFields[[#This Row],[Exists FO]],1)</f>
        <v>12</v>
      </c>
      <c r="AM40" s="96">
        <f>IF(FormFields[[#This Row],[NO4]]=0,"id",FormFields[[#This Row],[NO4]]+IF(ISNUMBER(VLOOKUP('Table Seed Map'!$A$14,SeedMap[],9,0)),VLOOKUP('Table Seed Map'!$A$14,SeedMap[],9,0),0))</f>
        <v>2113112</v>
      </c>
      <c r="AN40" s="104">
        <f>IF(FormFields[[#This Row],[ID]]="id","form_field",FormFields[[#This Row],[ID]])</f>
        <v>2111138</v>
      </c>
      <c r="AO40" s="105"/>
      <c r="AP40" s="105"/>
      <c r="AQ40" s="105"/>
      <c r="AR40" s="105"/>
      <c r="AS40" s="105"/>
      <c r="AT40" s="96">
        <f>IF(OR(FormFields[[#This Row],[Colspan]]="",FormFields[[#This Row],[Colspan]]="colspan"),0,1)</f>
        <v>0</v>
      </c>
      <c r="AU40" s="96" t="str">
        <f>'Table Seed Map'!$A$19&amp;"-"&amp;FormFields[[#This Row],[NO8]]</f>
        <v>Form Layout-7</v>
      </c>
      <c r="AV40" s="96">
        <f>COUNTIF($AT$1:FormFields[[#This Row],[Exists FL]],1)</f>
        <v>7</v>
      </c>
      <c r="AW4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0" s="96">
        <f>[Form]</f>
        <v>2110112</v>
      </c>
      <c r="AY40" s="96">
        <f>IF(FormFields[[#This Row],[ID]]="id","form_field",FormFields[[#This Row],[ID]])</f>
        <v>2111138</v>
      </c>
      <c r="AZ40" s="106"/>
      <c r="BA40" s="104">
        <f>FormFields[[#This Row],[ID]]</f>
        <v>2111138</v>
      </c>
      <c r="BC40" s="62" t="s">
        <v>1260</v>
      </c>
      <c r="BD40" s="63" t="str">
        <f>'Table Seed Map'!$A$15&amp;"-"&amp;(-1+COUNTA($BC$1:FieldAttrs[[#This Row],[ATTR Field]]))</f>
        <v>Field Attrs-38</v>
      </c>
      <c r="BE40" s="69">
        <f>IF(FieldAttrs[[#This Row],[ATTR Field]]="","id",-1+COUNTA($BC$1:FieldAttrs[[#This Row],[ATTR Field]])+VLOOKUP('Table Seed Map'!$A$15,SeedMap[],9,0))</f>
        <v>2114138</v>
      </c>
      <c r="BF40" s="104">
        <f>IFERROR(VLOOKUP([ATTR Field],FormFields[[Field Name]:[ID]],2,0),"form_field")</f>
        <v>2111151</v>
      </c>
      <c r="BG40" s="104" t="s">
        <v>1193</v>
      </c>
      <c r="BH40" s="104">
        <v>4</v>
      </c>
    </row>
    <row r="41" spans="13:60">
      <c r="M41" s="95" t="str">
        <f>'Table Seed Map'!$A$12&amp;"-"&amp;FormFields[[#This Row],[No]]</f>
        <v>Form Fields-39</v>
      </c>
      <c r="N41" s="81" t="s">
        <v>1215</v>
      </c>
      <c r="O41" s="96">
        <f>COUNTA($N$1:FormFields[[#This Row],[Form Name]])-1</f>
        <v>39</v>
      </c>
      <c r="P41" s="95" t="str">
        <f>FormFields[[#This Row],[Form Name]]&amp;"/"&amp;FormFields[[#This Row],[Name]]</f>
        <v>Pricelist/CreateNewPLForm/description</v>
      </c>
      <c r="Q41" s="96">
        <f>IF(FormFields[[#This Row],[No]]=0,"id",FormFields[[#This Row],[No]]+IF(ISNUMBER(VLOOKUP('Table Seed Map'!$A$12,SeedMap[],9,0)),VLOOKUP('Table Seed Map'!$A$12,SeedMap[],9,0),0))</f>
        <v>2111139</v>
      </c>
      <c r="R41" s="97">
        <f>IFERROR(VLOOKUP(FormFields[[#This Row],[Form Name]],ResourceForms[[FormName]:[ID]],4,0),"resource_form")</f>
        <v>2110112</v>
      </c>
      <c r="S41" s="98" t="s">
        <v>24</v>
      </c>
      <c r="T41" s="98" t="s">
        <v>1153</v>
      </c>
      <c r="U41" s="98" t="s">
        <v>102</v>
      </c>
      <c r="V41" s="99"/>
      <c r="W41" s="99"/>
      <c r="X41" s="99"/>
      <c r="Y41" s="99"/>
      <c r="Z41" s="100" t="str">
        <f>'Table Seed Map'!$A$13&amp;"-"&amp;FormFields[[#This Row],[NO2]]</f>
        <v>Field Data-39</v>
      </c>
      <c r="AA41" s="101">
        <f>COUNTIFS($AB$1:FormFields[[#This Row],[Exists]],1)-1</f>
        <v>39</v>
      </c>
      <c r="AB41" s="101">
        <f>IF(AND(FormFields[[#This Row],[Attribute]]="",FormFields[[#This Row],[Rel]]=""),0,1)</f>
        <v>1</v>
      </c>
      <c r="AC41" s="101">
        <f>IF(FormFields[[#This Row],[NO2]]=0,"id",FormFields[[#This Row],[NO2]]+IF(ISNUMBER(VLOOKUP('Table Seed Map'!$A$13,SeedMap[],9,0)),VLOOKUP('Table Seed Map'!$A$13,SeedMap[],9,0),0))</f>
        <v>2112139</v>
      </c>
      <c r="AD41" s="102">
        <f>IF(FormFields[[#This Row],[ID]]="id","form_field",FormFields[[#This Row],[ID]])</f>
        <v>2111139</v>
      </c>
      <c r="AE41" s="101" t="str">
        <f>IF(FormFields[[#This Row],[No]]=0,"attribute",FormFields[[#This Row],[Name]])</f>
        <v>description</v>
      </c>
      <c r="AF41" s="103" t="str">
        <f>IF(FormFields[[#This Row],[NO2]]=0,"relation",IF(FormFields[[#This Row],[Rel]]="","",VLOOKUP(FormFields[[#This Row],[Rel]],RelationTable[[Display]:[RELID]],2,0)))</f>
        <v/>
      </c>
      <c r="AG41" s="103" t="str">
        <f>IF(FormFields[[#This Row],[NO2]]=0,"nest_relation1",IF(FormFields[[#This Row],[Rel1]]="","",VLOOKUP(FormFields[[#This Row],[Rel1]],RelationTable[[Display]:[RELID]],2,0)))</f>
        <v/>
      </c>
      <c r="AH41" s="103" t="str">
        <f>IF(FormFields[[#This Row],[NO2]]=0,"nest_relation2",IF(FormFields[[#This Row],[Rel2]]="","",VLOOKUP(FormFields[[#This Row],[Rel2]],RelationTable[[Display]:[RELID]],2,0)))</f>
        <v/>
      </c>
      <c r="AI41" s="103" t="str">
        <f>IF(FormFields[[#This Row],[NO2]]=0,"nest_relation3",IF(FormFields[[#This Row],[Rel3]]="","",VLOOKUP(FormFields[[#This Row],[Rel3]],RelationTable[[Display]:[RELID]],2,0)))</f>
        <v/>
      </c>
      <c r="AJ41" s="96">
        <f>IF(OR(FormFields[[#This Row],[Option Type]]="",FormFields[[#This Row],[Option Type]]="type"),0,1)</f>
        <v>0</v>
      </c>
      <c r="AK41" s="96" t="str">
        <f>'Table Seed Map'!$A$14&amp;"-"&amp;FormFields[[#This Row],[NO4]]</f>
        <v>Field Options-12</v>
      </c>
      <c r="AL41" s="96">
        <f>COUNTIF($AJ$2:FormFields[[#This Row],[Exists FO]],1)</f>
        <v>12</v>
      </c>
      <c r="AM41" s="96">
        <f>IF(FormFields[[#This Row],[NO4]]=0,"id",FormFields[[#This Row],[NO4]]+IF(ISNUMBER(VLOOKUP('Table Seed Map'!$A$14,SeedMap[],9,0)),VLOOKUP('Table Seed Map'!$A$14,SeedMap[],9,0),0))</f>
        <v>2113112</v>
      </c>
      <c r="AN41" s="104">
        <f>IF(FormFields[[#This Row],[ID]]="id","form_field",FormFields[[#This Row],[ID]])</f>
        <v>2111139</v>
      </c>
      <c r="AO41" s="105"/>
      <c r="AP41" s="105"/>
      <c r="AQ41" s="105"/>
      <c r="AR41" s="105"/>
      <c r="AS41" s="105"/>
      <c r="AT41" s="96">
        <f>IF(OR(FormFields[[#This Row],[Colspan]]="",FormFields[[#This Row],[Colspan]]="colspan"),0,1)</f>
        <v>0</v>
      </c>
      <c r="AU41" s="96" t="str">
        <f>'Table Seed Map'!$A$19&amp;"-"&amp;FormFields[[#This Row],[NO8]]</f>
        <v>Form Layout-7</v>
      </c>
      <c r="AV41" s="96">
        <f>COUNTIF($AT$1:FormFields[[#This Row],[Exists FL]],1)</f>
        <v>7</v>
      </c>
      <c r="AW4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1" s="96">
        <f>[Form]</f>
        <v>2110112</v>
      </c>
      <c r="AY41" s="96">
        <f>IF(FormFields[[#This Row],[ID]]="id","form_field",FormFields[[#This Row],[ID]])</f>
        <v>2111139</v>
      </c>
      <c r="AZ41" s="106"/>
      <c r="BA41" s="104">
        <f>FormFields[[#This Row],[ID]]</f>
        <v>2111139</v>
      </c>
      <c r="BC41" s="62" t="s">
        <v>1852</v>
      </c>
      <c r="BD41" s="63" t="str">
        <f>'Table Seed Map'!$A$15&amp;"-"&amp;(-1+COUNTA($BC$1:FieldAttrs[[#This Row],[ATTR Field]]))</f>
        <v>Field Attrs-39</v>
      </c>
      <c r="BE41" s="69">
        <f>IF(FieldAttrs[[#This Row],[ATTR Field]]="","id",-1+COUNTA($BC$1:FieldAttrs[[#This Row],[ATTR Field]])+VLOOKUP('Table Seed Map'!$A$15,SeedMap[],9,0))</f>
        <v>2114139</v>
      </c>
      <c r="BF41" s="104">
        <f>IFERROR(VLOOKUP([ATTR Field],FormFields[[Field Name]:[ID]],2,0),"form_field")</f>
        <v>2111156</v>
      </c>
      <c r="BG41" s="104" t="s">
        <v>1193</v>
      </c>
      <c r="BH41" s="104">
        <v>4</v>
      </c>
    </row>
    <row r="42" spans="13:60">
      <c r="M42" s="95" t="str">
        <f>'Table Seed Map'!$A$12&amp;"-"&amp;FormFields[[#This Row],[No]]</f>
        <v>Form Fields-40</v>
      </c>
      <c r="N42" s="81" t="s">
        <v>1215</v>
      </c>
      <c r="O42" s="96">
        <f>COUNTA($N$1:FormFields[[#This Row],[Form Name]])-1</f>
        <v>40</v>
      </c>
      <c r="P42" s="95" t="str">
        <f>FormFields[[#This Row],[Form Name]]&amp;"/"&amp;FormFields[[#This Row],[Name]]</f>
        <v>Pricelist/CreateNewPLForm/status</v>
      </c>
      <c r="Q42" s="96">
        <f>IF(FormFields[[#This Row],[No]]=0,"id",FormFields[[#This Row],[No]]+IF(ISNUMBER(VLOOKUP('Table Seed Map'!$A$12,SeedMap[],9,0)),VLOOKUP('Table Seed Map'!$A$12,SeedMap[],9,0),0))</f>
        <v>2111140</v>
      </c>
      <c r="R42" s="97">
        <f>IFERROR(VLOOKUP(FormFields[[#This Row],[Form Name]],ResourceForms[[FormName]:[ID]],4,0),"resource_form")</f>
        <v>2110112</v>
      </c>
      <c r="S42" s="98" t="s">
        <v>804</v>
      </c>
      <c r="T42" s="98" t="s">
        <v>1189</v>
      </c>
      <c r="U42" s="98" t="s">
        <v>1190</v>
      </c>
      <c r="V42" s="99"/>
      <c r="W42" s="99"/>
      <c r="X42" s="99"/>
      <c r="Y42" s="99"/>
      <c r="Z42" s="100" t="str">
        <f>'Table Seed Map'!$A$13&amp;"-"&amp;FormFields[[#This Row],[NO2]]</f>
        <v>Field Data-40</v>
      </c>
      <c r="AA42" s="101">
        <f>COUNTIFS($AB$1:FormFields[[#This Row],[Exists]],1)-1</f>
        <v>40</v>
      </c>
      <c r="AB42" s="101">
        <f>IF(AND(FormFields[[#This Row],[Attribute]]="",FormFields[[#This Row],[Rel]]=""),0,1)</f>
        <v>1</v>
      </c>
      <c r="AC42" s="101">
        <f>IF(FormFields[[#This Row],[NO2]]=0,"id",FormFields[[#This Row],[NO2]]+IF(ISNUMBER(VLOOKUP('Table Seed Map'!$A$13,SeedMap[],9,0)),VLOOKUP('Table Seed Map'!$A$13,SeedMap[],9,0),0))</f>
        <v>2112140</v>
      </c>
      <c r="AD42" s="102">
        <f>IF(FormFields[[#This Row],[ID]]="id","form_field",FormFields[[#This Row],[ID]])</f>
        <v>2111140</v>
      </c>
      <c r="AE42" s="101" t="str">
        <f>IF(FormFields[[#This Row],[No]]=0,"attribute",FormFields[[#This Row],[Name]])</f>
        <v>status</v>
      </c>
      <c r="AF42" s="103" t="str">
        <f>IF(FormFields[[#This Row],[NO2]]=0,"relation",IF(FormFields[[#This Row],[Rel]]="","",VLOOKUP(FormFields[[#This Row],[Rel]],RelationTable[[Display]:[RELID]],2,0)))</f>
        <v/>
      </c>
      <c r="AG42" s="103" t="str">
        <f>IF(FormFields[[#This Row],[NO2]]=0,"nest_relation1",IF(FormFields[[#This Row],[Rel1]]="","",VLOOKUP(FormFields[[#This Row],[Rel1]],RelationTable[[Display]:[RELID]],2,0)))</f>
        <v/>
      </c>
      <c r="AH42" s="103" t="str">
        <f>IF(FormFields[[#This Row],[NO2]]=0,"nest_relation2",IF(FormFields[[#This Row],[Rel2]]="","",VLOOKUP(FormFields[[#This Row],[Rel2]],RelationTable[[Display]:[RELID]],2,0)))</f>
        <v/>
      </c>
      <c r="AI42" s="103" t="str">
        <f>IF(FormFields[[#This Row],[NO2]]=0,"nest_relation3",IF(FormFields[[#This Row],[Rel3]]="","",VLOOKUP(FormFields[[#This Row],[Rel3]],RelationTable[[Display]:[RELID]],2,0)))</f>
        <v/>
      </c>
      <c r="AJ42" s="96">
        <f>IF(OR(FormFields[[#This Row],[Option Type]]="",FormFields[[#This Row],[Option Type]]="type"),0,1)</f>
        <v>1</v>
      </c>
      <c r="AK42" s="96" t="str">
        <f>'Table Seed Map'!$A$14&amp;"-"&amp;FormFields[[#This Row],[NO4]]</f>
        <v>Field Options-13</v>
      </c>
      <c r="AL42" s="96">
        <f>COUNTIF($AJ$2:FormFields[[#This Row],[Exists FO]],1)</f>
        <v>13</v>
      </c>
      <c r="AM42" s="96">
        <f>IF(FormFields[[#This Row],[NO4]]=0,"id",FormFields[[#This Row],[NO4]]+IF(ISNUMBER(VLOOKUP('Table Seed Map'!$A$14,SeedMap[],9,0)),VLOOKUP('Table Seed Map'!$A$14,SeedMap[],9,0),0))</f>
        <v>2113113</v>
      </c>
      <c r="AN42" s="104">
        <f>IF(FormFields[[#This Row],[ID]]="id","form_field",FormFields[[#This Row],[ID]])</f>
        <v>2111140</v>
      </c>
      <c r="AO42" s="105" t="s">
        <v>1191</v>
      </c>
      <c r="AP42" s="105"/>
      <c r="AQ42" s="105"/>
      <c r="AR42" s="105"/>
      <c r="AS42" s="105"/>
      <c r="AT42" s="96">
        <f>IF(OR(FormFields[[#This Row],[Colspan]]="",FormFields[[#This Row],[Colspan]]="colspan"),0,1)</f>
        <v>0</v>
      </c>
      <c r="AU42" s="96" t="str">
        <f>'Table Seed Map'!$A$19&amp;"-"&amp;FormFields[[#This Row],[NO8]]</f>
        <v>Form Layout-7</v>
      </c>
      <c r="AV42" s="96">
        <f>COUNTIF($AT$1:FormFields[[#This Row],[Exists FL]],1)</f>
        <v>7</v>
      </c>
      <c r="AW4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2" s="96">
        <f>[Form]</f>
        <v>2110112</v>
      </c>
      <c r="AY42" s="96">
        <f>IF(FormFields[[#This Row],[ID]]="id","form_field",FormFields[[#This Row],[ID]])</f>
        <v>2111140</v>
      </c>
      <c r="AZ42" s="106"/>
      <c r="BA42" s="104">
        <f>FormFields[[#This Row],[ID]]</f>
        <v>2111140</v>
      </c>
      <c r="BC42" s="62" t="s">
        <v>1257</v>
      </c>
      <c r="BD42" s="63" t="str">
        <f>'Table Seed Map'!$A$15&amp;"-"&amp;(-1+COUNTA($BC$1:FieldAttrs[[#This Row],[ATTR Field]]))</f>
        <v>Field Attrs-40</v>
      </c>
      <c r="BE42" s="69">
        <f>IF(FieldAttrs[[#This Row],[ATTR Field]]="","id",-1+COUNTA($BC$1:FieldAttrs[[#This Row],[ATTR Field]])+VLOOKUP('Table Seed Map'!$A$15,SeedMap[],9,0))</f>
        <v>2114140</v>
      </c>
      <c r="BF42" s="104">
        <f>IFERROR(VLOOKUP([ATTR Field],FormFields[[Field Name]:[ID]],2,0),"form_field")</f>
        <v>2111157</v>
      </c>
      <c r="BG42" s="104" t="s">
        <v>1193</v>
      </c>
      <c r="BH42" s="104">
        <v>4</v>
      </c>
    </row>
    <row r="43" spans="13:60">
      <c r="M43" s="95" t="str">
        <f>'Table Seed Map'!$A$12&amp;"-"&amp;FormFields[[#This Row],[No]]</f>
        <v>Form Fields-41</v>
      </c>
      <c r="N43" s="81" t="s">
        <v>1218</v>
      </c>
      <c r="O43" s="96">
        <f>COUNTA($N$1:FormFields[[#This Row],[Form Name]])-1</f>
        <v>41</v>
      </c>
      <c r="P43" s="95" t="str">
        <f>FormFields[[#This Row],[Form Name]]&amp;"/"&amp;FormFields[[#This Row],[Name]]</f>
        <v>PricelistContent/AddContentsToPL/pl</v>
      </c>
      <c r="Q43" s="96">
        <f>IF(FormFields[[#This Row],[No]]=0,"id",FormFields[[#This Row],[No]]+IF(ISNUMBER(VLOOKUP('Table Seed Map'!$A$12,SeedMap[],9,0)),VLOOKUP('Table Seed Map'!$A$12,SeedMap[],9,0),0))</f>
        <v>2111141</v>
      </c>
      <c r="R43" s="97">
        <f>IFERROR(VLOOKUP(FormFields[[#This Row],[Form Name]],ResourceForms[[FormName]:[ID]],4,0),"resource_form")</f>
        <v>2110113</v>
      </c>
      <c r="S43" s="98" t="s">
        <v>820</v>
      </c>
      <c r="T43" s="98" t="s">
        <v>1189</v>
      </c>
      <c r="U43" s="98" t="s">
        <v>901</v>
      </c>
      <c r="V43" s="99"/>
      <c r="W43" s="99"/>
      <c r="X43" s="99"/>
      <c r="Y43" s="99"/>
      <c r="Z43" s="100" t="str">
        <f>'Table Seed Map'!$A$13&amp;"-"&amp;FormFields[[#This Row],[NO2]]</f>
        <v>Field Data-41</v>
      </c>
      <c r="AA43" s="101">
        <f>COUNTIFS($AB$1:FormFields[[#This Row],[Exists]],1)-1</f>
        <v>41</v>
      </c>
      <c r="AB43" s="101">
        <f>IF(AND(FormFields[[#This Row],[Attribute]]="",FormFields[[#This Row],[Rel]]=""),0,1)</f>
        <v>1</v>
      </c>
      <c r="AC43" s="101">
        <f>IF(FormFields[[#This Row],[NO2]]=0,"id",FormFields[[#This Row],[NO2]]+IF(ISNUMBER(VLOOKUP('Table Seed Map'!$A$13,SeedMap[],9,0)),VLOOKUP('Table Seed Map'!$A$13,SeedMap[],9,0),0))</f>
        <v>2112141</v>
      </c>
      <c r="AD43" s="102">
        <f>IF(FormFields[[#This Row],[ID]]="id","form_field",FormFields[[#This Row],[ID]])</f>
        <v>2111141</v>
      </c>
      <c r="AE43" s="101" t="str">
        <f>IF(FormFields[[#This Row],[No]]=0,"attribute",FormFields[[#This Row],[Name]])</f>
        <v>pl</v>
      </c>
      <c r="AF43" s="103" t="str">
        <f>IF(FormFields[[#This Row],[NO2]]=0,"relation",IF(FormFields[[#This Row],[Rel]]="","",VLOOKUP(FormFields[[#This Row],[Rel]],RelationTable[[Display]:[RELID]],2,0)))</f>
        <v/>
      </c>
      <c r="AG43" s="103" t="str">
        <f>IF(FormFields[[#This Row],[NO2]]=0,"nest_relation1",IF(FormFields[[#This Row],[Rel1]]="","",VLOOKUP(FormFields[[#This Row],[Rel1]],RelationTable[[Display]:[RELID]],2,0)))</f>
        <v/>
      </c>
      <c r="AH43" s="103" t="str">
        <f>IF(FormFields[[#This Row],[NO2]]=0,"nest_relation2",IF(FormFields[[#This Row],[Rel2]]="","",VLOOKUP(FormFields[[#This Row],[Rel2]],RelationTable[[Display]:[RELID]],2,0)))</f>
        <v/>
      </c>
      <c r="AI43" s="103" t="str">
        <f>IF(FormFields[[#This Row],[NO2]]=0,"nest_relation3",IF(FormFields[[#This Row],[Rel3]]="","",VLOOKUP(FormFields[[#This Row],[Rel3]],RelationTable[[Display]:[RELID]],2,0)))</f>
        <v/>
      </c>
      <c r="AJ43" s="96">
        <f>IF(OR(FormFields[[#This Row],[Option Type]]="",FormFields[[#This Row],[Option Type]]="type"),0,1)</f>
        <v>1</v>
      </c>
      <c r="AK43" s="96" t="str">
        <f>'Table Seed Map'!$A$14&amp;"-"&amp;FormFields[[#This Row],[NO4]]</f>
        <v>Field Options-14</v>
      </c>
      <c r="AL43" s="96">
        <f>COUNTIF($AJ$2:FormFields[[#This Row],[Exists FO]],1)</f>
        <v>14</v>
      </c>
      <c r="AM43" s="96">
        <f>IF(FormFields[[#This Row],[NO4]]=0,"id",FormFields[[#This Row],[NO4]]+IF(ISNUMBER(VLOOKUP('Table Seed Map'!$A$14,SeedMap[],9,0)),VLOOKUP('Table Seed Map'!$A$14,SeedMap[],9,0),0))</f>
        <v>2113114</v>
      </c>
      <c r="AN43" s="104">
        <f>IF(FormFields[[#This Row],[ID]]="id","form_field",FormFields[[#This Row],[ID]])</f>
        <v>2111141</v>
      </c>
      <c r="AO43" s="105" t="s">
        <v>278</v>
      </c>
      <c r="AP43" s="105"/>
      <c r="AQ43" s="105" t="s">
        <v>21</v>
      </c>
      <c r="AR43" s="105" t="s">
        <v>23</v>
      </c>
      <c r="AS43" s="105"/>
      <c r="AT43" s="96">
        <f>IF(OR(FormFields[[#This Row],[Colspan]]="",FormFields[[#This Row],[Colspan]]="colspan"),0,1)</f>
        <v>0</v>
      </c>
      <c r="AU43" s="96" t="str">
        <f>'Table Seed Map'!$A$19&amp;"-"&amp;FormFields[[#This Row],[NO8]]</f>
        <v>Form Layout-7</v>
      </c>
      <c r="AV43" s="96">
        <f>COUNTIF($AT$1:FormFields[[#This Row],[Exists FL]],1)</f>
        <v>7</v>
      </c>
      <c r="AW4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3" s="96">
        <f>[Form]</f>
        <v>2110113</v>
      </c>
      <c r="AY43" s="96">
        <f>IF(FormFields[[#This Row],[ID]]="id","form_field",FormFields[[#This Row],[ID]])</f>
        <v>2111141</v>
      </c>
      <c r="AZ43" s="106"/>
      <c r="BA43" s="104">
        <f>FormFields[[#This Row],[ID]]</f>
        <v>2111141</v>
      </c>
      <c r="BC43" s="62" t="s">
        <v>1258</v>
      </c>
      <c r="BD43" s="63" t="str">
        <f>'Table Seed Map'!$A$15&amp;"-"&amp;(-1+COUNTA($BC$1:FieldAttrs[[#This Row],[ATTR Field]]))</f>
        <v>Field Attrs-41</v>
      </c>
      <c r="BE43" s="69">
        <f>IF(FieldAttrs[[#This Row],[ATTR Field]]="","id",-1+COUNTA($BC$1:FieldAttrs[[#This Row],[ATTR Field]])+VLOOKUP('Table Seed Map'!$A$15,SeedMap[],9,0))</f>
        <v>2114141</v>
      </c>
      <c r="BF43" s="104">
        <f>IFERROR(VLOOKUP([ATTR Field],FormFields[[Field Name]:[ID]],2,0),"form_field")</f>
        <v>2111158</v>
      </c>
      <c r="BG43" s="104" t="s">
        <v>1193</v>
      </c>
      <c r="BH43" s="104">
        <v>4</v>
      </c>
    </row>
    <row r="44" spans="13:60">
      <c r="M44" s="95" t="str">
        <f>'Table Seed Map'!$A$12&amp;"-"&amp;FormFields[[#This Row],[No]]</f>
        <v>Form Fields-42</v>
      </c>
      <c r="N44" s="81" t="s">
        <v>1218</v>
      </c>
      <c r="O44" s="96">
        <f>COUNTA($N$1:FormFields[[#This Row],[Form Name]])-1</f>
        <v>42</v>
      </c>
      <c r="P44" s="95" t="str">
        <f>FormFields[[#This Row],[Form Name]]&amp;"/"&amp;FormFields[[#This Row],[Name]]</f>
        <v>PricelistContent/AddContentsToPL/is</v>
      </c>
      <c r="Q44" s="96">
        <f>IF(FormFields[[#This Row],[No]]=0,"id",FormFields[[#This Row],[No]]+IF(ISNUMBER(VLOOKUP('Table Seed Map'!$A$12,SeedMap[],9,0)),VLOOKUP('Table Seed Map'!$A$12,SeedMap[],9,0),0))</f>
        <v>2111142</v>
      </c>
      <c r="R44" s="97">
        <f>IFERROR(VLOOKUP(FormFields[[#This Row],[Form Name]],ResourceForms[[FormName]:[ID]],4,0),"resource_form")</f>
        <v>2110113</v>
      </c>
      <c r="S44" s="98" t="s">
        <v>823</v>
      </c>
      <c r="T44" s="98" t="s">
        <v>1189</v>
      </c>
      <c r="U44" s="98" t="s">
        <v>778</v>
      </c>
      <c r="V44" s="99"/>
      <c r="W44" s="99"/>
      <c r="X44" s="99"/>
      <c r="Y44" s="99"/>
      <c r="Z44" s="100" t="str">
        <f>'Table Seed Map'!$A$13&amp;"-"&amp;FormFields[[#This Row],[NO2]]</f>
        <v>Field Data-42</v>
      </c>
      <c r="AA44" s="101">
        <f>COUNTIFS($AB$1:FormFields[[#This Row],[Exists]],1)-1</f>
        <v>42</v>
      </c>
      <c r="AB44" s="101">
        <f>IF(AND(FormFields[[#This Row],[Attribute]]="",FormFields[[#This Row],[Rel]]=""),0,1)</f>
        <v>1</v>
      </c>
      <c r="AC44" s="101">
        <f>IF(FormFields[[#This Row],[NO2]]=0,"id",FormFields[[#This Row],[NO2]]+IF(ISNUMBER(VLOOKUP('Table Seed Map'!$A$13,SeedMap[],9,0)),VLOOKUP('Table Seed Map'!$A$13,SeedMap[],9,0),0))</f>
        <v>2112142</v>
      </c>
      <c r="AD44" s="102">
        <f>IF(FormFields[[#This Row],[ID]]="id","form_field",FormFields[[#This Row],[ID]])</f>
        <v>2111142</v>
      </c>
      <c r="AE44" s="101" t="str">
        <f>IF(FormFields[[#This Row],[No]]=0,"attribute",FormFields[[#This Row],[Name]])</f>
        <v>is</v>
      </c>
      <c r="AF44" s="103" t="str">
        <f>IF(FormFields[[#This Row],[NO2]]=0,"relation",IF(FormFields[[#This Row],[Rel]]="","",VLOOKUP(FormFields[[#This Row],[Rel]],RelationTable[[Display]:[RELID]],2,0)))</f>
        <v/>
      </c>
      <c r="AG44" s="103" t="str">
        <f>IF(FormFields[[#This Row],[NO2]]=0,"nest_relation1",IF(FormFields[[#This Row],[Rel1]]="","",VLOOKUP(FormFields[[#This Row],[Rel1]],RelationTable[[Display]:[RELID]],2,0)))</f>
        <v/>
      </c>
      <c r="AH44" s="103" t="str">
        <f>IF(FormFields[[#This Row],[NO2]]=0,"nest_relation2",IF(FormFields[[#This Row],[Rel2]]="","",VLOOKUP(FormFields[[#This Row],[Rel2]],RelationTable[[Display]:[RELID]],2,0)))</f>
        <v/>
      </c>
      <c r="AI44" s="103" t="str">
        <f>IF(FormFields[[#This Row],[NO2]]=0,"nest_relation3",IF(FormFields[[#This Row],[Rel3]]="","",VLOOKUP(FormFields[[#This Row],[Rel3]],RelationTable[[Display]:[RELID]],2,0)))</f>
        <v/>
      </c>
      <c r="AJ44" s="96">
        <f>IF(OR(FormFields[[#This Row],[Option Type]]="",FormFields[[#This Row],[Option Type]]="type"),0,1)</f>
        <v>1</v>
      </c>
      <c r="AK44" s="96" t="str">
        <f>'Table Seed Map'!$A$14&amp;"-"&amp;FormFields[[#This Row],[NO4]]</f>
        <v>Field Options-15</v>
      </c>
      <c r="AL44" s="96">
        <f>COUNTIF($AJ$2:FormFields[[#This Row],[Exists FO]],1)</f>
        <v>15</v>
      </c>
      <c r="AM44" s="96">
        <f>IF(FormFields[[#This Row],[NO4]]=0,"id",FormFields[[#This Row],[NO4]]+IF(ISNUMBER(VLOOKUP('Table Seed Map'!$A$14,SeedMap[],9,0)),VLOOKUP('Table Seed Map'!$A$14,SeedMap[],9,0),0))</f>
        <v>2113115</v>
      </c>
      <c r="AN44" s="104">
        <f>IF(FormFields[[#This Row],[ID]]="id","form_field",FormFields[[#This Row],[ID]])</f>
        <v>2111142</v>
      </c>
      <c r="AO44" s="105" t="s">
        <v>278</v>
      </c>
      <c r="AP44" s="105"/>
      <c r="AQ44" s="105" t="s">
        <v>21</v>
      </c>
      <c r="AR44" s="105" t="s">
        <v>23</v>
      </c>
      <c r="AS44" s="105"/>
      <c r="AT44" s="96">
        <f>IF(OR(FormFields[[#This Row],[Colspan]]="",FormFields[[#This Row],[Colspan]]="colspan"),0,1)</f>
        <v>0</v>
      </c>
      <c r="AU44" s="96" t="str">
        <f>'Table Seed Map'!$A$19&amp;"-"&amp;FormFields[[#This Row],[NO8]]</f>
        <v>Form Layout-7</v>
      </c>
      <c r="AV44" s="96">
        <f>COUNTIF($AT$1:FormFields[[#This Row],[Exists FL]],1)</f>
        <v>7</v>
      </c>
      <c r="AW4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4" s="96">
        <f>[Form]</f>
        <v>2110113</v>
      </c>
      <c r="AY44" s="96">
        <f>IF(FormFields[[#This Row],[ID]]="id","form_field",FormFields[[#This Row],[ID]])</f>
        <v>2111142</v>
      </c>
      <c r="AZ44" s="106"/>
      <c r="BA44" s="104">
        <f>FormFields[[#This Row],[ID]]</f>
        <v>2111142</v>
      </c>
      <c r="BC44" s="62" t="s">
        <v>1259</v>
      </c>
      <c r="BD44" s="63" t="str">
        <f>'Table Seed Map'!$A$15&amp;"-"&amp;(-1+COUNTA($BC$1:FieldAttrs[[#This Row],[ATTR Field]]))</f>
        <v>Field Attrs-42</v>
      </c>
      <c r="BE44" s="69">
        <f>IF(FieldAttrs[[#This Row],[ATTR Field]]="","id",-1+COUNTA($BC$1:FieldAttrs[[#This Row],[ATTR Field]])+VLOOKUP('Table Seed Map'!$A$15,SeedMap[],9,0))</f>
        <v>2114142</v>
      </c>
      <c r="BF44" s="104">
        <f>IFERROR(VLOOKUP([ATTR Field],FormFields[[Field Name]:[ID]],2,0),"form_field")</f>
        <v>2111159</v>
      </c>
      <c r="BG44" s="104" t="s">
        <v>1193</v>
      </c>
      <c r="BH44" s="104">
        <v>4</v>
      </c>
    </row>
    <row r="45" spans="13:60">
      <c r="M45" s="95" t="str">
        <f>'Table Seed Map'!$A$12&amp;"-"&amp;FormFields[[#This Row],[No]]</f>
        <v>Form Fields-43</v>
      </c>
      <c r="N45" s="81" t="s">
        <v>1218</v>
      </c>
      <c r="O45" s="96">
        <f>COUNTA($N$1:FormFields[[#This Row],[Form Name]])-1</f>
        <v>43</v>
      </c>
      <c r="P45" s="95" t="str">
        <f>FormFields[[#This Row],[Form Name]]&amp;"/"&amp;FormFields[[#This Row],[Name]]</f>
        <v>PricelistContent/AddContentsToPL/price</v>
      </c>
      <c r="Q45" s="96">
        <f>IF(FormFields[[#This Row],[No]]=0,"id",FormFields[[#This Row],[No]]+IF(ISNUMBER(VLOOKUP('Table Seed Map'!$A$12,SeedMap[],9,0)),VLOOKUP('Table Seed Map'!$A$12,SeedMap[],9,0),0))</f>
        <v>2111143</v>
      </c>
      <c r="R45" s="97">
        <f>IFERROR(VLOOKUP(FormFields[[#This Row],[Form Name]],ResourceForms[[FormName]:[ID]],4,0),"resource_form")</f>
        <v>2110113</v>
      </c>
      <c r="S45" s="98" t="s">
        <v>847</v>
      </c>
      <c r="T45" s="98" t="s">
        <v>1137</v>
      </c>
      <c r="U45" s="98" t="s">
        <v>1045</v>
      </c>
      <c r="V45" s="99"/>
      <c r="W45" s="99"/>
      <c r="X45" s="99"/>
      <c r="Y45" s="99"/>
      <c r="Z45" s="100" t="str">
        <f>'Table Seed Map'!$A$13&amp;"-"&amp;FormFields[[#This Row],[NO2]]</f>
        <v>Field Data-43</v>
      </c>
      <c r="AA45" s="101">
        <f>COUNTIFS($AB$1:FormFields[[#This Row],[Exists]],1)-1</f>
        <v>43</v>
      </c>
      <c r="AB45" s="101">
        <f>IF(AND(FormFields[[#This Row],[Attribute]]="",FormFields[[#This Row],[Rel]]=""),0,1)</f>
        <v>1</v>
      </c>
      <c r="AC45" s="101">
        <f>IF(FormFields[[#This Row],[NO2]]=0,"id",FormFields[[#This Row],[NO2]]+IF(ISNUMBER(VLOOKUP('Table Seed Map'!$A$13,SeedMap[],9,0)),VLOOKUP('Table Seed Map'!$A$13,SeedMap[],9,0),0))</f>
        <v>2112143</v>
      </c>
      <c r="AD45" s="102">
        <f>IF(FormFields[[#This Row],[ID]]="id","form_field",FormFields[[#This Row],[ID]])</f>
        <v>2111143</v>
      </c>
      <c r="AE45" s="101" t="str">
        <f>IF(FormFields[[#This Row],[No]]=0,"attribute",FormFields[[#This Row],[Name]])</f>
        <v>price</v>
      </c>
      <c r="AF45" s="103" t="str">
        <f>IF(FormFields[[#This Row],[NO2]]=0,"relation",IF(FormFields[[#This Row],[Rel]]="","",VLOOKUP(FormFields[[#This Row],[Rel]],RelationTable[[Display]:[RELID]],2,0)))</f>
        <v/>
      </c>
      <c r="AG45" s="103" t="str">
        <f>IF(FormFields[[#This Row],[NO2]]=0,"nest_relation1",IF(FormFields[[#This Row],[Rel1]]="","",VLOOKUP(FormFields[[#This Row],[Rel1]],RelationTable[[Display]:[RELID]],2,0)))</f>
        <v/>
      </c>
      <c r="AH45" s="103" t="str">
        <f>IF(FormFields[[#This Row],[NO2]]=0,"nest_relation2",IF(FormFields[[#This Row],[Rel2]]="","",VLOOKUP(FormFields[[#This Row],[Rel2]],RelationTable[[Display]:[RELID]],2,0)))</f>
        <v/>
      </c>
      <c r="AI45" s="103" t="str">
        <f>IF(FormFields[[#This Row],[NO2]]=0,"nest_relation3",IF(FormFields[[#This Row],[Rel3]]="","",VLOOKUP(FormFields[[#This Row],[Rel3]],RelationTable[[Display]:[RELID]],2,0)))</f>
        <v/>
      </c>
      <c r="AJ45" s="96">
        <f>IF(OR(FormFields[[#This Row],[Option Type]]="",FormFields[[#This Row],[Option Type]]="type"),0,1)</f>
        <v>0</v>
      </c>
      <c r="AK45" s="96" t="str">
        <f>'Table Seed Map'!$A$14&amp;"-"&amp;FormFields[[#This Row],[NO4]]</f>
        <v>Field Options-15</v>
      </c>
      <c r="AL45" s="96">
        <f>COUNTIF($AJ$2:FormFields[[#This Row],[Exists FO]],1)</f>
        <v>15</v>
      </c>
      <c r="AM45" s="96">
        <f>IF(FormFields[[#This Row],[NO4]]=0,"id",FormFields[[#This Row],[NO4]]+IF(ISNUMBER(VLOOKUP('Table Seed Map'!$A$14,SeedMap[],9,0)),VLOOKUP('Table Seed Map'!$A$14,SeedMap[],9,0),0))</f>
        <v>2113115</v>
      </c>
      <c r="AN45" s="104">
        <f>IF(FormFields[[#This Row],[ID]]="id","form_field",FormFields[[#This Row],[ID]])</f>
        <v>2111143</v>
      </c>
      <c r="AO45" s="105"/>
      <c r="AP45" s="105"/>
      <c r="AQ45" s="105"/>
      <c r="AR45" s="105"/>
      <c r="AS45" s="105"/>
      <c r="AT45" s="96">
        <f>IF(OR(FormFields[[#This Row],[Colspan]]="",FormFields[[#This Row],[Colspan]]="colspan"),0,1)</f>
        <v>0</v>
      </c>
      <c r="AU45" s="96" t="str">
        <f>'Table Seed Map'!$A$19&amp;"-"&amp;FormFields[[#This Row],[NO8]]</f>
        <v>Form Layout-7</v>
      </c>
      <c r="AV45" s="96">
        <f>COUNTIF($AT$1:FormFields[[#This Row],[Exists FL]],1)</f>
        <v>7</v>
      </c>
      <c r="AW4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5" s="96">
        <f>[Form]</f>
        <v>2110113</v>
      </c>
      <c r="AY45" s="96">
        <f>IF(FormFields[[#This Row],[ID]]="id","form_field",FormFields[[#This Row],[ID]])</f>
        <v>2111143</v>
      </c>
      <c r="AZ45" s="106"/>
      <c r="BA45" s="104">
        <f>FormFields[[#This Row],[ID]]</f>
        <v>2111143</v>
      </c>
      <c r="BC45" s="62" t="s">
        <v>1271</v>
      </c>
      <c r="BD45" s="63" t="str">
        <f>'Table Seed Map'!$A$15&amp;"-"&amp;(-1+COUNTA($BC$1:FieldAttrs[[#This Row],[ATTR Field]]))</f>
        <v>Field Attrs-43</v>
      </c>
      <c r="BE45" s="69">
        <f>IF(FieldAttrs[[#This Row],[ATTR Field]]="","id",-1+COUNTA($BC$1:FieldAttrs[[#This Row],[ATTR Field]])+VLOOKUP('Table Seed Map'!$A$15,SeedMap[],9,0))</f>
        <v>2114143</v>
      </c>
      <c r="BF45" s="104">
        <f>IFERROR(VLOOKUP([ATTR Field],FormFields[[Field Name]:[ID]],2,0),"form_field")</f>
        <v>2111161</v>
      </c>
      <c r="BG45" s="104" t="s">
        <v>1193</v>
      </c>
      <c r="BH45" s="104">
        <v>4</v>
      </c>
    </row>
    <row r="46" spans="13:60">
      <c r="M46" s="95" t="str">
        <f>'Table Seed Map'!$A$12&amp;"-"&amp;FormFields[[#This Row],[No]]</f>
        <v>Form Fields-44</v>
      </c>
      <c r="N46" s="81" t="s">
        <v>1224</v>
      </c>
      <c r="O46" s="96">
        <f>COUNTA($N$1:FormFields[[#This Row],[Form Name]])-1</f>
        <v>44</v>
      </c>
      <c r="P46" s="95" t="str">
        <f>FormFields[[#This Row],[Form Name]]&amp;"/"&amp;FormFields[[#This Row],[Name]]</f>
        <v>PricelistContent/UpdatePLContent/price</v>
      </c>
      <c r="Q46" s="96">
        <f>IF(FormFields[[#This Row],[No]]=0,"id",FormFields[[#This Row],[No]]+IF(ISNUMBER(VLOOKUP('Table Seed Map'!$A$12,SeedMap[],9,0)),VLOOKUP('Table Seed Map'!$A$12,SeedMap[],9,0),0))</f>
        <v>2111144</v>
      </c>
      <c r="R46" s="97">
        <f>IFERROR(VLOOKUP(FormFields[[#This Row],[Form Name]],ResourceForms[[FormName]:[ID]],4,0),"resource_form")</f>
        <v>2110114</v>
      </c>
      <c r="S46" s="98" t="s">
        <v>847</v>
      </c>
      <c r="T46" s="98" t="s">
        <v>1137</v>
      </c>
      <c r="U46" s="98" t="s">
        <v>1225</v>
      </c>
      <c r="V46" s="99"/>
      <c r="W46" s="99"/>
      <c r="X46" s="99"/>
      <c r="Y46" s="99"/>
      <c r="Z46" s="100" t="str">
        <f>'Table Seed Map'!$A$13&amp;"-"&amp;FormFields[[#This Row],[NO2]]</f>
        <v>Field Data-44</v>
      </c>
      <c r="AA46" s="101">
        <f>COUNTIFS($AB$1:FormFields[[#This Row],[Exists]],1)-1</f>
        <v>44</v>
      </c>
      <c r="AB46" s="101">
        <f>IF(AND(FormFields[[#This Row],[Attribute]]="",FormFields[[#This Row],[Rel]]=""),0,1)</f>
        <v>1</v>
      </c>
      <c r="AC46" s="101">
        <f>IF(FormFields[[#This Row],[NO2]]=0,"id",FormFields[[#This Row],[NO2]]+IF(ISNUMBER(VLOOKUP('Table Seed Map'!$A$13,SeedMap[],9,0)),VLOOKUP('Table Seed Map'!$A$13,SeedMap[],9,0),0))</f>
        <v>2112144</v>
      </c>
      <c r="AD46" s="102">
        <f>IF(FormFields[[#This Row],[ID]]="id","form_field",FormFields[[#This Row],[ID]])</f>
        <v>2111144</v>
      </c>
      <c r="AE46" s="101" t="str">
        <f>IF(FormFields[[#This Row],[No]]=0,"attribute",FormFields[[#This Row],[Name]])</f>
        <v>price</v>
      </c>
      <c r="AF46" s="103" t="str">
        <f>IF(FormFields[[#This Row],[NO2]]=0,"relation",IF(FormFields[[#This Row],[Rel]]="","",VLOOKUP(FormFields[[#This Row],[Rel]],RelationTable[[Display]:[RELID]],2,0)))</f>
        <v/>
      </c>
      <c r="AG46" s="103" t="str">
        <f>IF(FormFields[[#This Row],[NO2]]=0,"nest_relation1",IF(FormFields[[#This Row],[Rel1]]="","",VLOOKUP(FormFields[[#This Row],[Rel1]],RelationTable[[Display]:[RELID]],2,0)))</f>
        <v/>
      </c>
      <c r="AH46" s="103" t="str">
        <f>IF(FormFields[[#This Row],[NO2]]=0,"nest_relation2",IF(FormFields[[#This Row],[Rel2]]="","",VLOOKUP(FormFields[[#This Row],[Rel2]],RelationTable[[Display]:[RELID]],2,0)))</f>
        <v/>
      </c>
      <c r="AI46" s="103" t="str">
        <f>IF(FormFields[[#This Row],[NO2]]=0,"nest_relation3",IF(FormFields[[#This Row],[Rel3]]="","",VLOOKUP(FormFields[[#This Row],[Rel3]],RelationTable[[Display]:[RELID]],2,0)))</f>
        <v/>
      </c>
      <c r="AJ46" s="96">
        <f>IF(OR(FormFields[[#This Row],[Option Type]]="",FormFields[[#This Row],[Option Type]]="type"),0,1)</f>
        <v>0</v>
      </c>
      <c r="AK46" s="96" t="str">
        <f>'Table Seed Map'!$A$14&amp;"-"&amp;FormFields[[#This Row],[NO4]]</f>
        <v>Field Options-15</v>
      </c>
      <c r="AL46" s="96">
        <f>COUNTIF($AJ$2:FormFields[[#This Row],[Exists FO]],1)</f>
        <v>15</v>
      </c>
      <c r="AM46" s="96">
        <f>IF(FormFields[[#This Row],[NO4]]=0,"id",FormFields[[#This Row],[NO4]]+IF(ISNUMBER(VLOOKUP('Table Seed Map'!$A$14,SeedMap[],9,0)),VLOOKUP('Table Seed Map'!$A$14,SeedMap[],9,0),0))</f>
        <v>2113115</v>
      </c>
      <c r="AN46" s="104">
        <f>IF(FormFields[[#This Row],[ID]]="id","form_field",FormFields[[#This Row],[ID]])</f>
        <v>2111144</v>
      </c>
      <c r="AO46" s="105"/>
      <c r="AP46" s="105"/>
      <c r="AQ46" s="105"/>
      <c r="AR46" s="105"/>
      <c r="AS46" s="105"/>
      <c r="AT46" s="96">
        <f>IF(OR(FormFields[[#This Row],[Colspan]]="",FormFields[[#This Row],[Colspan]]="colspan"),0,1)</f>
        <v>0</v>
      </c>
      <c r="AU46" s="96" t="str">
        <f>'Table Seed Map'!$A$19&amp;"-"&amp;FormFields[[#This Row],[NO8]]</f>
        <v>Form Layout-7</v>
      </c>
      <c r="AV46" s="96">
        <f>COUNTIF($AT$1:FormFields[[#This Row],[Exists FL]],1)</f>
        <v>7</v>
      </c>
      <c r="AW4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6" s="96">
        <f>[Form]</f>
        <v>2110114</v>
      </c>
      <c r="AY46" s="96">
        <f>IF(FormFields[[#This Row],[ID]]="id","form_field",FormFields[[#This Row],[ID]])</f>
        <v>2111144</v>
      </c>
      <c r="AZ46" s="106"/>
      <c r="BA46" s="104">
        <f>FormFields[[#This Row],[ID]]</f>
        <v>2111144</v>
      </c>
      <c r="BC46" s="62" t="s">
        <v>1272</v>
      </c>
      <c r="BD46" s="63" t="str">
        <f>'Table Seed Map'!$A$15&amp;"-"&amp;(-1+COUNTA($BC$1:FieldAttrs[[#This Row],[ATTR Field]]))</f>
        <v>Field Attrs-44</v>
      </c>
      <c r="BE46" s="69">
        <f>IF(FieldAttrs[[#This Row],[ATTR Field]]="","id",-1+COUNTA($BC$1:FieldAttrs[[#This Row],[ATTR Field]])+VLOOKUP('Table Seed Map'!$A$15,SeedMap[],9,0))</f>
        <v>2114144</v>
      </c>
      <c r="BF46" s="104">
        <f>IFERROR(VLOOKUP([ATTR Field],FormFields[[Field Name]:[ID]],2,0),"form_field")</f>
        <v>2111162</v>
      </c>
      <c r="BG46" s="104" t="s">
        <v>1193</v>
      </c>
      <c r="BH46" s="104">
        <v>4</v>
      </c>
    </row>
    <row r="47" spans="13:60">
      <c r="M47" s="95" t="str">
        <f>'Table Seed Map'!$A$12&amp;"-"&amp;FormFields[[#This Row],[No]]</f>
        <v>Form Fields-45</v>
      </c>
      <c r="N47" s="81" t="s">
        <v>1224</v>
      </c>
      <c r="O47" s="96">
        <f>COUNTA($N$1:FormFields[[#This Row],[Form Name]])-1</f>
        <v>45</v>
      </c>
      <c r="P47" s="95" t="str">
        <f>FormFields[[#This Row],[Form Name]]&amp;"/"&amp;FormFields[[#This Row],[Name]]</f>
        <v>PricelistContent/UpdatePLContent/status</v>
      </c>
      <c r="Q47" s="96">
        <f>IF(FormFields[[#This Row],[No]]=0,"id",FormFields[[#This Row],[No]]+IF(ISNUMBER(VLOOKUP('Table Seed Map'!$A$12,SeedMap[],9,0)),VLOOKUP('Table Seed Map'!$A$12,SeedMap[],9,0),0))</f>
        <v>2111145</v>
      </c>
      <c r="R47" s="97">
        <f>IFERROR(VLOOKUP(FormFields[[#This Row],[Form Name]],ResourceForms[[FormName]:[ID]],4,0),"resource_form")</f>
        <v>2110114</v>
      </c>
      <c r="S47" s="98" t="s">
        <v>804</v>
      </c>
      <c r="T47" s="98" t="s">
        <v>1189</v>
      </c>
      <c r="U47" s="98" t="s">
        <v>1190</v>
      </c>
      <c r="V47" s="99"/>
      <c r="W47" s="99"/>
      <c r="X47" s="99"/>
      <c r="Y47" s="99"/>
      <c r="Z47" s="100" t="str">
        <f>'Table Seed Map'!$A$13&amp;"-"&amp;FormFields[[#This Row],[NO2]]</f>
        <v>Field Data-45</v>
      </c>
      <c r="AA47" s="101">
        <f>COUNTIFS($AB$1:FormFields[[#This Row],[Exists]],1)-1</f>
        <v>45</v>
      </c>
      <c r="AB47" s="101">
        <f>IF(AND(FormFields[[#This Row],[Attribute]]="",FormFields[[#This Row],[Rel]]=""),0,1)</f>
        <v>1</v>
      </c>
      <c r="AC47" s="101">
        <f>IF(FormFields[[#This Row],[NO2]]=0,"id",FormFields[[#This Row],[NO2]]+IF(ISNUMBER(VLOOKUP('Table Seed Map'!$A$13,SeedMap[],9,0)),VLOOKUP('Table Seed Map'!$A$13,SeedMap[],9,0),0))</f>
        <v>2112145</v>
      </c>
      <c r="AD47" s="102">
        <f>IF(FormFields[[#This Row],[ID]]="id","form_field",FormFields[[#This Row],[ID]])</f>
        <v>2111145</v>
      </c>
      <c r="AE47" s="101" t="str">
        <f>IF(FormFields[[#This Row],[No]]=0,"attribute",FormFields[[#This Row],[Name]])</f>
        <v>status</v>
      </c>
      <c r="AF47" s="103" t="str">
        <f>IF(FormFields[[#This Row],[NO2]]=0,"relation",IF(FormFields[[#This Row],[Rel]]="","",VLOOKUP(FormFields[[#This Row],[Rel]],RelationTable[[Display]:[RELID]],2,0)))</f>
        <v/>
      </c>
      <c r="AG47" s="103" t="str">
        <f>IF(FormFields[[#This Row],[NO2]]=0,"nest_relation1",IF(FormFields[[#This Row],[Rel1]]="","",VLOOKUP(FormFields[[#This Row],[Rel1]],RelationTable[[Display]:[RELID]],2,0)))</f>
        <v/>
      </c>
      <c r="AH47" s="103" t="str">
        <f>IF(FormFields[[#This Row],[NO2]]=0,"nest_relation2",IF(FormFields[[#This Row],[Rel2]]="","",VLOOKUP(FormFields[[#This Row],[Rel2]],RelationTable[[Display]:[RELID]],2,0)))</f>
        <v/>
      </c>
      <c r="AI47" s="103" t="str">
        <f>IF(FormFields[[#This Row],[NO2]]=0,"nest_relation3",IF(FormFields[[#This Row],[Rel3]]="","",VLOOKUP(FormFields[[#This Row],[Rel3]],RelationTable[[Display]:[RELID]],2,0)))</f>
        <v/>
      </c>
      <c r="AJ47" s="96">
        <f>IF(OR(FormFields[[#This Row],[Option Type]]="",FormFields[[#This Row],[Option Type]]="type"),0,1)</f>
        <v>1</v>
      </c>
      <c r="AK47" s="96" t="str">
        <f>'Table Seed Map'!$A$14&amp;"-"&amp;FormFields[[#This Row],[NO4]]</f>
        <v>Field Options-16</v>
      </c>
      <c r="AL47" s="96">
        <f>COUNTIF($AJ$2:FormFields[[#This Row],[Exists FO]],1)</f>
        <v>16</v>
      </c>
      <c r="AM47" s="96">
        <f>IF(FormFields[[#This Row],[NO4]]=0,"id",FormFields[[#This Row],[NO4]]+IF(ISNUMBER(VLOOKUP('Table Seed Map'!$A$14,SeedMap[],9,0)),VLOOKUP('Table Seed Map'!$A$14,SeedMap[],9,0),0))</f>
        <v>2113116</v>
      </c>
      <c r="AN47" s="104">
        <f>IF(FormFields[[#This Row],[ID]]="id","form_field",FormFields[[#This Row],[ID]])</f>
        <v>2111145</v>
      </c>
      <c r="AO47" s="105" t="s">
        <v>1191</v>
      </c>
      <c r="AP47" s="105"/>
      <c r="AQ47" s="105"/>
      <c r="AR47" s="105"/>
      <c r="AS47" s="105"/>
      <c r="AT47" s="96">
        <f>IF(OR(FormFields[[#This Row],[Colspan]]="",FormFields[[#This Row],[Colspan]]="colspan"),0,1)</f>
        <v>0</v>
      </c>
      <c r="AU47" s="96" t="str">
        <f>'Table Seed Map'!$A$19&amp;"-"&amp;FormFields[[#This Row],[NO8]]</f>
        <v>Form Layout-7</v>
      </c>
      <c r="AV47" s="96">
        <f>COUNTIF($AT$1:FormFields[[#This Row],[Exists FL]],1)</f>
        <v>7</v>
      </c>
      <c r="AW4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7" s="96">
        <f>[Form]</f>
        <v>2110114</v>
      </c>
      <c r="AY47" s="96">
        <f>IF(FormFields[[#This Row],[ID]]="id","form_field",FormFields[[#This Row],[ID]])</f>
        <v>2111145</v>
      </c>
      <c r="AZ47" s="106"/>
      <c r="BA47" s="104">
        <f>FormFields[[#This Row],[ID]]</f>
        <v>2111145</v>
      </c>
      <c r="BC47" s="62" t="s">
        <v>1277</v>
      </c>
      <c r="BD47" s="63" t="str">
        <f>'Table Seed Map'!$A$15&amp;"-"&amp;(-1+COUNTA($BC$1:FieldAttrs[[#This Row],[ATTR Field]]))</f>
        <v>Field Attrs-45</v>
      </c>
      <c r="BE47" s="69">
        <f>IF(FieldAttrs[[#This Row],[ATTR Field]]="","id",-1+COUNTA($BC$1:FieldAttrs[[#This Row],[ATTR Field]])+VLOOKUP('Table Seed Map'!$A$15,SeedMap[],9,0))</f>
        <v>2114145</v>
      </c>
      <c r="BF47" s="104">
        <f>IFERROR(VLOOKUP([ATTR Field],FormFields[[Field Name]:[ID]],2,0),"form_field")</f>
        <v>2111163</v>
      </c>
      <c r="BG47" s="104" t="s">
        <v>1193</v>
      </c>
      <c r="BH47" s="104">
        <v>4</v>
      </c>
    </row>
    <row r="48" spans="13:60">
      <c r="M48" s="80" t="str">
        <f>'Table Seed Map'!$A$12&amp;"-"&amp;FormFields[[#This Row],[No]]</f>
        <v>Form Fields-46</v>
      </c>
      <c r="N48" s="81" t="s">
        <v>1228</v>
      </c>
      <c r="O48" s="38">
        <f>COUNTA($N$1:FormFields[[#This Row],[Form Name]])-1</f>
        <v>46</v>
      </c>
      <c r="P48" s="80" t="str">
        <f>FormFields[[#This Row],[Form Name]]&amp;"/"&amp;FormFields[[#This Row],[Name]]</f>
        <v>IdentityLabel/NewIdentityLabelForm/hub</v>
      </c>
      <c r="Q48" s="38">
        <f>IF(FormFields[[#This Row],[No]]=0,"id",FormFields[[#This Row],[No]]+IF(ISNUMBER(VLOOKUP('Table Seed Map'!$A$12,SeedMap[],9,0)),VLOOKUP('Table Seed Map'!$A$12,SeedMap[],9,0),0))</f>
        <v>2111146</v>
      </c>
      <c r="R48" s="82">
        <f>IFERROR(VLOOKUP(FormFields[[#This Row],[Form Name]],ResourceForms[[FormName]:[ID]],4,0),"resource_form")</f>
        <v>2110115</v>
      </c>
      <c r="S48" s="83" t="s">
        <v>809</v>
      </c>
      <c r="T48" s="83" t="s">
        <v>1189</v>
      </c>
      <c r="U48" s="83" t="s">
        <v>1209</v>
      </c>
      <c r="V48" s="84"/>
      <c r="W48" s="84"/>
      <c r="X48" s="84"/>
      <c r="Y48" s="84"/>
      <c r="Z48" s="85" t="str">
        <f>'Table Seed Map'!$A$13&amp;"-"&amp;FormFields[[#This Row],[NO2]]</f>
        <v>Field Data-46</v>
      </c>
      <c r="AA48" s="86">
        <f>COUNTIFS($AB$1:FormFields[[#This Row],[Exists]],1)-1</f>
        <v>46</v>
      </c>
      <c r="AB48" s="86">
        <f>IF(AND(FormFields[[#This Row],[Attribute]]="",FormFields[[#This Row],[Rel]]=""),0,1)</f>
        <v>1</v>
      </c>
      <c r="AC48" s="86">
        <f>IF(FormFields[[#This Row],[NO2]]=0,"id",FormFields[[#This Row],[NO2]]+IF(ISNUMBER(VLOOKUP('Table Seed Map'!$A$13,SeedMap[],9,0)),VLOOKUP('Table Seed Map'!$A$13,SeedMap[],9,0),0))</f>
        <v>2112146</v>
      </c>
      <c r="AD48" s="87">
        <f>IF(FormFields[[#This Row],[ID]]="id","form_field",FormFields[[#This Row],[ID]])</f>
        <v>2111146</v>
      </c>
      <c r="AE48" s="86" t="str">
        <f>IF(FormFields[[#This Row],[No]]=0,"attribute",FormFields[[#This Row],[Name]])</f>
        <v>hub</v>
      </c>
      <c r="AF48" s="55" t="str">
        <f>IF(FormFields[[#This Row],[NO2]]=0,"relation",IF(FormFields[[#This Row],[Rel]]="","",VLOOKUP(FormFields[[#This Row],[Rel]],RelationTable[[Display]:[RELID]],2,0)))</f>
        <v/>
      </c>
      <c r="AG48" s="55" t="str">
        <f>IF(FormFields[[#This Row],[NO2]]=0,"nest_relation1",IF(FormFields[[#This Row],[Rel1]]="","",VLOOKUP(FormFields[[#This Row],[Rel1]],RelationTable[[Display]:[RELID]],2,0)))</f>
        <v/>
      </c>
      <c r="AH48" s="55" t="str">
        <f>IF(FormFields[[#This Row],[NO2]]=0,"nest_relation2",IF(FormFields[[#This Row],[Rel2]]="","",VLOOKUP(FormFields[[#This Row],[Rel2]],RelationTable[[Display]:[RELID]],2,0)))</f>
        <v/>
      </c>
      <c r="AI48" s="55" t="str">
        <f>IF(FormFields[[#This Row],[NO2]]=0,"nest_relation3",IF(FormFields[[#This Row],[Rel3]]="","",VLOOKUP(FormFields[[#This Row],[Rel3]],RelationTable[[Display]:[RELID]],2,0)))</f>
        <v/>
      </c>
      <c r="AJ48" s="38">
        <f>IF(OR(FormFields[[#This Row],[Option Type]]="",FormFields[[#This Row],[Option Type]]="type"),0,1)</f>
        <v>1</v>
      </c>
      <c r="AK48" s="38" t="str">
        <f>'Table Seed Map'!$A$14&amp;"-"&amp;FormFields[[#This Row],[NO4]]</f>
        <v>Field Options-17</v>
      </c>
      <c r="AL48" s="38">
        <f>COUNTIF($AJ$2:FormFields[[#This Row],[Exists FO]],1)</f>
        <v>17</v>
      </c>
      <c r="AM48" s="38">
        <f>IF(FormFields[[#This Row],[NO4]]=0,"id",FormFields[[#This Row],[NO4]]+IF(ISNUMBER(VLOOKUP('Table Seed Map'!$A$14,SeedMap[],9,0)),VLOOKUP('Table Seed Map'!$A$14,SeedMap[],9,0),0))</f>
        <v>2113117</v>
      </c>
      <c r="AN48" s="88">
        <f>IF(FormFields[[#This Row],[ID]]="id","form_field",FormFields[[#This Row],[ID]])</f>
        <v>2111146</v>
      </c>
      <c r="AO48" s="89" t="s">
        <v>278</v>
      </c>
      <c r="AP48" s="89"/>
      <c r="AQ48" s="89" t="s">
        <v>21</v>
      </c>
      <c r="AR48" s="89" t="s">
        <v>23</v>
      </c>
      <c r="AS48" s="89"/>
      <c r="AT48" s="38">
        <f>IF(OR(FormFields[[#This Row],[Colspan]]="",FormFields[[#This Row],[Colspan]]="colspan"),0,1)</f>
        <v>0</v>
      </c>
      <c r="AU48" s="38" t="str">
        <f>'Table Seed Map'!$A$19&amp;"-"&amp;FormFields[[#This Row],[NO8]]</f>
        <v>Form Layout-7</v>
      </c>
      <c r="AV48" s="38">
        <f>COUNTIF($AT$1:FormFields[[#This Row],[Exists FL]],1)</f>
        <v>7</v>
      </c>
      <c r="AW48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8" s="38">
        <f>[Form]</f>
        <v>2110115</v>
      </c>
      <c r="AY48" s="38">
        <f>IF(FormFields[[#This Row],[ID]]="id","form_field",FormFields[[#This Row],[ID]])</f>
        <v>2111146</v>
      </c>
      <c r="AZ48" s="90"/>
      <c r="BA48" s="88">
        <f>FormFields[[#This Row],[ID]]</f>
        <v>2111146</v>
      </c>
      <c r="BC48" s="62" t="s">
        <v>1278</v>
      </c>
      <c r="BD48" s="63" t="str">
        <f>'Table Seed Map'!$A$15&amp;"-"&amp;(-1+COUNTA($BC$1:FieldAttrs[[#This Row],[ATTR Field]]))</f>
        <v>Field Attrs-46</v>
      </c>
      <c r="BE48" s="69">
        <f>IF(FieldAttrs[[#This Row],[ATTR Field]]="","id",-1+COUNTA($BC$1:FieldAttrs[[#This Row],[ATTR Field]])+VLOOKUP('Table Seed Map'!$A$15,SeedMap[],9,0))</f>
        <v>2114146</v>
      </c>
      <c r="BF48" s="104">
        <f>IFERROR(VLOOKUP([ATTR Field],FormFields[[Field Name]:[ID]],2,0),"form_field")</f>
        <v>2111164</v>
      </c>
      <c r="BG48" s="104" t="s">
        <v>1193</v>
      </c>
      <c r="BH48" s="104">
        <v>4</v>
      </c>
    </row>
    <row r="49" spans="13:60">
      <c r="M49" s="95" t="str">
        <f>'Table Seed Map'!$A$12&amp;"-"&amp;FormFields[[#This Row],[No]]</f>
        <v>Form Fields-47</v>
      </c>
      <c r="N49" s="81" t="s">
        <v>1228</v>
      </c>
      <c r="O49" s="96">
        <f>COUNTA($N$1:FormFields[[#This Row],[Form Name]])-1</f>
        <v>47</v>
      </c>
      <c r="P49" s="95" t="str">
        <f>FormFields[[#This Row],[Form Name]]&amp;"/"&amp;FormFields[[#This Row],[Name]]</f>
        <v>IdentityLabel/NewIdentityLabelForm/code</v>
      </c>
      <c r="Q49" s="96">
        <f>IF(FormFields[[#This Row],[No]]=0,"id",FormFields[[#This Row],[No]]+IF(ISNUMBER(VLOOKUP('Table Seed Map'!$A$12,SeedMap[],9,0)),VLOOKUP('Table Seed Map'!$A$12,SeedMap[],9,0),0))</f>
        <v>2111147</v>
      </c>
      <c r="R49" s="97">
        <f>IFERROR(VLOOKUP(FormFields[[#This Row],[Form Name]],ResourceForms[[FormName]:[ID]],4,0),"resource_form")</f>
        <v>2110115</v>
      </c>
      <c r="S49" s="98" t="s">
        <v>850</v>
      </c>
      <c r="T49" s="98" t="s">
        <v>1137</v>
      </c>
      <c r="U49" s="98" t="s">
        <v>1229</v>
      </c>
      <c r="V49" s="99"/>
      <c r="W49" s="99"/>
      <c r="X49" s="99"/>
      <c r="Y49" s="99"/>
      <c r="Z49" s="100" t="str">
        <f>'Table Seed Map'!$A$13&amp;"-"&amp;FormFields[[#This Row],[NO2]]</f>
        <v>Field Data-47</v>
      </c>
      <c r="AA49" s="101">
        <f>COUNTIFS($AB$1:FormFields[[#This Row],[Exists]],1)-1</f>
        <v>47</v>
      </c>
      <c r="AB49" s="101">
        <f>IF(AND(FormFields[[#This Row],[Attribute]]="",FormFields[[#This Row],[Rel]]=""),0,1)</f>
        <v>1</v>
      </c>
      <c r="AC49" s="101">
        <f>IF(FormFields[[#This Row],[NO2]]=0,"id",FormFields[[#This Row],[NO2]]+IF(ISNUMBER(VLOOKUP('Table Seed Map'!$A$13,SeedMap[],9,0)),VLOOKUP('Table Seed Map'!$A$13,SeedMap[],9,0),0))</f>
        <v>2112147</v>
      </c>
      <c r="AD49" s="102">
        <f>IF(FormFields[[#This Row],[ID]]="id","form_field",FormFields[[#This Row],[ID]])</f>
        <v>2111147</v>
      </c>
      <c r="AE49" s="101" t="str">
        <f>IF(FormFields[[#This Row],[No]]=0,"attribute",FormFields[[#This Row],[Name]])</f>
        <v>code</v>
      </c>
      <c r="AF49" s="103" t="str">
        <f>IF(FormFields[[#This Row],[NO2]]=0,"relation",IF(FormFields[[#This Row],[Rel]]="","",VLOOKUP(FormFields[[#This Row],[Rel]],RelationTable[[Display]:[RELID]],2,0)))</f>
        <v/>
      </c>
      <c r="AG49" s="103" t="str">
        <f>IF(FormFields[[#This Row],[NO2]]=0,"nest_relation1",IF(FormFields[[#This Row],[Rel1]]="","",VLOOKUP(FormFields[[#This Row],[Rel1]],RelationTable[[Display]:[RELID]],2,0)))</f>
        <v/>
      </c>
      <c r="AH49" s="103" t="str">
        <f>IF(FormFields[[#This Row],[NO2]]=0,"nest_relation2",IF(FormFields[[#This Row],[Rel2]]="","",VLOOKUP(FormFields[[#This Row],[Rel2]],RelationTable[[Display]:[RELID]],2,0)))</f>
        <v/>
      </c>
      <c r="AI49" s="103" t="str">
        <f>IF(FormFields[[#This Row],[NO2]]=0,"nest_relation3",IF(FormFields[[#This Row],[Rel3]]="","",VLOOKUP(FormFields[[#This Row],[Rel3]],RelationTable[[Display]:[RELID]],2,0)))</f>
        <v/>
      </c>
      <c r="AJ49" s="96">
        <f>IF(OR(FormFields[[#This Row],[Option Type]]="",FormFields[[#This Row],[Option Type]]="type"),0,1)</f>
        <v>0</v>
      </c>
      <c r="AK49" s="96" t="str">
        <f>'Table Seed Map'!$A$14&amp;"-"&amp;FormFields[[#This Row],[NO4]]</f>
        <v>Field Options-17</v>
      </c>
      <c r="AL49" s="96">
        <f>COUNTIF($AJ$2:FormFields[[#This Row],[Exists FO]],1)</f>
        <v>17</v>
      </c>
      <c r="AM49" s="96">
        <f>IF(FormFields[[#This Row],[NO4]]=0,"id",FormFields[[#This Row],[NO4]]+IF(ISNUMBER(VLOOKUP('Table Seed Map'!$A$14,SeedMap[],9,0)),VLOOKUP('Table Seed Map'!$A$14,SeedMap[],9,0),0))</f>
        <v>2113117</v>
      </c>
      <c r="AN49" s="104">
        <f>IF(FormFields[[#This Row],[ID]]="id","form_field",FormFields[[#This Row],[ID]])</f>
        <v>2111147</v>
      </c>
      <c r="AO49" s="105"/>
      <c r="AP49" s="105"/>
      <c r="AQ49" s="105"/>
      <c r="AR49" s="105"/>
      <c r="AS49" s="105"/>
      <c r="AT49" s="96">
        <f>IF(OR(FormFields[[#This Row],[Colspan]]="",FormFields[[#This Row],[Colspan]]="colspan"),0,1)</f>
        <v>0</v>
      </c>
      <c r="AU49" s="96" t="str">
        <f>'Table Seed Map'!$A$19&amp;"-"&amp;FormFields[[#This Row],[NO8]]</f>
        <v>Form Layout-7</v>
      </c>
      <c r="AV49" s="96">
        <f>COUNTIF($AT$1:FormFields[[#This Row],[Exists FL]],1)</f>
        <v>7</v>
      </c>
      <c r="AW4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9" s="96">
        <f>[Form]</f>
        <v>2110115</v>
      </c>
      <c r="AY49" s="96">
        <f>IF(FormFields[[#This Row],[ID]]="id","form_field",FormFields[[#This Row],[ID]])</f>
        <v>2111147</v>
      </c>
      <c r="AZ49" s="106"/>
      <c r="BA49" s="104">
        <f>FormFields[[#This Row],[ID]]</f>
        <v>2111147</v>
      </c>
      <c r="BC49" s="62" t="s">
        <v>1279</v>
      </c>
      <c r="BD49" s="63" t="str">
        <f>'Table Seed Map'!$A$15&amp;"-"&amp;(-1+COUNTA($BC$1:FieldAttrs[[#This Row],[ATTR Field]]))</f>
        <v>Field Attrs-47</v>
      </c>
      <c r="BE49" s="69">
        <f>IF(FieldAttrs[[#This Row],[ATTR Field]]="","id",-1+COUNTA($BC$1:FieldAttrs[[#This Row],[ATTR Field]])+VLOOKUP('Table Seed Map'!$A$15,SeedMap[],9,0))</f>
        <v>2114147</v>
      </c>
      <c r="BF49" s="104">
        <f>IFERROR(VLOOKUP([ATTR Field],FormFields[[Field Name]:[ID]],2,0),"form_field")</f>
        <v>2111165</v>
      </c>
      <c r="BG49" s="104" t="s">
        <v>1193</v>
      </c>
      <c r="BH49" s="104">
        <v>4</v>
      </c>
    </row>
    <row r="50" spans="13:60">
      <c r="M50" s="95" t="str">
        <f>'Table Seed Map'!$A$12&amp;"-"&amp;FormFields[[#This Row],[No]]</f>
        <v>Form Fields-48</v>
      </c>
      <c r="N50" s="81" t="s">
        <v>1228</v>
      </c>
      <c r="O50" s="96">
        <f>COUNTA($N$1:FormFields[[#This Row],[Form Name]])-1</f>
        <v>48</v>
      </c>
      <c r="P50" s="95" t="str">
        <f>FormFields[[#This Row],[Form Name]]&amp;"/"&amp;FormFields[[#This Row],[Name]]</f>
        <v>IdentityLabel/NewIdentityLabelForm/status</v>
      </c>
      <c r="Q50" s="96">
        <f>IF(FormFields[[#This Row],[No]]=0,"id",FormFields[[#This Row],[No]]+IF(ISNUMBER(VLOOKUP('Table Seed Map'!$A$12,SeedMap[],9,0)),VLOOKUP('Table Seed Map'!$A$12,SeedMap[],9,0),0))</f>
        <v>2111148</v>
      </c>
      <c r="R50" s="97">
        <f>IFERROR(VLOOKUP(FormFields[[#This Row],[Form Name]],ResourceForms[[FormName]:[ID]],4,0),"resource_form")</f>
        <v>2110115</v>
      </c>
      <c r="S50" s="98" t="s">
        <v>804</v>
      </c>
      <c r="T50" s="98" t="s">
        <v>1189</v>
      </c>
      <c r="U50" s="98" t="s">
        <v>1190</v>
      </c>
      <c r="V50" s="99"/>
      <c r="W50" s="99"/>
      <c r="X50" s="99"/>
      <c r="Y50" s="99"/>
      <c r="Z50" s="100" t="str">
        <f>'Table Seed Map'!$A$13&amp;"-"&amp;FormFields[[#This Row],[NO2]]</f>
        <v>Field Data-48</v>
      </c>
      <c r="AA50" s="101">
        <f>COUNTIFS($AB$1:FormFields[[#This Row],[Exists]],1)-1</f>
        <v>48</v>
      </c>
      <c r="AB50" s="101">
        <f>IF(AND(FormFields[[#This Row],[Attribute]]="",FormFields[[#This Row],[Rel]]=""),0,1)</f>
        <v>1</v>
      </c>
      <c r="AC50" s="101">
        <f>IF(FormFields[[#This Row],[NO2]]=0,"id",FormFields[[#This Row],[NO2]]+IF(ISNUMBER(VLOOKUP('Table Seed Map'!$A$13,SeedMap[],9,0)),VLOOKUP('Table Seed Map'!$A$13,SeedMap[],9,0),0))</f>
        <v>2112148</v>
      </c>
      <c r="AD50" s="102">
        <f>IF(FormFields[[#This Row],[ID]]="id","form_field",FormFields[[#This Row],[ID]])</f>
        <v>2111148</v>
      </c>
      <c r="AE50" s="101" t="str">
        <f>IF(FormFields[[#This Row],[No]]=0,"attribute",FormFields[[#This Row],[Name]])</f>
        <v>status</v>
      </c>
      <c r="AF50" s="103" t="str">
        <f>IF(FormFields[[#This Row],[NO2]]=0,"relation",IF(FormFields[[#This Row],[Rel]]="","",VLOOKUP(FormFields[[#This Row],[Rel]],RelationTable[[Display]:[RELID]],2,0)))</f>
        <v/>
      </c>
      <c r="AG50" s="103" t="str">
        <f>IF(FormFields[[#This Row],[NO2]]=0,"nest_relation1",IF(FormFields[[#This Row],[Rel1]]="","",VLOOKUP(FormFields[[#This Row],[Rel1]],RelationTable[[Display]:[RELID]],2,0)))</f>
        <v/>
      </c>
      <c r="AH50" s="103" t="str">
        <f>IF(FormFields[[#This Row],[NO2]]=0,"nest_relation2",IF(FormFields[[#This Row],[Rel2]]="","",VLOOKUP(FormFields[[#This Row],[Rel2]],RelationTable[[Display]:[RELID]],2,0)))</f>
        <v/>
      </c>
      <c r="AI50" s="103" t="str">
        <f>IF(FormFields[[#This Row],[NO2]]=0,"nest_relation3",IF(FormFields[[#This Row],[Rel3]]="","",VLOOKUP(FormFields[[#This Row],[Rel3]],RelationTable[[Display]:[RELID]],2,0)))</f>
        <v/>
      </c>
      <c r="AJ50" s="96">
        <f>IF(OR(FormFields[[#This Row],[Option Type]]="",FormFields[[#This Row],[Option Type]]="type"),0,1)</f>
        <v>1</v>
      </c>
      <c r="AK50" s="96" t="str">
        <f>'Table Seed Map'!$A$14&amp;"-"&amp;FormFields[[#This Row],[NO4]]</f>
        <v>Field Options-18</v>
      </c>
      <c r="AL50" s="96">
        <f>COUNTIF($AJ$2:FormFields[[#This Row],[Exists FO]],1)</f>
        <v>18</v>
      </c>
      <c r="AM50" s="96">
        <f>IF(FormFields[[#This Row],[NO4]]=0,"id",FormFields[[#This Row],[NO4]]+IF(ISNUMBER(VLOOKUP('Table Seed Map'!$A$14,SeedMap[],9,0)),VLOOKUP('Table Seed Map'!$A$14,SeedMap[],9,0),0))</f>
        <v>2113118</v>
      </c>
      <c r="AN50" s="104">
        <f>IF(FormFields[[#This Row],[ID]]="id","form_field",FormFields[[#This Row],[ID]])</f>
        <v>2111148</v>
      </c>
      <c r="AO50" s="105" t="s">
        <v>1191</v>
      </c>
      <c r="AP50" s="105"/>
      <c r="AQ50" s="105"/>
      <c r="AR50" s="105"/>
      <c r="AS50" s="105"/>
      <c r="AT50" s="96">
        <f>IF(OR(FormFields[[#This Row],[Colspan]]="",FormFields[[#This Row],[Colspan]]="colspan"),0,1)</f>
        <v>0</v>
      </c>
      <c r="AU50" s="96" t="str">
        <f>'Table Seed Map'!$A$19&amp;"-"&amp;FormFields[[#This Row],[NO8]]</f>
        <v>Form Layout-7</v>
      </c>
      <c r="AV50" s="96">
        <f>COUNTIF($AT$1:FormFields[[#This Row],[Exists FL]],1)</f>
        <v>7</v>
      </c>
      <c r="AW5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0" s="96">
        <f>[Form]</f>
        <v>2110115</v>
      </c>
      <c r="AY50" s="96">
        <f>IF(FormFields[[#This Row],[ID]]="id","form_field",FormFields[[#This Row],[ID]])</f>
        <v>2111148</v>
      </c>
      <c r="AZ50" s="106"/>
      <c r="BA50" s="104">
        <f>FormFields[[#This Row],[ID]]</f>
        <v>2111148</v>
      </c>
      <c r="BC50" s="62" t="s">
        <v>1283</v>
      </c>
      <c r="BD50" s="63" t="str">
        <f>'Table Seed Map'!$A$15&amp;"-"&amp;(-1+COUNTA($BC$1:FieldAttrs[[#This Row],[ATTR Field]]))</f>
        <v>Field Attrs-48</v>
      </c>
      <c r="BE50" s="69">
        <f>IF(FieldAttrs[[#This Row],[ATTR Field]]="","id",-1+COUNTA($BC$1:FieldAttrs[[#This Row],[ATTR Field]])+VLOOKUP('Table Seed Map'!$A$15,SeedMap[],9,0))</f>
        <v>2114148</v>
      </c>
      <c r="BF50" s="104">
        <f>IFERROR(VLOOKUP([ATTR Field],FormFields[[Field Name]:[ID]],2,0),"form_field")</f>
        <v>2111166</v>
      </c>
      <c r="BG50" s="104" t="s">
        <v>1193</v>
      </c>
      <c r="BH50" s="104">
        <v>4</v>
      </c>
    </row>
    <row r="51" spans="13:60">
      <c r="M51" s="95" t="str">
        <f>'Table Seed Map'!$A$12&amp;"-"&amp;FormFields[[#This Row],[No]]</f>
        <v>Form Fields-49</v>
      </c>
      <c r="N51" s="81" t="s">
        <v>1242</v>
      </c>
      <c r="O51" s="96">
        <f>COUNTA($N$1:FormFields[[#This Row],[Form Name]])-1</f>
        <v>49</v>
      </c>
      <c r="P51" s="95" t="str">
        <f>FormFields[[#This Row],[Form Name]]&amp;"/"&amp;FormFields[[#This Row],[Name]]</f>
        <v>Order/NewOrderForm/customer</v>
      </c>
      <c r="Q51" s="96">
        <f>IF(FormFields[[#This Row],[No]]=0,"id",FormFields[[#This Row],[No]]+IF(ISNUMBER(VLOOKUP('Table Seed Map'!$A$12,SeedMap[],9,0)),VLOOKUP('Table Seed Map'!$A$12,SeedMap[],9,0),0))</f>
        <v>2111149</v>
      </c>
      <c r="R51" s="97">
        <f>IFERROR(VLOOKUP(FormFields[[#This Row],[Form Name]],ResourceForms[[FormName]:[ID]],4,0),"resource_form")</f>
        <v>2110116</v>
      </c>
      <c r="S51" s="98" t="s">
        <v>830</v>
      </c>
      <c r="T51" s="98" t="s">
        <v>1189</v>
      </c>
      <c r="U51" s="98" t="s">
        <v>1243</v>
      </c>
      <c r="V51" s="99"/>
      <c r="W51" s="99"/>
      <c r="X51" s="99"/>
      <c r="Y51" s="99"/>
      <c r="Z51" s="100" t="str">
        <f>'Table Seed Map'!$A$13&amp;"-"&amp;FormFields[[#This Row],[NO2]]</f>
        <v>Field Data-49</v>
      </c>
      <c r="AA51" s="101">
        <f>COUNTIFS($AB$1:FormFields[[#This Row],[Exists]],1)-1</f>
        <v>49</v>
      </c>
      <c r="AB51" s="101">
        <f>IF(AND(FormFields[[#This Row],[Attribute]]="",FormFields[[#This Row],[Rel]]=""),0,1)</f>
        <v>1</v>
      </c>
      <c r="AC51" s="101">
        <f>IF(FormFields[[#This Row],[NO2]]=0,"id",FormFields[[#This Row],[NO2]]+IF(ISNUMBER(VLOOKUP('Table Seed Map'!$A$13,SeedMap[],9,0)),VLOOKUP('Table Seed Map'!$A$13,SeedMap[],9,0),0))</f>
        <v>2112149</v>
      </c>
      <c r="AD51" s="102">
        <f>IF(FormFields[[#This Row],[ID]]="id","form_field",FormFields[[#This Row],[ID]])</f>
        <v>2111149</v>
      </c>
      <c r="AE51" s="101" t="str">
        <f>IF(FormFields[[#This Row],[No]]=0,"attribute",FormFields[[#This Row],[Name]])</f>
        <v>customer</v>
      </c>
      <c r="AF51" s="103" t="str">
        <f>IF(FormFields[[#This Row],[NO2]]=0,"relation",IF(FormFields[[#This Row],[Rel]]="","",VLOOKUP(FormFields[[#This Row],[Rel]],RelationTable[[Display]:[RELID]],2,0)))</f>
        <v/>
      </c>
      <c r="AG51" s="103" t="str">
        <f>IF(FormFields[[#This Row],[NO2]]=0,"nest_relation1",IF(FormFields[[#This Row],[Rel1]]="","",VLOOKUP(FormFields[[#This Row],[Rel1]],RelationTable[[Display]:[RELID]],2,0)))</f>
        <v/>
      </c>
      <c r="AH51" s="103" t="str">
        <f>IF(FormFields[[#This Row],[NO2]]=0,"nest_relation2",IF(FormFields[[#This Row],[Rel2]]="","",VLOOKUP(FormFields[[#This Row],[Rel2]],RelationTable[[Display]:[RELID]],2,0)))</f>
        <v/>
      </c>
      <c r="AI51" s="103" t="str">
        <f>IF(FormFields[[#This Row],[NO2]]=0,"nest_relation3",IF(FormFields[[#This Row],[Rel3]]="","",VLOOKUP(FormFields[[#This Row],[Rel3]],RelationTable[[Display]:[RELID]],2,0)))</f>
        <v/>
      </c>
      <c r="AJ51" s="96">
        <f>IF(OR(FormFields[[#This Row],[Option Type]]="",FormFields[[#This Row],[Option Type]]="type"),0,1)</f>
        <v>1</v>
      </c>
      <c r="AK51" s="96" t="str">
        <f>'Table Seed Map'!$A$14&amp;"-"&amp;FormFields[[#This Row],[NO4]]</f>
        <v>Field Options-19</v>
      </c>
      <c r="AL51" s="96">
        <f>COUNTIF($AJ$2:FormFields[[#This Row],[Exists FO]],1)</f>
        <v>19</v>
      </c>
      <c r="AM51" s="96">
        <f>IF(FormFields[[#This Row],[NO4]]=0,"id",FormFields[[#This Row],[NO4]]+IF(ISNUMBER(VLOOKUP('Table Seed Map'!$A$14,SeedMap[],9,0)),VLOOKUP('Table Seed Map'!$A$14,SeedMap[],9,0),0))</f>
        <v>2113119</v>
      </c>
      <c r="AN51" s="104">
        <f>IF(FormFields[[#This Row],[ID]]="id","form_field",FormFields[[#This Row],[ID]])</f>
        <v>2111149</v>
      </c>
      <c r="AO51" s="105" t="s">
        <v>122</v>
      </c>
      <c r="AP51" s="105">
        <v>2123107</v>
      </c>
      <c r="AQ51" s="105" t="s">
        <v>21</v>
      </c>
      <c r="AR51" s="105" t="s">
        <v>23</v>
      </c>
      <c r="AS51" s="105"/>
      <c r="AT51" s="96">
        <f>IF(OR(FormFields[[#This Row],[Colspan]]="",FormFields[[#This Row],[Colspan]]="colspan"),0,1)</f>
        <v>0</v>
      </c>
      <c r="AU51" s="96" t="str">
        <f>'Table Seed Map'!$A$19&amp;"-"&amp;FormFields[[#This Row],[NO8]]</f>
        <v>Form Layout-7</v>
      </c>
      <c r="AV51" s="96">
        <f>COUNTIF($AT$1:FormFields[[#This Row],[Exists FL]],1)</f>
        <v>7</v>
      </c>
      <c r="AW5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1" s="96">
        <f>[Form]</f>
        <v>2110116</v>
      </c>
      <c r="AY51" s="96">
        <f>IF(FormFields[[#This Row],[ID]]="id","form_field",FormFields[[#This Row],[ID]])</f>
        <v>2111149</v>
      </c>
      <c r="AZ51" s="106"/>
      <c r="BA51" s="104">
        <f>FormFields[[#This Row],[ID]]</f>
        <v>2111149</v>
      </c>
      <c r="BC51" s="62" t="s">
        <v>1295</v>
      </c>
      <c r="BD51" s="63" t="str">
        <f>'Table Seed Map'!$A$15&amp;"-"&amp;(-1+COUNTA($BC$1:FieldAttrs[[#This Row],[ATTR Field]]))</f>
        <v>Field Attrs-49</v>
      </c>
      <c r="BE51" s="69">
        <f>IF(FieldAttrs[[#This Row],[ATTR Field]]="","id",-1+COUNTA($BC$1:FieldAttrs[[#This Row],[ATTR Field]])+VLOOKUP('Table Seed Map'!$A$15,SeedMap[],9,0))</f>
        <v>2114149</v>
      </c>
      <c r="BF51" s="104">
        <f>IFERROR(VLOOKUP([ATTR Field],FormFields[[Field Name]:[ID]],2,0),"form_field")</f>
        <v>2111167</v>
      </c>
      <c r="BG51" s="104" t="s">
        <v>1193</v>
      </c>
      <c r="BH51" s="104">
        <v>4</v>
      </c>
    </row>
    <row r="52" spans="13:60">
      <c r="M52" s="95" t="str">
        <f>'Table Seed Map'!$A$12&amp;"-"&amp;FormFields[[#This Row],[No]]</f>
        <v>Form Fields-50</v>
      </c>
      <c r="N52" s="81" t="s">
        <v>1242</v>
      </c>
      <c r="O52" s="96">
        <f>COUNTA($N$1:FormFields[[#This Row],[Form Name]])-1</f>
        <v>50</v>
      </c>
      <c r="P52" s="95" t="str">
        <f>FormFields[[#This Row],[Form Name]]&amp;"/"&amp;FormFields[[#This Row],[Name]]</f>
        <v>Order/NewOrderForm/date</v>
      </c>
      <c r="Q52" s="96">
        <f>IF(FormFields[[#This Row],[No]]=0,"id",FormFields[[#This Row],[No]]+IF(ISNUMBER(VLOOKUP('Table Seed Map'!$A$12,SeedMap[],9,0)),VLOOKUP('Table Seed Map'!$A$12,SeedMap[],9,0),0))</f>
        <v>2111150</v>
      </c>
      <c r="R52" s="97">
        <f>IFERROR(VLOOKUP(FormFields[[#This Row],[Form Name]],ResourceForms[[FormName]:[ID]],4,0),"resource_form")</f>
        <v>2110116</v>
      </c>
      <c r="S52" s="98" t="s">
        <v>827</v>
      </c>
      <c r="T52" s="98" t="s">
        <v>1137</v>
      </c>
      <c r="U52" s="98" t="s">
        <v>1244</v>
      </c>
      <c r="V52" s="99"/>
      <c r="W52" s="99"/>
      <c r="X52" s="99"/>
      <c r="Y52" s="99"/>
      <c r="Z52" s="100" t="str">
        <f>'Table Seed Map'!$A$13&amp;"-"&amp;FormFields[[#This Row],[NO2]]</f>
        <v>Field Data-50</v>
      </c>
      <c r="AA52" s="101">
        <f>COUNTIFS($AB$1:FormFields[[#This Row],[Exists]],1)-1</f>
        <v>50</v>
      </c>
      <c r="AB52" s="101">
        <f>IF(AND(FormFields[[#This Row],[Attribute]]="",FormFields[[#This Row],[Rel]]=""),0,1)</f>
        <v>1</v>
      </c>
      <c r="AC52" s="101">
        <f>IF(FormFields[[#This Row],[NO2]]=0,"id",FormFields[[#This Row],[NO2]]+IF(ISNUMBER(VLOOKUP('Table Seed Map'!$A$13,SeedMap[],9,0)),VLOOKUP('Table Seed Map'!$A$13,SeedMap[],9,0),0))</f>
        <v>2112150</v>
      </c>
      <c r="AD52" s="102">
        <f>IF(FormFields[[#This Row],[ID]]="id","form_field",FormFields[[#This Row],[ID]])</f>
        <v>2111150</v>
      </c>
      <c r="AE52" s="101" t="str">
        <f>IF(FormFields[[#This Row],[No]]=0,"attribute",FormFields[[#This Row],[Name]])</f>
        <v>date</v>
      </c>
      <c r="AF52" s="103" t="str">
        <f>IF(FormFields[[#This Row],[NO2]]=0,"relation",IF(FormFields[[#This Row],[Rel]]="","",VLOOKUP(FormFields[[#This Row],[Rel]],RelationTable[[Display]:[RELID]],2,0)))</f>
        <v/>
      </c>
      <c r="AG52" s="103" t="str">
        <f>IF(FormFields[[#This Row],[NO2]]=0,"nest_relation1",IF(FormFields[[#This Row],[Rel1]]="","",VLOOKUP(FormFields[[#This Row],[Rel1]],RelationTable[[Display]:[RELID]],2,0)))</f>
        <v/>
      </c>
      <c r="AH52" s="103" t="str">
        <f>IF(FormFields[[#This Row],[NO2]]=0,"nest_relation2",IF(FormFields[[#This Row],[Rel2]]="","",VLOOKUP(FormFields[[#This Row],[Rel2]],RelationTable[[Display]:[RELID]],2,0)))</f>
        <v/>
      </c>
      <c r="AI52" s="103" t="str">
        <f>IF(FormFields[[#This Row],[NO2]]=0,"nest_relation3",IF(FormFields[[#This Row],[Rel3]]="","",VLOOKUP(FormFields[[#This Row],[Rel3]],RelationTable[[Display]:[RELID]],2,0)))</f>
        <v/>
      </c>
      <c r="AJ52" s="96">
        <f>IF(OR(FormFields[[#This Row],[Option Type]]="",FormFields[[#This Row],[Option Type]]="type"),0,1)</f>
        <v>0</v>
      </c>
      <c r="AK52" s="96" t="str">
        <f>'Table Seed Map'!$A$14&amp;"-"&amp;FormFields[[#This Row],[NO4]]</f>
        <v>Field Options-19</v>
      </c>
      <c r="AL52" s="96">
        <f>COUNTIF($AJ$2:FormFields[[#This Row],[Exists FO]],1)</f>
        <v>19</v>
      </c>
      <c r="AM52" s="96">
        <f>IF(FormFields[[#This Row],[NO4]]=0,"id",FormFields[[#This Row],[NO4]]+IF(ISNUMBER(VLOOKUP('Table Seed Map'!$A$14,SeedMap[],9,0)),VLOOKUP('Table Seed Map'!$A$14,SeedMap[],9,0),0))</f>
        <v>2113119</v>
      </c>
      <c r="AN52" s="104">
        <f>IF(FormFields[[#This Row],[ID]]="id","form_field",FormFields[[#This Row],[ID]])</f>
        <v>2111150</v>
      </c>
      <c r="AO52" s="105"/>
      <c r="AP52" s="105"/>
      <c r="AQ52" s="105"/>
      <c r="AR52" s="105"/>
      <c r="AS52" s="105"/>
      <c r="AT52" s="96">
        <f>IF(OR(FormFields[[#This Row],[Colspan]]="",FormFields[[#This Row],[Colspan]]="colspan"),0,1)</f>
        <v>0</v>
      </c>
      <c r="AU52" s="96" t="str">
        <f>'Table Seed Map'!$A$19&amp;"-"&amp;FormFields[[#This Row],[NO8]]</f>
        <v>Form Layout-7</v>
      </c>
      <c r="AV52" s="96">
        <f>COUNTIF($AT$1:FormFields[[#This Row],[Exists FL]],1)</f>
        <v>7</v>
      </c>
      <c r="AW5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2" s="96">
        <f>[Form]</f>
        <v>2110116</v>
      </c>
      <c r="AY52" s="96">
        <f>IF(FormFields[[#This Row],[ID]]="id","form_field",FormFields[[#This Row],[ID]])</f>
        <v>2111150</v>
      </c>
      <c r="AZ52" s="106"/>
      <c r="BA52" s="104">
        <f>FormFields[[#This Row],[ID]]</f>
        <v>2111150</v>
      </c>
      <c r="BC52" s="62" t="s">
        <v>1294</v>
      </c>
      <c r="BD52" s="63" t="str">
        <f>'Table Seed Map'!$A$15&amp;"-"&amp;(-1+COUNTA($BC$1:FieldAttrs[[#This Row],[ATTR Field]]))</f>
        <v>Field Attrs-50</v>
      </c>
      <c r="BE52" s="69">
        <f>IF(FieldAttrs[[#This Row],[ATTR Field]]="","id",-1+COUNTA($BC$1:FieldAttrs[[#This Row],[ATTR Field]])+VLOOKUP('Table Seed Map'!$A$15,SeedMap[],9,0))</f>
        <v>2114150</v>
      </c>
      <c r="BF52" s="104">
        <f>IFERROR(VLOOKUP([ATTR Field],FormFields[[Field Name]:[ID]],2,0),"form_field")</f>
        <v>2111168</v>
      </c>
      <c r="BG52" s="104" t="s">
        <v>1193</v>
      </c>
      <c r="BH52" s="104">
        <v>4</v>
      </c>
    </row>
    <row r="53" spans="13:60">
      <c r="M53" s="95" t="str">
        <f>'Table Seed Map'!$A$12&amp;"-"&amp;FormFields[[#This Row],[No]]</f>
        <v>Form Fields-51</v>
      </c>
      <c r="N53" s="81" t="s">
        <v>1242</v>
      </c>
      <c r="O53" s="96">
        <f>COUNTA($N$1:FormFields[[#This Row],[Form Name]])-1</f>
        <v>51</v>
      </c>
      <c r="P53" s="95" t="str">
        <f>FormFields[[#This Row],[Form Name]]&amp;"/"&amp;FormFields[[#This Row],[Name]]</f>
        <v>Order/NewOrderForm/pl</v>
      </c>
      <c r="Q53" s="96">
        <f>IF(FormFields[[#This Row],[No]]=0,"id",FormFields[[#This Row],[No]]+IF(ISNUMBER(VLOOKUP('Table Seed Map'!$A$12,SeedMap[],9,0)),VLOOKUP('Table Seed Map'!$A$12,SeedMap[],9,0),0))</f>
        <v>2111151</v>
      </c>
      <c r="R53" s="97">
        <f>IFERROR(VLOOKUP(FormFields[[#This Row],[Form Name]],ResourceForms[[FormName]:[ID]],4,0),"resource_form")</f>
        <v>2110116</v>
      </c>
      <c r="S53" s="98" t="s">
        <v>820</v>
      </c>
      <c r="T53" s="98" t="s">
        <v>1189</v>
      </c>
      <c r="U53" s="98" t="s">
        <v>1219</v>
      </c>
      <c r="V53" s="99"/>
      <c r="W53" s="99"/>
      <c r="X53" s="99"/>
      <c r="Y53" s="99"/>
      <c r="Z53" s="100" t="str">
        <f>'Table Seed Map'!$A$13&amp;"-"&amp;FormFields[[#This Row],[NO2]]</f>
        <v>Field Data-51</v>
      </c>
      <c r="AA53" s="101">
        <f>COUNTIFS($AB$1:FormFields[[#This Row],[Exists]],1)-1</f>
        <v>51</v>
      </c>
      <c r="AB53" s="101">
        <f>IF(AND(FormFields[[#This Row],[Attribute]]="",FormFields[[#This Row],[Rel]]=""),0,1)</f>
        <v>1</v>
      </c>
      <c r="AC53" s="101">
        <f>IF(FormFields[[#This Row],[NO2]]=0,"id",FormFields[[#This Row],[NO2]]+IF(ISNUMBER(VLOOKUP('Table Seed Map'!$A$13,SeedMap[],9,0)),VLOOKUP('Table Seed Map'!$A$13,SeedMap[],9,0),0))</f>
        <v>2112151</v>
      </c>
      <c r="AD53" s="102">
        <f>IF(FormFields[[#This Row],[ID]]="id","form_field",FormFields[[#This Row],[ID]])</f>
        <v>2111151</v>
      </c>
      <c r="AE53" s="101" t="str">
        <f>IF(FormFields[[#This Row],[No]]=0,"attribute",FormFields[[#This Row],[Name]])</f>
        <v>pl</v>
      </c>
      <c r="AF53" s="103" t="str">
        <f>IF(FormFields[[#This Row],[NO2]]=0,"relation",IF(FormFields[[#This Row],[Rel]]="","",VLOOKUP(FormFields[[#This Row],[Rel]],RelationTable[[Display]:[RELID]],2,0)))</f>
        <v/>
      </c>
      <c r="AG53" s="103" t="str">
        <f>IF(FormFields[[#This Row],[NO2]]=0,"nest_relation1",IF(FormFields[[#This Row],[Rel1]]="","",VLOOKUP(FormFields[[#This Row],[Rel1]],RelationTable[[Display]:[RELID]],2,0)))</f>
        <v/>
      </c>
      <c r="AH53" s="103" t="str">
        <f>IF(FormFields[[#This Row],[NO2]]=0,"nest_relation2",IF(FormFields[[#This Row],[Rel2]]="","",VLOOKUP(FormFields[[#This Row],[Rel2]],RelationTable[[Display]:[RELID]],2,0)))</f>
        <v/>
      </c>
      <c r="AI53" s="103" t="str">
        <f>IF(FormFields[[#This Row],[NO2]]=0,"nest_relation3",IF(FormFields[[#This Row],[Rel3]]="","",VLOOKUP(FormFields[[#This Row],[Rel3]],RelationTable[[Display]:[RELID]],2,0)))</f>
        <v/>
      </c>
      <c r="AJ53" s="96">
        <f>IF(OR(FormFields[[#This Row],[Option Type]]="",FormFields[[#This Row],[Option Type]]="type"),0,1)</f>
        <v>1</v>
      </c>
      <c r="AK53" s="96" t="str">
        <f>'Table Seed Map'!$A$14&amp;"-"&amp;FormFields[[#This Row],[NO4]]</f>
        <v>Field Options-20</v>
      </c>
      <c r="AL53" s="96">
        <f>COUNTIF($AJ$2:FormFields[[#This Row],[Exists FO]],1)</f>
        <v>20</v>
      </c>
      <c r="AM53" s="96">
        <f>IF(FormFields[[#This Row],[NO4]]=0,"id",FormFields[[#This Row],[NO4]]+IF(ISNUMBER(VLOOKUP('Table Seed Map'!$A$14,SeedMap[],9,0)),VLOOKUP('Table Seed Map'!$A$14,SeedMap[],9,0),0))</f>
        <v>2113120</v>
      </c>
      <c r="AN53" s="104">
        <f>IF(FormFields[[#This Row],[ID]]="id","form_field",FormFields[[#This Row],[ID]])</f>
        <v>2111151</v>
      </c>
      <c r="AO53" s="105" t="s">
        <v>278</v>
      </c>
      <c r="AP53" s="105"/>
      <c r="AQ53" s="105" t="s">
        <v>21</v>
      </c>
      <c r="AR53" s="105" t="s">
        <v>23</v>
      </c>
      <c r="AS53" s="105"/>
      <c r="AT53" s="96">
        <f>IF(OR(FormFields[[#This Row],[Colspan]]="",FormFields[[#This Row],[Colspan]]="colspan"),0,1)</f>
        <v>0</v>
      </c>
      <c r="AU53" s="96" t="str">
        <f>'Table Seed Map'!$A$19&amp;"-"&amp;FormFields[[#This Row],[NO8]]</f>
        <v>Form Layout-7</v>
      </c>
      <c r="AV53" s="96">
        <f>COUNTIF($AT$1:FormFields[[#This Row],[Exists FL]],1)</f>
        <v>7</v>
      </c>
      <c r="AW5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3" s="96">
        <f>[Form]</f>
        <v>2110116</v>
      </c>
      <c r="AY53" s="96">
        <f>IF(FormFields[[#This Row],[ID]]="id","form_field",FormFields[[#This Row],[ID]])</f>
        <v>2111151</v>
      </c>
      <c r="AZ53" s="106"/>
      <c r="BA53" s="104">
        <f>FormFields[[#This Row],[ID]]</f>
        <v>2111151</v>
      </c>
      <c r="BC53" s="62" t="s">
        <v>1291</v>
      </c>
      <c r="BD53" s="63" t="str">
        <f>'Table Seed Map'!$A$15&amp;"-"&amp;(-1+COUNTA($BC$1:FieldAttrs[[#This Row],[ATTR Field]]))</f>
        <v>Field Attrs-51</v>
      </c>
      <c r="BE53" s="69">
        <f>IF(FieldAttrs[[#This Row],[ATTR Field]]="","id",-1+COUNTA($BC$1:FieldAttrs[[#This Row],[ATTR Field]])+VLOOKUP('Table Seed Map'!$A$15,SeedMap[],9,0))</f>
        <v>2114151</v>
      </c>
      <c r="BF53" s="104">
        <f>IFERROR(VLOOKUP([ATTR Field],FormFields[[Field Name]:[ID]],2,0),"form_field")</f>
        <v>2111169</v>
      </c>
      <c r="BG53" s="104" t="s">
        <v>1193</v>
      </c>
      <c r="BH53" s="104">
        <v>4</v>
      </c>
    </row>
    <row r="54" spans="13:60">
      <c r="M54" s="95" t="str">
        <f>'Table Seed Map'!$A$12&amp;"-"&amp;FormFields[[#This Row],[No]]</f>
        <v>Form Fields-52</v>
      </c>
      <c r="N54" s="81" t="s">
        <v>1248</v>
      </c>
      <c r="O54" s="96">
        <f>COUNTA($N$1:FormFields[[#This Row],[Form Name]])-1</f>
        <v>52</v>
      </c>
      <c r="P54" s="95" t="str">
        <f>FormFields[[#This Row],[Form Name]]&amp;"/"&amp;FormFields[[#This Row],[Name]]</f>
        <v>OrderItem/AddOrderItemForm/order</v>
      </c>
      <c r="Q54" s="96">
        <f>IF(FormFields[[#This Row],[No]]=0,"id",FormFields[[#This Row],[No]]+IF(ISNUMBER(VLOOKUP('Table Seed Map'!$A$12,SeedMap[],9,0)),VLOOKUP('Table Seed Map'!$A$12,SeedMap[],9,0),0))</f>
        <v>2111152</v>
      </c>
      <c r="R54" s="97">
        <f>IFERROR(VLOOKUP(FormFields[[#This Row],[Form Name]],ResourceForms[[FormName]:[ID]],4,0),"resource_form")</f>
        <v>2110117</v>
      </c>
      <c r="S54" s="98" t="s">
        <v>833</v>
      </c>
      <c r="T54" s="98" t="s">
        <v>1189</v>
      </c>
      <c r="U54" s="98" t="s">
        <v>1249</v>
      </c>
      <c r="V54" s="99"/>
      <c r="W54" s="99"/>
      <c r="X54" s="99"/>
      <c r="Y54" s="99"/>
      <c r="Z54" s="100" t="str">
        <f>'Table Seed Map'!$A$13&amp;"-"&amp;FormFields[[#This Row],[NO2]]</f>
        <v>Field Data-52</v>
      </c>
      <c r="AA54" s="101">
        <f>COUNTIFS($AB$1:FormFields[[#This Row],[Exists]],1)-1</f>
        <v>52</v>
      </c>
      <c r="AB54" s="101">
        <f>IF(AND(FormFields[[#This Row],[Attribute]]="",FormFields[[#This Row],[Rel]]=""),0,1)</f>
        <v>1</v>
      </c>
      <c r="AC54" s="101">
        <f>IF(FormFields[[#This Row],[NO2]]=0,"id",FormFields[[#This Row],[NO2]]+IF(ISNUMBER(VLOOKUP('Table Seed Map'!$A$13,SeedMap[],9,0)),VLOOKUP('Table Seed Map'!$A$13,SeedMap[],9,0),0))</f>
        <v>2112152</v>
      </c>
      <c r="AD54" s="102">
        <f>IF(FormFields[[#This Row],[ID]]="id","form_field",FormFields[[#This Row],[ID]])</f>
        <v>2111152</v>
      </c>
      <c r="AE54" s="101" t="str">
        <f>IF(FormFields[[#This Row],[No]]=0,"attribute",FormFields[[#This Row],[Name]])</f>
        <v>order</v>
      </c>
      <c r="AF54" s="103" t="str">
        <f>IF(FormFields[[#This Row],[NO2]]=0,"relation",IF(FormFields[[#This Row],[Rel]]="","",VLOOKUP(FormFields[[#This Row],[Rel]],RelationTable[[Display]:[RELID]],2,0)))</f>
        <v/>
      </c>
      <c r="AG54" s="103" t="str">
        <f>IF(FormFields[[#This Row],[NO2]]=0,"nest_relation1",IF(FormFields[[#This Row],[Rel1]]="","",VLOOKUP(FormFields[[#This Row],[Rel1]],RelationTable[[Display]:[RELID]],2,0)))</f>
        <v/>
      </c>
      <c r="AH54" s="103" t="str">
        <f>IF(FormFields[[#This Row],[NO2]]=0,"nest_relation2",IF(FormFields[[#This Row],[Rel2]]="","",VLOOKUP(FormFields[[#This Row],[Rel2]],RelationTable[[Display]:[RELID]],2,0)))</f>
        <v/>
      </c>
      <c r="AI54" s="103" t="str">
        <f>IF(FormFields[[#This Row],[NO2]]=0,"nest_relation3",IF(FormFields[[#This Row],[Rel3]]="","",VLOOKUP(FormFields[[#This Row],[Rel3]],RelationTable[[Display]:[RELID]],2,0)))</f>
        <v/>
      </c>
      <c r="AJ54" s="96">
        <f>IF(OR(FormFields[[#This Row],[Option Type]]="",FormFields[[#This Row],[Option Type]]="type"),0,1)</f>
        <v>0</v>
      </c>
      <c r="AK54" s="96" t="str">
        <f>'Table Seed Map'!$A$14&amp;"-"&amp;FormFields[[#This Row],[NO4]]</f>
        <v>Field Options-20</v>
      </c>
      <c r="AL54" s="96">
        <f>COUNTIF($AJ$2:FormFields[[#This Row],[Exists FO]],1)</f>
        <v>20</v>
      </c>
      <c r="AM54" s="96">
        <f>IF(FormFields[[#This Row],[NO4]]=0,"id",FormFields[[#This Row],[NO4]]+IF(ISNUMBER(VLOOKUP('Table Seed Map'!$A$14,SeedMap[],9,0)),VLOOKUP('Table Seed Map'!$A$14,SeedMap[],9,0),0))</f>
        <v>2113120</v>
      </c>
      <c r="AN54" s="104">
        <f>IF(FormFields[[#This Row],[ID]]="id","form_field",FormFields[[#This Row],[ID]])</f>
        <v>2111152</v>
      </c>
      <c r="AO54" s="105"/>
      <c r="AP54" s="105"/>
      <c r="AQ54" s="105"/>
      <c r="AR54" s="105"/>
      <c r="AS54" s="105"/>
      <c r="AT54" s="96">
        <f>IF(OR(FormFields[[#This Row],[Colspan]]="",FormFields[[#This Row],[Colspan]]="colspan"),0,1)</f>
        <v>0</v>
      </c>
      <c r="AU54" s="96" t="str">
        <f>'Table Seed Map'!$A$19&amp;"-"&amp;FormFields[[#This Row],[NO8]]</f>
        <v>Form Layout-7</v>
      </c>
      <c r="AV54" s="96">
        <f>COUNTIF($AT$1:FormFields[[#This Row],[Exists FL]],1)</f>
        <v>7</v>
      </c>
      <c r="AW5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4" s="96">
        <f>[Form]</f>
        <v>2110117</v>
      </c>
      <c r="AY54" s="96">
        <f>IF(FormFields[[#This Row],[ID]]="id","form_field",FormFields[[#This Row],[ID]])</f>
        <v>2111152</v>
      </c>
      <c r="AZ54" s="106"/>
      <c r="BA54" s="104">
        <f>FormFields[[#This Row],[ID]]</f>
        <v>2111152</v>
      </c>
      <c r="BC54" s="62" t="s">
        <v>1292</v>
      </c>
      <c r="BD54" s="63" t="str">
        <f>'Table Seed Map'!$A$15&amp;"-"&amp;(-1+COUNTA($BC$1:FieldAttrs[[#This Row],[ATTR Field]]))</f>
        <v>Field Attrs-52</v>
      </c>
      <c r="BE54" s="69">
        <f>IF(FieldAttrs[[#This Row],[ATTR Field]]="","id",-1+COUNTA($BC$1:FieldAttrs[[#This Row],[ATTR Field]])+VLOOKUP('Table Seed Map'!$A$15,SeedMap[],9,0))</f>
        <v>2114152</v>
      </c>
      <c r="BF54" s="104">
        <f>IFERROR(VLOOKUP([ATTR Field],FormFields[[Field Name]:[ID]],2,0),"form_field")</f>
        <v>2111170</v>
      </c>
      <c r="BG54" s="104" t="s">
        <v>1193</v>
      </c>
      <c r="BH54" s="104">
        <v>4</v>
      </c>
    </row>
    <row r="55" spans="13:60">
      <c r="M55" s="95" t="str">
        <f>'Table Seed Map'!$A$12&amp;"-"&amp;FormFields[[#This Row],[No]]</f>
        <v>Form Fields-53</v>
      </c>
      <c r="N55" s="81" t="s">
        <v>1248</v>
      </c>
      <c r="O55" s="96">
        <f>COUNTA($N$1:FormFields[[#This Row],[Form Name]])-1</f>
        <v>53</v>
      </c>
      <c r="P55" s="95" t="str">
        <f>FormFields[[#This Row],[Form Name]]&amp;"/"&amp;FormFields[[#This Row],[Name]]</f>
        <v>OrderItem/AddOrderItemForm/item</v>
      </c>
      <c r="Q55" s="96">
        <f>IF(FormFields[[#This Row],[No]]=0,"id",FormFields[[#This Row],[No]]+IF(ISNUMBER(VLOOKUP('Table Seed Map'!$A$12,SeedMap[],9,0)),VLOOKUP('Table Seed Map'!$A$12,SeedMap[],9,0),0))</f>
        <v>2111153</v>
      </c>
      <c r="R55" s="97">
        <f>IFERROR(VLOOKUP(FormFields[[#This Row],[Form Name]],ResourceForms[[FormName]:[ID]],4,0),"resource_form")</f>
        <v>2110117</v>
      </c>
      <c r="S55" s="98" t="s">
        <v>817</v>
      </c>
      <c r="T55" s="98" t="s">
        <v>1189</v>
      </c>
      <c r="U55" s="98" t="s">
        <v>779</v>
      </c>
      <c r="V55" s="99"/>
      <c r="W55" s="99"/>
      <c r="X55" s="99"/>
      <c r="Y55" s="99"/>
      <c r="Z55" s="100" t="str">
        <f>'Table Seed Map'!$A$13&amp;"-"&amp;FormFields[[#This Row],[NO2]]</f>
        <v>Field Data-53</v>
      </c>
      <c r="AA55" s="101">
        <f>COUNTIFS($AB$1:FormFields[[#This Row],[Exists]],1)-1</f>
        <v>53</v>
      </c>
      <c r="AB55" s="101">
        <f>IF(AND(FormFields[[#This Row],[Attribute]]="",FormFields[[#This Row],[Rel]]=""),0,1)</f>
        <v>1</v>
      </c>
      <c r="AC55" s="101">
        <f>IF(FormFields[[#This Row],[NO2]]=0,"id",FormFields[[#This Row],[NO2]]+IF(ISNUMBER(VLOOKUP('Table Seed Map'!$A$13,SeedMap[],9,0)),VLOOKUP('Table Seed Map'!$A$13,SeedMap[],9,0),0))</f>
        <v>2112153</v>
      </c>
      <c r="AD55" s="102">
        <f>IF(FormFields[[#This Row],[ID]]="id","form_field",FormFields[[#This Row],[ID]])</f>
        <v>2111153</v>
      </c>
      <c r="AE55" s="101" t="str">
        <f>IF(FormFields[[#This Row],[No]]=0,"attribute",FormFields[[#This Row],[Name]])</f>
        <v>item</v>
      </c>
      <c r="AF55" s="103" t="str">
        <f>IF(FormFields[[#This Row],[NO2]]=0,"relation",IF(FormFields[[#This Row],[Rel]]="","",VLOOKUP(FormFields[[#This Row],[Rel]],RelationTable[[Display]:[RELID]],2,0)))</f>
        <v/>
      </c>
      <c r="AG55" s="103" t="str">
        <f>IF(FormFields[[#This Row],[NO2]]=0,"nest_relation1",IF(FormFields[[#This Row],[Rel1]]="","",VLOOKUP(FormFields[[#This Row],[Rel1]],RelationTable[[Display]:[RELID]],2,0)))</f>
        <v/>
      </c>
      <c r="AH55" s="103" t="str">
        <f>IF(FormFields[[#This Row],[NO2]]=0,"nest_relation2",IF(FormFields[[#This Row],[Rel2]]="","",VLOOKUP(FormFields[[#This Row],[Rel2]],RelationTable[[Display]:[RELID]],2,0)))</f>
        <v/>
      </c>
      <c r="AI55" s="103" t="str">
        <f>IF(FormFields[[#This Row],[NO2]]=0,"nest_relation3",IF(FormFields[[#This Row],[Rel3]]="","",VLOOKUP(FormFields[[#This Row],[Rel3]],RelationTable[[Display]:[RELID]],2,0)))</f>
        <v/>
      </c>
      <c r="AJ55" s="96">
        <f>IF(OR(FormFields[[#This Row],[Option Type]]="",FormFields[[#This Row],[Option Type]]="type"),0,1)</f>
        <v>1</v>
      </c>
      <c r="AK55" s="96" t="str">
        <f>'Table Seed Map'!$A$14&amp;"-"&amp;FormFields[[#This Row],[NO4]]</f>
        <v>Field Options-21</v>
      </c>
      <c r="AL55" s="96">
        <f>COUNTIF($AJ$2:FormFields[[#This Row],[Exists FO]],1)</f>
        <v>21</v>
      </c>
      <c r="AM55" s="96">
        <f>IF(FormFields[[#This Row],[NO4]]=0,"id",FormFields[[#This Row],[NO4]]+IF(ISNUMBER(VLOOKUP('Table Seed Map'!$A$14,SeedMap[],9,0)),VLOOKUP('Table Seed Map'!$A$14,SeedMap[],9,0),0))</f>
        <v>2113121</v>
      </c>
      <c r="AN55" s="104">
        <f>IF(FormFields[[#This Row],[ID]]="id","form_field",FormFields[[#This Row],[ID]])</f>
        <v>2111153</v>
      </c>
      <c r="AO55" s="105" t="s">
        <v>278</v>
      </c>
      <c r="AP55" s="105"/>
      <c r="AQ55" s="105" t="s">
        <v>21</v>
      </c>
      <c r="AR55" s="105" t="s">
        <v>23</v>
      </c>
      <c r="AS55" s="105"/>
      <c r="AT55" s="96">
        <f>IF(OR(FormFields[[#This Row],[Colspan]]="",FormFields[[#This Row],[Colspan]]="colspan"),0,1)</f>
        <v>0</v>
      </c>
      <c r="AU55" s="96" t="str">
        <f>'Table Seed Map'!$A$19&amp;"-"&amp;FormFields[[#This Row],[NO8]]</f>
        <v>Form Layout-7</v>
      </c>
      <c r="AV55" s="96">
        <f>COUNTIF($AT$1:FormFields[[#This Row],[Exists FL]],1)</f>
        <v>7</v>
      </c>
      <c r="AW5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5" s="96">
        <f>[Form]</f>
        <v>2110117</v>
      </c>
      <c r="AY55" s="96">
        <f>IF(FormFields[[#This Row],[ID]]="id","form_field",FormFields[[#This Row],[ID]])</f>
        <v>2111153</v>
      </c>
      <c r="AZ55" s="106"/>
      <c r="BA55" s="104">
        <f>FormFields[[#This Row],[ID]]</f>
        <v>2111153</v>
      </c>
      <c r="BC55" s="62" t="s">
        <v>1332</v>
      </c>
      <c r="BD55" s="63" t="str">
        <f>'Table Seed Map'!$A$15&amp;"-"&amp;(-1+COUNTA($BC$1:FieldAttrs[[#This Row],[ATTR Field]]))</f>
        <v>Field Attrs-53</v>
      </c>
      <c r="BE55" s="69">
        <f>IF(FieldAttrs[[#This Row],[ATTR Field]]="","id",-1+COUNTA($BC$1:FieldAttrs[[#This Row],[ATTR Field]])+VLOOKUP('Table Seed Map'!$A$15,SeedMap[],9,0))</f>
        <v>2114153</v>
      </c>
      <c r="BF55" s="104">
        <f>IFERROR(VLOOKUP([ATTR Field],FormFields[[Field Name]:[ID]],2,0),"form_field")</f>
        <v>2111171</v>
      </c>
      <c r="BG55" s="104" t="s">
        <v>1193</v>
      </c>
      <c r="BH55" s="104">
        <v>4</v>
      </c>
    </row>
    <row r="56" spans="13:60">
      <c r="M56" s="95" t="str">
        <f>'Table Seed Map'!$A$12&amp;"-"&amp;FormFields[[#This Row],[No]]</f>
        <v>Form Fields-54</v>
      </c>
      <c r="N56" s="81" t="s">
        <v>1248</v>
      </c>
      <c r="O56" s="96">
        <f>COUNTA($N$1:FormFields[[#This Row],[Form Name]])-1</f>
        <v>54</v>
      </c>
      <c r="P56" s="95" t="str">
        <f>FormFields[[#This Row],[Form Name]]&amp;"/"&amp;FormFields[[#This Row],[Name]]</f>
        <v>OrderItem/AddOrderItemForm/service</v>
      </c>
      <c r="Q56" s="96">
        <f>IF(FormFields[[#This Row],[No]]=0,"id",FormFields[[#This Row],[No]]+IF(ISNUMBER(VLOOKUP('Table Seed Map'!$A$12,SeedMap[],9,0)),VLOOKUP('Table Seed Map'!$A$12,SeedMap[],9,0),0))</f>
        <v>2111154</v>
      </c>
      <c r="R56" s="97">
        <f>IFERROR(VLOOKUP(FormFields[[#This Row],[Form Name]],ResourceForms[[FormName]:[ID]],4,0),"resource_form")</f>
        <v>2110117</v>
      </c>
      <c r="S56" s="98" t="s">
        <v>814</v>
      </c>
      <c r="T56" s="98" t="s">
        <v>1250</v>
      </c>
      <c r="U56" s="98" t="s">
        <v>778</v>
      </c>
      <c r="V56" s="99" t="s">
        <v>1251</v>
      </c>
      <c r="W56" s="99"/>
      <c r="X56" s="99"/>
      <c r="Y56" s="99"/>
      <c r="Z56" s="100" t="str">
        <f>'Table Seed Map'!$A$13&amp;"-"&amp;FormFields[[#This Row],[NO2]]</f>
        <v>Field Data-54</v>
      </c>
      <c r="AA56" s="101">
        <f>COUNTIFS($AB$1:FormFields[[#This Row],[Exists]],1)-1</f>
        <v>54</v>
      </c>
      <c r="AB56" s="101">
        <f>IF(AND(FormFields[[#This Row],[Attribute]]="",FormFields[[#This Row],[Rel]]=""),0,1)</f>
        <v>1</v>
      </c>
      <c r="AC56" s="101">
        <f>IF(FormFields[[#This Row],[NO2]]=0,"id",FormFields[[#This Row],[NO2]]+IF(ISNUMBER(VLOOKUP('Table Seed Map'!$A$13,SeedMap[],9,0)),VLOOKUP('Table Seed Map'!$A$13,SeedMap[],9,0),0))</f>
        <v>2112154</v>
      </c>
      <c r="AD56" s="102">
        <f>IF(FormFields[[#This Row],[ID]]="id","form_field",FormFields[[#This Row],[ID]])</f>
        <v>2111154</v>
      </c>
      <c r="AE56" s="101" t="str">
        <f>IF(FormFields[[#This Row],[No]]=0,"attribute",FormFields[[#This Row],[Name]])</f>
        <v>service</v>
      </c>
      <c r="AF56" s="103">
        <f>IF(FormFields[[#This Row],[NO2]]=0,"relation",IF(FormFields[[#This Row],[Rel]]="","",VLOOKUP(FormFields[[#This Row],[Rel]],RelationTable[[Display]:[RELID]],2,0)))</f>
        <v>2109188</v>
      </c>
      <c r="AG56" s="103" t="str">
        <f>IF(FormFields[[#This Row],[NO2]]=0,"nest_relation1",IF(FormFields[[#This Row],[Rel1]]="","",VLOOKUP(FormFields[[#This Row],[Rel1]],RelationTable[[Display]:[RELID]],2,0)))</f>
        <v/>
      </c>
      <c r="AH56" s="103" t="str">
        <f>IF(FormFields[[#This Row],[NO2]]=0,"nest_relation2",IF(FormFields[[#This Row],[Rel2]]="","",VLOOKUP(FormFields[[#This Row],[Rel2]],RelationTable[[Display]:[RELID]],2,0)))</f>
        <v/>
      </c>
      <c r="AI56" s="103" t="str">
        <f>IF(FormFields[[#This Row],[NO2]]=0,"nest_relation3",IF(FormFields[[#This Row],[Rel3]]="","",VLOOKUP(FormFields[[#This Row],[Rel3]],RelationTable[[Display]:[RELID]],2,0)))</f>
        <v/>
      </c>
      <c r="AJ56" s="96">
        <f>IF(OR(FormFields[[#This Row],[Option Type]]="",FormFields[[#This Row],[Option Type]]="type"),0,1)</f>
        <v>1</v>
      </c>
      <c r="AK56" s="96" t="str">
        <f>'Table Seed Map'!$A$14&amp;"-"&amp;FormFields[[#This Row],[NO4]]</f>
        <v>Field Options-22</v>
      </c>
      <c r="AL56" s="96">
        <f>COUNTIF($AJ$2:FormFields[[#This Row],[Exists FO]],1)</f>
        <v>22</v>
      </c>
      <c r="AM56" s="96">
        <f>IF(FormFields[[#This Row],[NO4]]=0,"id",FormFields[[#This Row],[NO4]]+IF(ISNUMBER(VLOOKUP('Table Seed Map'!$A$14,SeedMap[],9,0)),VLOOKUP('Table Seed Map'!$A$14,SeedMap[],9,0),0))</f>
        <v>2113122</v>
      </c>
      <c r="AN56" s="104">
        <f>IF(FormFields[[#This Row],[ID]]="id","form_field",FormFields[[#This Row],[ID]])</f>
        <v>2111154</v>
      </c>
      <c r="AO56" s="105" t="s">
        <v>278</v>
      </c>
      <c r="AP56" s="105"/>
      <c r="AQ56" s="105" t="s">
        <v>21</v>
      </c>
      <c r="AR56" s="105" t="s">
        <v>23</v>
      </c>
      <c r="AS56" s="105"/>
      <c r="AT56" s="96">
        <f>IF(OR(FormFields[[#This Row],[Colspan]]="",FormFields[[#This Row],[Colspan]]="colspan"),0,1)</f>
        <v>0</v>
      </c>
      <c r="AU56" s="96" t="str">
        <f>'Table Seed Map'!$A$19&amp;"-"&amp;FormFields[[#This Row],[NO8]]</f>
        <v>Form Layout-7</v>
      </c>
      <c r="AV56" s="96">
        <f>COUNTIF($AT$1:FormFields[[#This Row],[Exists FL]],1)</f>
        <v>7</v>
      </c>
      <c r="AW5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6" s="96">
        <f>[Form]</f>
        <v>2110117</v>
      </c>
      <c r="AY56" s="96">
        <f>IF(FormFields[[#This Row],[ID]]="id","form_field",FormFields[[#This Row],[ID]])</f>
        <v>2111154</v>
      </c>
      <c r="AZ56" s="106"/>
      <c r="BA56" s="104">
        <f>FormFields[[#This Row],[ID]]</f>
        <v>2111154</v>
      </c>
      <c r="BC56" s="62" t="s">
        <v>1293</v>
      </c>
      <c r="BD56" s="63" t="str">
        <f>'Table Seed Map'!$A$15&amp;"-"&amp;(-1+COUNTA($BC$1:FieldAttrs[[#This Row],[ATTR Field]]))</f>
        <v>Field Attrs-54</v>
      </c>
      <c r="BE56" s="69">
        <f>IF(FieldAttrs[[#This Row],[ATTR Field]]="","id",-1+COUNTA($BC$1:FieldAttrs[[#This Row],[ATTR Field]])+VLOOKUP('Table Seed Map'!$A$15,SeedMap[],9,0))</f>
        <v>2114154</v>
      </c>
      <c r="BF56" s="104">
        <f>IFERROR(VLOOKUP([ATTR Field],FormFields[[Field Name]:[ID]],2,0),"form_field")</f>
        <v>2111172</v>
      </c>
      <c r="BG56" s="104" t="s">
        <v>1193</v>
      </c>
      <c r="BH56" s="104">
        <v>4</v>
      </c>
    </row>
    <row r="57" spans="13:60">
      <c r="M57" s="95" t="str">
        <f>'Table Seed Map'!$A$12&amp;"-"&amp;FormFields[[#This Row],[No]]</f>
        <v>Form Fields-55</v>
      </c>
      <c r="N57" s="81" t="s">
        <v>1248</v>
      </c>
      <c r="O57" s="96">
        <f>COUNTA($N$1:FormFields[[#This Row],[Form Name]])-1</f>
        <v>55</v>
      </c>
      <c r="P57" s="95" t="str">
        <f>FormFields[[#This Row],[Form Name]]&amp;"/"&amp;FormFields[[#This Row],[Name]]</f>
        <v>OrderItem/AddOrderItemForm/label</v>
      </c>
      <c r="Q57" s="96">
        <f>IF(FormFields[[#This Row],[No]]=0,"id",FormFields[[#This Row],[No]]+IF(ISNUMBER(VLOOKUP('Table Seed Map'!$A$12,SeedMap[],9,0)),VLOOKUP('Table Seed Map'!$A$12,SeedMap[],9,0),0))</f>
        <v>2111155</v>
      </c>
      <c r="R57" s="97">
        <f>IFERROR(VLOOKUP(FormFields[[#This Row],[Form Name]],ResourceForms[[FormName]:[ID]],4,0),"resource_form")</f>
        <v>2110117</v>
      </c>
      <c r="S57" s="98" t="s">
        <v>95</v>
      </c>
      <c r="T57" s="98" t="s">
        <v>1189</v>
      </c>
      <c r="U57" s="98" t="s">
        <v>104</v>
      </c>
      <c r="V57" s="99"/>
      <c r="W57" s="99"/>
      <c r="X57" s="99"/>
      <c r="Y57" s="99"/>
      <c r="Z57" s="100" t="str">
        <f>'Table Seed Map'!$A$13&amp;"-"&amp;FormFields[[#This Row],[NO2]]</f>
        <v>Field Data-55</v>
      </c>
      <c r="AA57" s="101">
        <f>COUNTIFS($AB$1:FormFields[[#This Row],[Exists]],1)-1</f>
        <v>55</v>
      </c>
      <c r="AB57" s="101">
        <f>IF(AND(FormFields[[#This Row],[Attribute]]="",FormFields[[#This Row],[Rel]]=""),0,1)</f>
        <v>1</v>
      </c>
      <c r="AC57" s="101">
        <f>IF(FormFields[[#This Row],[NO2]]=0,"id",FormFields[[#This Row],[NO2]]+IF(ISNUMBER(VLOOKUP('Table Seed Map'!$A$13,SeedMap[],9,0)),VLOOKUP('Table Seed Map'!$A$13,SeedMap[],9,0),0))</f>
        <v>2112155</v>
      </c>
      <c r="AD57" s="102">
        <f>IF(FormFields[[#This Row],[ID]]="id","form_field",FormFields[[#This Row],[ID]])</f>
        <v>2111155</v>
      </c>
      <c r="AE57" s="101" t="str">
        <f>IF(FormFields[[#This Row],[No]]=0,"attribute",FormFields[[#This Row],[Name]])</f>
        <v>label</v>
      </c>
      <c r="AF57" s="103" t="str">
        <f>IF(FormFields[[#This Row],[NO2]]=0,"relation",IF(FormFields[[#This Row],[Rel]]="","",VLOOKUP(FormFields[[#This Row],[Rel]],RelationTable[[Display]:[RELID]],2,0)))</f>
        <v/>
      </c>
      <c r="AG57" s="103" t="str">
        <f>IF(FormFields[[#This Row],[NO2]]=0,"nest_relation1",IF(FormFields[[#This Row],[Rel1]]="","",VLOOKUP(FormFields[[#This Row],[Rel1]],RelationTable[[Display]:[RELID]],2,0)))</f>
        <v/>
      </c>
      <c r="AH57" s="103" t="str">
        <f>IF(FormFields[[#This Row],[NO2]]=0,"nest_relation2",IF(FormFields[[#This Row],[Rel2]]="","",VLOOKUP(FormFields[[#This Row],[Rel2]],RelationTable[[Display]:[RELID]],2,0)))</f>
        <v/>
      </c>
      <c r="AI57" s="103" t="str">
        <f>IF(FormFields[[#This Row],[NO2]]=0,"nest_relation3",IF(FormFields[[#This Row],[Rel3]]="","",VLOOKUP(FormFields[[#This Row],[Rel3]],RelationTable[[Display]:[RELID]],2,0)))</f>
        <v/>
      </c>
      <c r="AJ57" s="96">
        <f>IF(OR(FormFields[[#This Row],[Option Type]]="",FormFields[[#This Row],[Option Type]]="type"),0,1)</f>
        <v>1</v>
      </c>
      <c r="AK57" s="96" t="str">
        <f>'Table Seed Map'!$A$14&amp;"-"&amp;FormFields[[#This Row],[NO4]]</f>
        <v>Field Options-23</v>
      </c>
      <c r="AL57" s="96">
        <f>COUNTIF($AJ$2:FormFields[[#This Row],[Exists FO]],1)</f>
        <v>23</v>
      </c>
      <c r="AM57" s="96">
        <f>IF(FormFields[[#This Row],[NO4]]=0,"id",FormFields[[#This Row],[NO4]]+IF(ISNUMBER(VLOOKUP('Table Seed Map'!$A$14,SeedMap[],9,0)),VLOOKUP('Table Seed Map'!$A$14,SeedMap[],9,0),0))</f>
        <v>2113123</v>
      </c>
      <c r="AN57" s="104">
        <f>IF(FormFields[[#This Row],[ID]]="id","form_field",FormFields[[#This Row],[ID]])</f>
        <v>2111155</v>
      </c>
      <c r="AO57" s="105" t="s">
        <v>122</v>
      </c>
      <c r="AP57" s="105">
        <v>2123124</v>
      </c>
      <c r="AQ57" s="105" t="s">
        <v>21</v>
      </c>
      <c r="AR57" s="105" t="s">
        <v>850</v>
      </c>
      <c r="AS57" s="105"/>
      <c r="AT57" s="96">
        <f>IF(OR(FormFields[[#This Row],[Colspan]]="",FormFields[[#This Row],[Colspan]]="colspan"),0,1)</f>
        <v>0</v>
      </c>
      <c r="AU57" s="96" t="str">
        <f>'Table Seed Map'!$A$19&amp;"-"&amp;FormFields[[#This Row],[NO8]]</f>
        <v>Form Layout-7</v>
      </c>
      <c r="AV57" s="96">
        <f>COUNTIF($AT$1:FormFields[[#This Row],[Exists FL]],1)</f>
        <v>7</v>
      </c>
      <c r="AW5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7" s="96">
        <f>[Form]</f>
        <v>2110117</v>
      </c>
      <c r="AY57" s="96">
        <f>IF(FormFields[[#This Row],[ID]]="id","form_field",FormFields[[#This Row],[ID]])</f>
        <v>2111155</v>
      </c>
      <c r="AZ57" s="106"/>
      <c r="BA57" s="104">
        <f>FormFields[[#This Row],[ID]]</f>
        <v>2111155</v>
      </c>
      <c r="BC57" s="62" t="s">
        <v>1515</v>
      </c>
      <c r="BD57" s="63" t="str">
        <f>'Table Seed Map'!$A$15&amp;"-"&amp;(-1+COUNTA($BC$1:FieldAttrs[[#This Row],[ATTR Field]]))</f>
        <v>Field Attrs-55</v>
      </c>
      <c r="BE57" s="69">
        <f>IF(FieldAttrs[[#This Row],[ATTR Field]]="","id",-1+COUNTA($BC$1:FieldAttrs[[#This Row],[ATTR Field]])+VLOOKUP('Table Seed Map'!$A$15,SeedMap[],9,0))</f>
        <v>2114155</v>
      </c>
      <c r="BF57" s="104">
        <f>IFERROR(VLOOKUP([ATTR Field],FormFields[[Field Name]:[ID]],2,0),"form_field")</f>
        <v>2111173</v>
      </c>
      <c r="BG57" s="104" t="s">
        <v>1193</v>
      </c>
      <c r="BH57" s="104">
        <v>4</v>
      </c>
    </row>
    <row r="58" spans="13:60">
      <c r="M58" s="95" t="str">
        <f>'Table Seed Map'!$A$12&amp;"-"&amp;FormFields[[#This Row],[No]]</f>
        <v>Form Fields-56</v>
      </c>
      <c r="N58" s="81" t="s">
        <v>1253</v>
      </c>
      <c r="O58" s="96">
        <f>COUNTA($N$1:FormFields[[#This Row],[Form Name]])-1</f>
        <v>56</v>
      </c>
      <c r="P58" s="95" t="str">
        <f>FormFields[[#This Row],[Form Name]]&amp;"/"&amp;FormFields[[#This Row],[Name]]</f>
        <v>OrderItem/UpdateOrderItem/hub</v>
      </c>
      <c r="Q58" s="96">
        <f>IF(FormFields[[#This Row],[No]]=0,"id",FormFields[[#This Row],[No]]+IF(ISNUMBER(VLOOKUP('Table Seed Map'!$A$12,SeedMap[],9,0)),VLOOKUP('Table Seed Map'!$A$12,SeedMap[],9,0),0))</f>
        <v>2111156</v>
      </c>
      <c r="R58" s="97">
        <f>IFERROR(VLOOKUP(FormFields[[#This Row],[Form Name]],ResourceForms[[FormName]:[ID]],4,0),"resource_form")</f>
        <v>2110118</v>
      </c>
      <c r="S58" s="98" t="s">
        <v>809</v>
      </c>
      <c r="T58" s="98" t="s">
        <v>1189</v>
      </c>
      <c r="U58" s="98" t="s">
        <v>1849</v>
      </c>
      <c r="V58" s="99"/>
      <c r="W58" s="99"/>
      <c r="X58" s="99"/>
      <c r="Y58" s="99"/>
      <c r="Z58" s="100" t="str">
        <f>'Table Seed Map'!$A$13&amp;"-"&amp;FormFields[[#This Row],[NO2]]</f>
        <v>Field Data-56</v>
      </c>
      <c r="AA58" s="101">
        <f>COUNTIFS($AB$1:FormFields[[#This Row],[Exists]],1)-1</f>
        <v>56</v>
      </c>
      <c r="AB58" s="101">
        <f>IF(AND(FormFields[[#This Row],[Attribute]]="",FormFields[[#This Row],[Rel]]=""),0,1)</f>
        <v>1</v>
      </c>
      <c r="AC58" s="101">
        <f>IF(FormFields[[#This Row],[NO2]]=0,"id",FormFields[[#This Row],[NO2]]+IF(ISNUMBER(VLOOKUP('Table Seed Map'!$A$13,SeedMap[],9,0)),VLOOKUP('Table Seed Map'!$A$13,SeedMap[],9,0),0))</f>
        <v>2112156</v>
      </c>
      <c r="AD58" s="102">
        <f>IF(FormFields[[#This Row],[ID]]="id","form_field",FormFields[[#This Row],[ID]])</f>
        <v>2111156</v>
      </c>
      <c r="AE58" s="101" t="str">
        <f>IF(FormFields[[#This Row],[No]]=0,"attribute",FormFields[[#This Row],[Name]])</f>
        <v>hub</v>
      </c>
      <c r="AF58" s="103" t="str">
        <f>IF(FormFields[[#This Row],[NO2]]=0,"relation",IF(FormFields[[#This Row],[Rel]]="","",VLOOKUP(FormFields[[#This Row],[Rel]],RelationTable[[Display]:[RELID]],2,0)))</f>
        <v/>
      </c>
      <c r="AG58" s="103" t="str">
        <f>IF(FormFields[[#This Row],[NO2]]=0,"nest_relation1",IF(FormFields[[#This Row],[Rel1]]="","",VLOOKUP(FormFields[[#This Row],[Rel1]],RelationTable[[Display]:[RELID]],2,0)))</f>
        <v/>
      </c>
      <c r="AH58" s="103" t="str">
        <f>IF(FormFields[[#This Row],[NO2]]=0,"nest_relation2",IF(FormFields[[#This Row],[Rel2]]="","",VLOOKUP(FormFields[[#This Row],[Rel2]],RelationTable[[Display]:[RELID]],2,0)))</f>
        <v/>
      </c>
      <c r="AI58" s="103" t="str">
        <f>IF(FormFields[[#This Row],[NO2]]=0,"nest_relation3",IF(FormFields[[#This Row],[Rel3]]="","",VLOOKUP(FormFields[[#This Row],[Rel3]],RelationTable[[Display]:[RELID]],2,0)))</f>
        <v/>
      </c>
      <c r="AJ58" s="96">
        <f>IF(OR(FormFields[[#This Row],[Option Type]]="",FormFields[[#This Row],[Option Type]]="type"),0,1)</f>
        <v>1</v>
      </c>
      <c r="AK58" s="96" t="str">
        <f>'Table Seed Map'!$A$14&amp;"-"&amp;FormFields[[#This Row],[NO4]]</f>
        <v>Field Options-24</v>
      </c>
      <c r="AL58" s="96">
        <f>COUNTIF($AJ$2:FormFields[[#This Row],[Exists FO]],1)</f>
        <v>24</v>
      </c>
      <c r="AM58" s="96">
        <f>IF(FormFields[[#This Row],[NO4]]=0,"id",FormFields[[#This Row],[NO4]]+IF(ISNUMBER(VLOOKUP('Table Seed Map'!$A$14,SeedMap[],9,0)),VLOOKUP('Table Seed Map'!$A$14,SeedMap[],9,0),0))</f>
        <v>2113124</v>
      </c>
      <c r="AN58" s="104">
        <f>IF(FormFields[[#This Row],[ID]]="id","form_field",FormFields[[#This Row],[ID]])</f>
        <v>2111156</v>
      </c>
      <c r="AO58" s="105" t="s">
        <v>278</v>
      </c>
      <c r="AP58" s="105"/>
      <c r="AQ58" s="105" t="s">
        <v>21</v>
      </c>
      <c r="AR58" s="105" t="s">
        <v>23</v>
      </c>
      <c r="AS58" s="105"/>
      <c r="AT58" s="96">
        <f>IF(OR(FormFields[[#This Row],[Colspan]]="",FormFields[[#This Row],[Colspan]]="colspan"),0,1)</f>
        <v>0</v>
      </c>
      <c r="AU58" s="96" t="str">
        <f>'Table Seed Map'!$A$19&amp;"-"&amp;FormFields[[#This Row],[NO8]]</f>
        <v>Form Layout-7</v>
      </c>
      <c r="AV58" s="96">
        <f>COUNTIF($AT$1:FormFields[[#This Row],[Exists FL]],1)</f>
        <v>7</v>
      </c>
      <c r="AW5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8" s="96">
        <f>[Form]</f>
        <v>2110118</v>
      </c>
      <c r="AY58" s="96">
        <f>IF(FormFields[[#This Row],[ID]]="id","form_field",FormFields[[#This Row],[ID]])</f>
        <v>2111156</v>
      </c>
      <c r="AZ58" s="106"/>
      <c r="BA58" s="104">
        <f>FormFields[[#This Row],[ID]]</f>
        <v>2111156</v>
      </c>
      <c r="BC58" s="62" t="s">
        <v>1516</v>
      </c>
      <c r="BD58" s="63" t="str">
        <f>'Table Seed Map'!$A$15&amp;"-"&amp;(-1+COUNTA($BC$1:FieldAttrs[[#This Row],[ATTR Field]]))</f>
        <v>Field Attrs-56</v>
      </c>
      <c r="BE58" s="69">
        <f>IF(FieldAttrs[[#This Row],[ATTR Field]]="","id",-1+COUNTA($BC$1:FieldAttrs[[#This Row],[ATTR Field]])+VLOOKUP('Table Seed Map'!$A$15,SeedMap[],9,0))</f>
        <v>2114156</v>
      </c>
      <c r="BF58" s="104">
        <f>IFERROR(VLOOKUP([ATTR Field],FormFields[[Field Name]:[ID]],2,0),"form_field")</f>
        <v>2111174</v>
      </c>
      <c r="BG58" s="104" t="s">
        <v>1193</v>
      </c>
      <c r="BH58" s="104">
        <v>4</v>
      </c>
    </row>
    <row r="59" spans="13:60">
      <c r="M59" s="95" t="str">
        <f>'Table Seed Map'!$A$12&amp;"-"&amp;FormFields[[#This Row],[No]]</f>
        <v>Form Fields-57</v>
      </c>
      <c r="N59" s="81" t="s">
        <v>1253</v>
      </c>
      <c r="O59" s="96">
        <f>COUNTA($N$1:FormFields[[#This Row],[Form Name]])-1</f>
        <v>57</v>
      </c>
      <c r="P59" s="95" t="str">
        <f>FormFields[[#This Row],[Form Name]]&amp;"/"&amp;FormFields[[#This Row],[Name]]</f>
        <v>OrderItem/UpdateOrderItem/label</v>
      </c>
      <c r="Q59" s="96">
        <f>IF(FormFields[[#This Row],[No]]=0,"id",FormFields[[#This Row],[No]]+IF(ISNUMBER(VLOOKUP('Table Seed Map'!$A$12,SeedMap[],9,0)),VLOOKUP('Table Seed Map'!$A$12,SeedMap[],9,0),0))</f>
        <v>2111157</v>
      </c>
      <c r="R59" s="97">
        <f>IFERROR(VLOOKUP(FormFields[[#This Row],[Form Name]],ResourceForms[[FormName]:[ID]],4,0),"resource_form")</f>
        <v>2110118</v>
      </c>
      <c r="S59" s="98" t="s">
        <v>95</v>
      </c>
      <c r="T59" s="98" t="s">
        <v>1189</v>
      </c>
      <c r="U59" s="98" t="s">
        <v>1254</v>
      </c>
      <c r="V59" s="99"/>
      <c r="W59" s="99"/>
      <c r="X59" s="99"/>
      <c r="Y59" s="99"/>
      <c r="Z59" s="100" t="str">
        <f>'Table Seed Map'!$A$13&amp;"-"&amp;FormFields[[#This Row],[NO2]]</f>
        <v>Field Data-57</v>
      </c>
      <c r="AA59" s="101">
        <f>COUNTIFS($AB$1:FormFields[[#This Row],[Exists]],1)-1</f>
        <v>57</v>
      </c>
      <c r="AB59" s="101">
        <f>IF(AND(FormFields[[#This Row],[Attribute]]="",FormFields[[#This Row],[Rel]]=""),0,1)</f>
        <v>1</v>
      </c>
      <c r="AC59" s="101">
        <f>IF(FormFields[[#This Row],[NO2]]=0,"id",FormFields[[#This Row],[NO2]]+IF(ISNUMBER(VLOOKUP('Table Seed Map'!$A$13,SeedMap[],9,0)),VLOOKUP('Table Seed Map'!$A$13,SeedMap[],9,0),0))</f>
        <v>2112157</v>
      </c>
      <c r="AD59" s="102">
        <f>IF(FormFields[[#This Row],[ID]]="id","form_field",FormFields[[#This Row],[ID]])</f>
        <v>2111157</v>
      </c>
      <c r="AE59" s="101" t="str">
        <f>IF(FormFields[[#This Row],[No]]=0,"attribute",FormFields[[#This Row],[Name]])</f>
        <v>label</v>
      </c>
      <c r="AF59" s="103" t="str">
        <f>IF(FormFields[[#This Row],[NO2]]=0,"relation",IF(FormFields[[#This Row],[Rel]]="","",VLOOKUP(FormFields[[#This Row],[Rel]],RelationTable[[Display]:[RELID]],2,0)))</f>
        <v/>
      </c>
      <c r="AG59" s="103" t="str">
        <f>IF(FormFields[[#This Row],[NO2]]=0,"nest_relation1",IF(FormFields[[#This Row],[Rel1]]="","",VLOOKUP(FormFields[[#This Row],[Rel1]],RelationTable[[Display]:[RELID]],2,0)))</f>
        <v/>
      </c>
      <c r="AH59" s="103" t="str">
        <f>IF(FormFields[[#This Row],[NO2]]=0,"nest_relation2",IF(FormFields[[#This Row],[Rel2]]="","",VLOOKUP(FormFields[[#This Row],[Rel2]],RelationTable[[Display]:[RELID]],2,0)))</f>
        <v/>
      </c>
      <c r="AI59" s="103" t="str">
        <f>IF(FormFields[[#This Row],[NO2]]=0,"nest_relation3",IF(FormFields[[#This Row],[Rel3]]="","",VLOOKUP(FormFields[[#This Row],[Rel3]],RelationTable[[Display]:[RELID]],2,0)))</f>
        <v/>
      </c>
      <c r="AJ59" s="96">
        <f>IF(OR(FormFields[[#This Row],[Option Type]]="",FormFields[[#This Row],[Option Type]]="type"),0,1)</f>
        <v>1</v>
      </c>
      <c r="AK59" s="96" t="str">
        <f>'Table Seed Map'!$A$14&amp;"-"&amp;FormFields[[#This Row],[NO4]]</f>
        <v>Field Options-25</v>
      </c>
      <c r="AL59" s="96">
        <f>COUNTIF($AJ$2:FormFields[[#This Row],[Exists FO]],1)</f>
        <v>25</v>
      </c>
      <c r="AM59" s="96">
        <f>IF(FormFields[[#This Row],[NO4]]=0,"id",FormFields[[#This Row],[NO4]]+IF(ISNUMBER(VLOOKUP('Table Seed Map'!$A$14,SeedMap[],9,0)),VLOOKUP('Table Seed Map'!$A$14,SeedMap[],9,0),0))</f>
        <v>2113125</v>
      </c>
      <c r="AN59" s="104">
        <f>IF(FormFields[[#This Row],[ID]]="id","form_field",FormFields[[#This Row],[ID]])</f>
        <v>2111157</v>
      </c>
      <c r="AO59" s="105" t="s">
        <v>122</v>
      </c>
      <c r="AP59" s="105">
        <v>2123113</v>
      </c>
      <c r="AQ59" s="105" t="s">
        <v>21</v>
      </c>
      <c r="AR59" s="105" t="s">
        <v>23</v>
      </c>
      <c r="AS59" s="105"/>
      <c r="AT59" s="96">
        <f>IF(OR(FormFields[[#This Row],[Colspan]]="",FormFields[[#This Row],[Colspan]]="colspan"),0,1)</f>
        <v>0</v>
      </c>
      <c r="AU59" s="96" t="str">
        <f>'Table Seed Map'!$A$19&amp;"-"&amp;FormFields[[#This Row],[NO8]]</f>
        <v>Form Layout-7</v>
      </c>
      <c r="AV59" s="96">
        <f>COUNTIF($AT$1:FormFields[[#This Row],[Exists FL]],1)</f>
        <v>7</v>
      </c>
      <c r="AW5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9" s="96">
        <f>[Form]</f>
        <v>2110118</v>
      </c>
      <c r="AY59" s="96">
        <f>IF(FormFields[[#This Row],[ID]]="id","form_field",FormFields[[#This Row],[ID]])</f>
        <v>2111157</v>
      </c>
      <c r="AZ59" s="106"/>
      <c r="BA59" s="104">
        <f>FormFields[[#This Row],[ID]]</f>
        <v>2111157</v>
      </c>
      <c r="BC59" s="62" t="s">
        <v>1517</v>
      </c>
      <c r="BD59" s="63" t="str">
        <f>'Table Seed Map'!$A$15&amp;"-"&amp;(-1+COUNTA($BC$1:FieldAttrs[[#This Row],[ATTR Field]]))</f>
        <v>Field Attrs-57</v>
      </c>
      <c r="BE59" s="69">
        <f>IF(FieldAttrs[[#This Row],[ATTR Field]]="","id",-1+COUNTA($BC$1:FieldAttrs[[#This Row],[ATTR Field]])+VLOOKUP('Table Seed Map'!$A$15,SeedMap[],9,0))</f>
        <v>2114157</v>
      </c>
      <c r="BF59" s="104">
        <f>IFERROR(VLOOKUP([ATTR Field],FormFields[[Field Name]:[ID]],2,0),"form_field")</f>
        <v>2111175</v>
      </c>
      <c r="BG59" s="104" t="s">
        <v>1193</v>
      </c>
      <c r="BH59" s="104">
        <v>4</v>
      </c>
    </row>
    <row r="60" spans="13:60">
      <c r="M60" s="95" t="str">
        <f>'Table Seed Map'!$A$12&amp;"-"&amp;FormFields[[#This Row],[No]]</f>
        <v>Form Fields-58</v>
      </c>
      <c r="N60" s="81" t="s">
        <v>1253</v>
      </c>
      <c r="O60" s="96">
        <f>COUNTA($N$1:FormFields[[#This Row],[Form Name]])-1</f>
        <v>58</v>
      </c>
      <c r="P60" s="95" t="str">
        <f>FormFields[[#This Row],[Form Name]]&amp;"/"&amp;FormFields[[#This Row],[Name]]</f>
        <v>OrderItem/UpdateOrderItem/shelf</v>
      </c>
      <c r="Q60" s="96">
        <f>IF(FormFields[[#This Row],[No]]=0,"id",FormFields[[#This Row],[No]]+IF(ISNUMBER(VLOOKUP('Table Seed Map'!$A$12,SeedMap[],9,0)),VLOOKUP('Table Seed Map'!$A$12,SeedMap[],9,0),0))</f>
        <v>2111158</v>
      </c>
      <c r="R60" s="97">
        <f>IFERROR(VLOOKUP(FormFields[[#This Row],[Form Name]],ResourceForms[[FormName]:[ID]],4,0),"resource_form")</f>
        <v>2110118</v>
      </c>
      <c r="S60" s="98" t="s">
        <v>1015</v>
      </c>
      <c r="T60" s="98" t="s">
        <v>1189</v>
      </c>
      <c r="U60" s="98" t="s">
        <v>1255</v>
      </c>
      <c r="V60" s="99"/>
      <c r="W60" s="99"/>
      <c r="X60" s="99"/>
      <c r="Y60" s="99"/>
      <c r="Z60" s="100" t="str">
        <f>'Table Seed Map'!$A$13&amp;"-"&amp;FormFields[[#This Row],[NO2]]</f>
        <v>Field Data-58</v>
      </c>
      <c r="AA60" s="101">
        <f>COUNTIFS($AB$1:FormFields[[#This Row],[Exists]],1)-1</f>
        <v>58</v>
      </c>
      <c r="AB60" s="101">
        <f>IF(AND(FormFields[[#This Row],[Attribute]]="",FormFields[[#This Row],[Rel]]=""),0,1)</f>
        <v>1</v>
      </c>
      <c r="AC60" s="101">
        <f>IF(FormFields[[#This Row],[NO2]]=0,"id",FormFields[[#This Row],[NO2]]+IF(ISNUMBER(VLOOKUP('Table Seed Map'!$A$13,SeedMap[],9,0)),VLOOKUP('Table Seed Map'!$A$13,SeedMap[],9,0),0))</f>
        <v>2112158</v>
      </c>
      <c r="AD60" s="102">
        <f>IF(FormFields[[#This Row],[ID]]="id","form_field",FormFields[[#This Row],[ID]])</f>
        <v>2111158</v>
      </c>
      <c r="AE60" s="101" t="str">
        <f>IF(FormFields[[#This Row],[No]]=0,"attribute",FormFields[[#This Row],[Name]])</f>
        <v>shelf</v>
      </c>
      <c r="AF60" s="103" t="str">
        <f>IF(FormFields[[#This Row],[NO2]]=0,"relation",IF(FormFields[[#This Row],[Rel]]="","",VLOOKUP(FormFields[[#This Row],[Rel]],RelationTable[[Display]:[RELID]],2,0)))</f>
        <v/>
      </c>
      <c r="AG60" s="103" t="str">
        <f>IF(FormFields[[#This Row],[NO2]]=0,"nest_relation1",IF(FormFields[[#This Row],[Rel1]]="","",VLOOKUP(FormFields[[#This Row],[Rel1]],RelationTable[[Display]:[RELID]],2,0)))</f>
        <v/>
      </c>
      <c r="AH60" s="103" t="str">
        <f>IF(FormFields[[#This Row],[NO2]]=0,"nest_relation2",IF(FormFields[[#This Row],[Rel2]]="","",VLOOKUP(FormFields[[#This Row],[Rel2]],RelationTable[[Display]:[RELID]],2,0)))</f>
        <v/>
      </c>
      <c r="AI60" s="103" t="str">
        <f>IF(FormFields[[#This Row],[NO2]]=0,"nest_relation3",IF(FormFields[[#This Row],[Rel3]]="","",VLOOKUP(FormFields[[#This Row],[Rel3]],RelationTable[[Display]:[RELID]],2,0)))</f>
        <v/>
      </c>
      <c r="AJ60" s="96">
        <f>IF(OR(FormFields[[#This Row],[Option Type]]="",FormFields[[#This Row],[Option Type]]="type"),0,1)</f>
        <v>1</v>
      </c>
      <c r="AK60" s="96" t="str">
        <f>'Table Seed Map'!$A$14&amp;"-"&amp;FormFields[[#This Row],[NO4]]</f>
        <v>Field Options-26</v>
      </c>
      <c r="AL60" s="96">
        <f>COUNTIF($AJ$2:FormFields[[#This Row],[Exists FO]],1)</f>
        <v>26</v>
      </c>
      <c r="AM60" s="96">
        <f>IF(FormFields[[#This Row],[NO4]]=0,"id",FormFields[[#This Row],[NO4]]+IF(ISNUMBER(VLOOKUP('Table Seed Map'!$A$14,SeedMap[],9,0)),VLOOKUP('Table Seed Map'!$A$14,SeedMap[],9,0),0))</f>
        <v>2113126</v>
      </c>
      <c r="AN60" s="104">
        <f>IF(FormFields[[#This Row],[ID]]="id","form_field",FormFields[[#This Row],[ID]])</f>
        <v>2111158</v>
      </c>
      <c r="AO60" s="105" t="s">
        <v>278</v>
      </c>
      <c r="AP60" s="105"/>
      <c r="AQ60" s="105" t="s">
        <v>21</v>
      </c>
      <c r="AR60" s="105" t="s">
        <v>23</v>
      </c>
      <c r="AS60" s="105"/>
      <c r="AT60" s="96">
        <f>IF(OR(FormFields[[#This Row],[Colspan]]="",FormFields[[#This Row],[Colspan]]="colspan"),0,1)</f>
        <v>0</v>
      </c>
      <c r="AU60" s="96" t="str">
        <f>'Table Seed Map'!$A$19&amp;"-"&amp;FormFields[[#This Row],[NO8]]</f>
        <v>Form Layout-7</v>
      </c>
      <c r="AV60" s="96">
        <f>COUNTIF($AT$1:FormFields[[#This Row],[Exists FL]],1)</f>
        <v>7</v>
      </c>
      <c r="AW6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0" s="96">
        <f>[Form]</f>
        <v>2110118</v>
      </c>
      <c r="AY60" s="96">
        <f>IF(FormFields[[#This Row],[ID]]="id","form_field",FormFields[[#This Row],[ID]])</f>
        <v>2111158</v>
      </c>
      <c r="AZ60" s="106"/>
      <c r="BA60" s="104">
        <f>FormFields[[#This Row],[ID]]</f>
        <v>2111158</v>
      </c>
      <c r="BC60" s="62" t="s">
        <v>1723</v>
      </c>
      <c r="BD60" s="63" t="str">
        <f>'Table Seed Map'!$A$15&amp;"-"&amp;(-1+COUNTA($BC$1:FieldAttrs[[#This Row],[ATTR Field]]))</f>
        <v>Field Attrs-58</v>
      </c>
      <c r="BE60" s="69">
        <f>IF(FieldAttrs[[#This Row],[ATTR Field]]="","id",-1+COUNTA($BC$1:FieldAttrs[[#This Row],[ATTR Field]])+VLOOKUP('Table Seed Map'!$A$15,SeedMap[],9,0))</f>
        <v>2114158</v>
      </c>
      <c r="BF60" s="104">
        <f>IFERROR(VLOOKUP([ATTR Field],FormFields[[Field Name]:[ID]],2,0),"form_field")</f>
        <v>2111160</v>
      </c>
      <c r="BG60" s="104" t="s">
        <v>1193</v>
      </c>
      <c r="BH60" s="104">
        <v>4</v>
      </c>
    </row>
    <row r="61" spans="13:60">
      <c r="M61" s="95" t="str">
        <f>'Table Seed Map'!$A$12&amp;"-"&amp;FormFields[[#This Row],[No]]</f>
        <v>Form Fields-59</v>
      </c>
      <c r="N61" s="81" t="s">
        <v>1253</v>
      </c>
      <c r="O61" s="96">
        <f>COUNTA($N$1:FormFields[[#This Row],[Form Name]])-1</f>
        <v>59</v>
      </c>
      <c r="P61" s="95" t="str">
        <f>FormFields[[#This Row],[Form Name]]&amp;"/"&amp;FormFields[[#This Row],[Name]]</f>
        <v>OrderItem/UpdateOrderItem/delivery</v>
      </c>
      <c r="Q61" s="96">
        <f>IF(FormFields[[#This Row],[No]]=0,"id",FormFields[[#This Row],[No]]+IF(ISNUMBER(VLOOKUP('Table Seed Map'!$A$12,SeedMap[],9,0)),VLOOKUP('Table Seed Map'!$A$12,SeedMap[],9,0),0))</f>
        <v>2111159</v>
      </c>
      <c r="R61" s="97">
        <f>IFERROR(VLOOKUP(FormFields[[#This Row],[Form Name]],ResourceForms[[FormName]:[ID]],4,0),"resource_form")</f>
        <v>2110118</v>
      </c>
      <c r="S61" s="98" t="s">
        <v>852</v>
      </c>
      <c r="T61" s="98" t="s">
        <v>1137</v>
      </c>
      <c r="U61" s="98" t="s">
        <v>1722</v>
      </c>
      <c r="V61" s="99"/>
      <c r="W61" s="99"/>
      <c r="X61" s="99"/>
      <c r="Y61" s="99"/>
      <c r="Z61" s="100" t="str">
        <f>'Table Seed Map'!$A$13&amp;"-"&amp;FormFields[[#This Row],[NO2]]</f>
        <v>Field Data-59</v>
      </c>
      <c r="AA61" s="101">
        <f>COUNTIFS($AB$1:FormFields[[#This Row],[Exists]],1)-1</f>
        <v>59</v>
      </c>
      <c r="AB61" s="101">
        <f>IF(AND(FormFields[[#This Row],[Attribute]]="",FormFields[[#This Row],[Rel]]=""),0,1)</f>
        <v>1</v>
      </c>
      <c r="AC61" s="101">
        <f>IF(FormFields[[#This Row],[NO2]]=0,"id",FormFields[[#This Row],[NO2]]+IF(ISNUMBER(VLOOKUP('Table Seed Map'!$A$13,SeedMap[],9,0)),VLOOKUP('Table Seed Map'!$A$13,SeedMap[],9,0),0))</f>
        <v>2112159</v>
      </c>
      <c r="AD61" s="102">
        <f>IF(FormFields[[#This Row],[ID]]="id","form_field",FormFields[[#This Row],[ID]])</f>
        <v>2111159</v>
      </c>
      <c r="AE61" s="101" t="str">
        <f>IF(FormFields[[#This Row],[No]]=0,"attribute",FormFields[[#This Row],[Name]])</f>
        <v>delivery</v>
      </c>
      <c r="AF61" s="103" t="str">
        <f>IF(FormFields[[#This Row],[NO2]]=0,"relation",IF(FormFields[[#This Row],[Rel]]="","",VLOOKUP(FormFields[[#This Row],[Rel]],RelationTable[[Display]:[RELID]],2,0)))</f>
        <v/>
      </c>
      <c r="AG61" s="103" t="str">
        <f>IF(FormFields[[#This Row],[NO2]]=0,"nest_relation1",IF(FormFields[[#This Row],[Rel1]]="","",VLOOKUP(FormFields[[#This Row],[Rel1]],RelationTable[[Display]:[RELID]],2,0)))</f>
        <v/>
      </c>
      <c r="AH61" s="103" t="str">
        <f>IF(FormFields[[#This Row],[NO2]]=0,"nest_relation2",IF(FormFields[[#This Row],[Rel2]]="","",VLOOKUP(FormFields[[#This Row],[Rel2]],RelationTable[[Display]:[RELID]],2,0)))</f>
        <v/>
      </c>
      <c r="AI61" s="103" t="str">
        <f>IF(FormFields[[#This Row],[NO2]]=0,"nest_relation3",IF(FormFields[[#This Row],[Rel3]]="","",VLOOKUP(FormFields[[#This Row],[Rel3]],RelationTable[[Display]:[RELID]],2,0)))</f>
        <v/>
      </c>
      <c r="AJ61" s="96">
        <f>IF(OR(FormFields[[#This Row],[Option Type]]="",FormFields[[#This Row],[Option Type]]="type"),0,1)</f>
        <v>0</v>
      </c>
      <c r="AK61" s="96" t="str">
        <f>'Table Seed Map'!$A$14&amp;"-"&amp;FormFields[[#This Row],[NO4]]</f>
        <v>Field Options-26</v>
      </c>
      <c r="AL61" s="96">
        <f>COUNTIF($AJ$2:FormFields[[#This Row],[Exists FO]],1)</f>
        <v>26</v>
      </c>
      <c r="AM61" s="96">
        <f>IF(FormFields[[#This Row],[NO4]]=0,"id",FormFields[[#This Row],[NO4]]+IF(ISNUMBER(VLOOKUP('Table Seed Map'!$A$14,SeedMap[],9,0)),VLOOKUP('Table Seed Map'!$A$14,SeedMap[],9,0),0))</f>
        <v>2113126</v>
      </c>
      <c r="AN61" s="104">
        <f>IF(FormFields[[#This Row],[ID]]="id","form_field",FormFields[[#This Row],[ID]])</f>
        <v>2111159</v>
      </c>
      <c r="AO61" s="105"/>
      <c r="AP61" s="105"/>
      <c r="AQ61" s="105"/>
      <c r="AR61" s="105"/>
      <c r="AS61" s="105"/>
      <c r="AT61" s="96">
        <f>IF(OR(FormFields[[#This Row],[Colspan]]="",FormFields[[#This Row],[Colspan]]="colspan"),0,1)</f>
        <v>0</v>
      </c>
      <c r="AU61" s="96" t="str">
        <f>'Table Seed Map'!$A$19&amp;"-"&amp;FormFields[[#This Row],[NO8]]</f>
        <v>Form Layout-7</v>
      </c>
      <c r="AV61" s="96">
        <f>COUNTIF($AT$1:FormFields[[#This Row],[Exists FL]],1)</f>
        <v>7</v>
      </c>
      <c r="AW6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1" s="96">
        <f>[Form]</f>
        <v>2110118</v>
      </c>
      <c r="AY61" s="96">
        <f>IF(FormFields[[#This Row],[ID]]="id","form_field",FormFields[[#This Row],[ID]])</f>
        <v>2111159</v>
      </c>
      <c r="AZ61" s="106"/>
      <c r="BA61" s="104">
        <f>FormFields[[#This Row],[ID]]</f>
        <v>2111159</v>
      </c>
      <c r="BC61" s="62" t="s">
        <v>1751</v>
      </c>
      <c r="BD61" s="63" t="str">
        <f>'Table Seed Map'!$A$15&amp;"-"&amp;(-1+COUNTA($BC$1:FieldAttrs[[#This Row],[ATTR Field]]))</f>
        <v>Field Attrs-59</v>
      </c>
      <c r="BE61" s="69">
        <f>IF(FieldAttrs[[#This Row],[ATTR Field]]="","id",-1+COUNTA($BC$1:FieldAttrs[[#This Row],[ATTR Field]])+VLOOKUP('Table Seed Map'!$A$15,SeedMap[],9,0))</f>
        <v>2114159</v>
      </c>
      <c r="BF61" s="104">
        <f>IFERROR(VLOOKUP([ATTR Field],FormFields[[Field Name]:[ID]],2,0),"form_field")</f>
        <v>2111176</v>
      </c>
      <c r="BG61" s="104" t="s">
        <v>1193</v>
      </c>
      <c r="BH61" s="104">
        <v>4</v>
      </c>
    </row>
    <row r="62" spans="13:60">
      <c r="M62" s="80" t="str">
        <f>'Table Seed Map'!$A$12&amp;"-"&amp;FormFields[[#This Row],[No]]</f>
        <v>Form Fields-60</v>
      </c>
      <c r="N62" s="81" t="s">
        <v>1253</v>
      </c>
      <c r="O62" s="38">
        <f>COUNTA($N$1:FormFields[[#This Row],[Form Name]])-1</f>
        <v>60</v>
      </c>
      <c r="P62" s="80" t="str">
        <f>FormFields[[#This Row],[Form Name]]&amp;"/"&amp;FormFields[[#This Row],[Name]]</f>
        <v>OrderItem/UpdateOrderItem/status</v>
      </c>
      <c r="Q62" s="38">
        <f>IF(FormFields[[#This Row],[No]]=0,"id",FormFields[[#This Row],[No]]+IF(ISNUMBER(VLOOKUP('Table Seed Map'!$A$12,SeedMap[],9,0)),VLOOKUP('Table Seed Map'!$A$12,SeedMap[],9,0),0))</f>
        <v>2111160</v>
      </c>
      <c r="R62" s="82">
        <f>IFERROR(VLOOKUP(FormFields[[#This Row],[Form Name]],ResourceForms[[FormName]:[ID]],4,0),"resource_form")</f>
        <v>2110118</v>
      </c>
      <c r="S62" s="83" t="s">
        <v>804</v>
      </c>
      <c r="T62" s="83" t="s">
        <v>1189</v>
      </c>
      <c r="U62" s="83" t="s">
        <v>1190</v>
      </c>
      <c r="V62" s="84"/>
      <c r="W62" s="84"/>
      <c r="X62" s="84"/>
      <c r="Y62" s="84"/>
      <c r="Z62" s="85" t="str">
        <f>'Table Seed Map'!$A$13&amp;"-"&amp;FormFields[[#This Row],[NO2]]</f>
        <v>Field Data-60</v>
      </c>
      <c r="AA62" s="86">
        <f>COUNTIFS($AB$1:FormFields[[#This Row],[Exists]],1)-1</f>
        <v>60</v>
      </c>
      <c r="AB62" s="86">
        <f>IF(AND(FormFields[[#This Row],[Attribute]]="",FormFields[[#This Row],[Rel]]=""),0,1)</f>
        <v>1</v>
      </c>
      <c r="AC62" s="86">
        <f>IF(FormFields[[#This Row],[NO2]]=0,"id",FormFields[[#This Row],[NO2]]+IF(ISNUMBER(VLOOKUP('Table Seed Map'!$A$13,SeedMap[],9,0)),VLOOKUP('Table Seed Map'!$A$13,SeedMap[],9,0),0))</f>
        <v>2112160</v>
      </c>
      <c r="AD62" s="87">
        <f>IF(FormFields[[#This Row],[ID]]="id","form_field",FormFields[[#This Row],[ID]])</f>
        <v>2111160</v>
      </c>
      <c r="AE62" s="86" t="str">
        <f>IF(FormFields[[#This Row],[No]]=0,"attribute",FormFields[[#This Row],[Name]])</f>
        <v>status</v>
      </c>
      <c r="AF62" s="55" t="str">
        <f>IF(FormFields[[#This Row],[NO2]]=0,"relation",IF(FormFields[[#This Row],[Rel]]="","",VLOOKUP(FormFields[[#This Row],[Rel]],RelationTable[[Display]:[RELID]],2,0)))</f>
        <v/>
      </c>
      <c r="AG62" s="55" t="str">
        <f>IF(FormFields[[#This Row],[NO2]]=0,"nest_relation1",IF(FormFields[[#This Row],[Rel1]]="","",VLOOKUP(FormFields[[#This Row],[Rel1]],RelationTable[[Display]:[RELID]],2,0)))</f>
        <v/>
      </c>
      <c r="AH62" s="55" t="str">
        <f>IF(FormFields[[#This Row],[NO2]]=0,"nest_relation2",IF(FormFields[[#This Row],[Rel2]]="","",VLOOKUP(FormFields[[#This Row],[Rel2]],RelationTable[[Display]:[RELID]],2,0)))</f>
        <v/>
      </c>
      <c r="AI62" s="55" t="str">
        <f>IF(FormFields[[#This Row],[NO2]]=0,"nest_relation3",IF(FormFields[[#This Row],[Rel3]]="","",VLOOKUP(FormFields[[#This Row],[Rel3]],RelationTable[[Display]:[RELID]],2,0)))</f>
        <v/>
      </c>
      <c r="AJ62" s="38">
        <f>IF(OR(FormFields[[#This Row],[Option Type]]="",FormFields[[#This Row],[Option Type]]="type"),0,1)</f>
        <v>1</v>
      </c>
      <c r="AK62" s="38" t="str">
        <f>'Table Seed Map'!$A$14&amp;"-"&amp;FormFields[[#This Row],[NO4]]</f>
        <v>Field Options-27</v>
      </c>
      <c r="AL62" s="38">
        <f>COUNTIF($AJ$2:FormFields[[#This Row],[Exists FO]],1)</f>
        <v>27</v>
      </c>
      <c r="AM62" s="38">
        <f>IF(FormFields[[#This Row],[NO4]]=0,"id",FormFields[[#This Row],[NO4]]+IF(ISNUMBER(VLOOKUP('Table Seed Map'!$A$14,SeedMap[],9,0)),VLOOKUP('Table Seed Map'!$A$14,SeedMap[],9,0),0))</f>
        <v>2113127</v>
      </c>
      <c r="AN62" s="88">
        <f>IF(FormFields[[#This Row],[ID]]="id","form_field",FormFields[[#This Row],[ID]])</f>
        <v>2111160</v>
      </c>
      <c r="AO62" s="89" t="s">
        <v>1191</v>
      </c>
      <c r="AP62" s="89"/>
      <c r="AQ62" s="89"/>
      <c r="AR62" s="89"/>
      <c r="AS62" s="89"/>
      <c r="AT62" s="38">
        <f>IF(OR(FormFields[[#This Row],[Colspan]]="",FormFields[[#This Row],[Colspan]]="colspan"),0,1)</f>
        <v>0</v>
      </c>
      <c r="AU62" s="38" t="str">
        <f>'Table Seed Map'!$A$19&amp;"-"&amp;FormFields[[#This Row],[NO8]]</f>
        <v>Form Layout-7</v>
      </c>
      <c r="AV62" s="38">
        <f>COUNTIF($AT$1:FormFields[[#This Row],[Exists FL]],1)</f>
        <v>7</v>
      </c>
      <c r="AW62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2" s="38">
        <f>[Form]</f>
        <v>2110118</v>
      </c>
      <c r="AY62" s="38">
        <f>IF(FormFields[[#This Row],[ID]]="id","form_field",FormFields[[#This Row],[ID]])</f>
        <v>2111160</v>
      </c>
      <c r="AZ62" s="90"/>
      <c r="BA62" s="88">
        <f>FormFields[[#This Row],[ID]]</f>
        <v>2111160</v>
      </c>
      <c r="BC62" s="62" t="s">
        <v>1752</v>
      </c>
      <c r="BD62" s="63" t="str">
        <f>'Table Seed Map'!$A$15&amp;"-"&amp;(-1+COUNTA($BC$1:FieldAttrs[[#This Row],[ATTR Field]]))</f>
        <v>Field Attrs-60</v>
      </c>
      <c r="BE62" s="69">
        <f>IF(FieldAttrs[[#This Row],[ATTR Field]]="","id",-1+COUNTA($BC$1:FieldAttrs[[#This Row],[ATTR Field]])+VLOOKUP('Table Seed Map'!$A$15,SeedMap[],9,0))</f>
        <v>2114160</v>
      </c>
      <c r="BF62" s="104">
        <f>IFERROR(VLOOKUP([ATTR Field],FormFields[[Field Name]:[ID]],2,0),"form_field")</f>
        <v>2111177</v>
      </c>
      <c r="BG62" s="104" t="s">
        <v>1193</v>
      </c>
      <c r="BH62" s="104">
        <v>4</v>
      </c>
    </row>
    <row r="63" spans="13:60">
      <c r="M63" s="95" t="str">
        <f>'Table Seed Map'!$A$12&amp;"-"&amp;FormFields[[#This Row],[No]]</f>
        <v>Form Fields-61</v>
      </c>
      <c r="N63" s="81" t="s">
        <v>1268</v>
      </c>
      <c r="O63" s="96">
        <f>COUNTA($N$1:FormFields[[#This Row],[Form Name]])-1</f>
        <v>61</v>
      </c>
      <c r="P63" s="95" t="str">
        <f>FormFields[[#This Row],[Form Name]]&amp;"/"&amp;FormFields[[#This Row],[Name]]</f>
        <v>OrderItemServiceUser/AssignProviderToOIS/ois</v>
      </c>
      <c r="Q63" s="96">
        <f>IF(FormFields[[#This Row],[No]]=0,"id",FormFields[[#This Row],[No]]+IF(ISNUMBER(VLOOKUP('Table Seed Map'!$A$12,SeedMap[],9,0)),VLOOKUP('Table Seed Map'!$A$12,SeedMap[],9,0),0))</f>
        <v>2111161</v>
      </c>
      <c r="R63" s="97">
        <f>IFERROR(VLOOKUP(FormFields[[#This Row],[Form Name]],ResourceForms[[FormName]:[ID]],4,0),"resource_form")</f>
        <v>2110119</v>
      </c>
      <c r="S63" s="98" t="s">
        <v>841</v>
      </c>
      <c r="T63" s="98" t="s">
        <v>1189</v>
      </c>
      <c r="U63" s="98" t="s">
        <v>1269</v>
      </c>
      <c r="V63" s="99"/>
      <c r="W63" s="99"/>
      <c r="X63" s="99"/>
      <c r="Y63" s="99"/>
      <c r="Z63" s="100" t="str">
        <f>'Table Seed Map'!$A$13&amp;"-"&amp;FormFields[[#This Row],[NO2]]</f>
        <v>Field Data-61</v>
      </c>
      <c r="AA63" s="101">
        <f>COUNTIFS($AB$1:FormFields[[#This Row],[Exists]],1)-1</f>
        <v>61</v>
      </c>
      <c r="AB63" s="101">
        <f>IF(AND(FormFields[[#This Row],[Attribute]]="",FormFields[[#This Row],[Rel]]=""),0,1)</f>
        <v>1</v>
      </c>
      <c r="AC63" s="101">
        <f>IF(FormFields[[#This Row],[NO2]]=0,"id",FormFields[[#This Row],[NO2]]+IF(ISNUMBER(VLOOKUP('Table Seed Map'!$A$13,SeedMap[],9,0)),VLOOKUP('Table Seed Map'!$A$13,SeedMap[],9,0),0))</f>
        <v>2112161</v>
      </c>
      <c r="AD63" s="102">
        <f>IF(FormFields[[#This Row],[ID]]="id","form_field",FormFields[[#This Row],[ID]])</f>
        <v>2111161</v>
      </c>
      <c r="AE63" s="101" t="str">
        <f>IF(FormFields[[#This Row],[No]]=0,"attribute",FormFields[[#This Row],[Name]])</f>
        <v>ois</v>
      </c>
      <c r="AF63" s="103" t="str">
        <f>IF(FormFields[[#This Row],[NO2]]=0,"relation",IF(FormFields[[#This Row],[Rel]]="","",VLOOKUP(FormFields[[#This Row],[Rel]],RelationTable[[Display]:[RELID]],2,0)))</f>
        <v/>
      </c>
      <c r="AG63" s="103" t="str">
        <f>IF(FormFields[[#This Row],[NO2]]=0,"nest_relation1",IF(FormFields[[#This Row],[Rel1]]="","",VLOOKUP(FormFields[[#This Row],[Rel1]],RelationTable[[Display]:[RELID]],2,0)))</f>
        <v/>
      </c>
      <c r="AH63" s="103" t="str">
        <f>IF(FormFields[[#This Row],[NO2]]=0,"nest_relation2",IF(FormFields[[#This Row],[Rel2]]="","",VLOOKUP(FormFields[[#This Row],[Rel2]],RelationTable[[Display]:[RELID]],2,0)))</f>
        <v/>
      </c>
      <c r="AI63" s="103" t="str">
        <f>IF(FormFields[[#This Row],[NO2]]=0,"nest_relation3",IF(FormFields[[#This Row],[Rel3]]="","",VLOOKUP(FormFields[[#This Row],[Rel3]],RelationTable[[Display]:[RELID]],2,0)))</f>
        <v/>
      </c>
      <c r="AJ63" s="96">
        <f>IF(OR(FormFields[[#This Row],[Option Type]]="",FormFields[[#This Row],[Option Type]]="type"),0,1)</f>
        <v>1</v>
      </c>
      <c r="AK63" s="96" t="str">
        <f>'Table Seed Map'!$A$14&amp;"-"&amp;FormFields[[#This Row],[NO4]]</f>
        <v>Field Options-28</v>
      </c>
      <c r="AL63" s="96">
        <f>COUNTIF($AJ$2:FormFields[[#This Row],[Exists FO]],1)</f>
        <v>28</v>
      </c>
      <c r="AM63" s="96">
        <f>IF(FormFields[[#This Row],[NO4]]=0,"id",FormFields[[#This Row],[NO4]]+IF(ISNUMBER(VLOOKUP('Table Seed Map'!$A$14,SeedMap[],9,0)),VLOOKUP('Table Seed Map'!$A$14,SeedMap[],9,0),0))</f>
        <v>2113128</v>
      </c>
      <c r="AN63" s="104">
        <f>IF(FormFields[[#This Row],[ID]]="id","form_field",FormFields[[#This Row],[ID]])</f>
        <v>2111161</v>
      </c>
      <c r="AO63" s="105" t="s">
        <v>122</v>
      </c>
      <c r="AP63" s="105">
        <v>2123122</v>
      </c>
      <c r="AQ63" s="105" t="s">
        <v>21</v>
      </c>
      <c r="AR63" s="105" t="s">
        <v>23</v>
      </c>
      <c r="AS63" s="105"/>
      <c r="AT63" s="96">
        <f>IF(OR(FormFields[[#This Row],[Colspan]]="",FormFields[[#This Row],[Colspan]]="colspan"),0,1)</f>
        <v>0</v>
      </c>
      <c r="AU63" s="96" t="str">
        <f>'Table Seed Map'!$A$19&amp;"-"&amp;FormFields[[#This Row],[NO8]]</f>
        <v>Form Layout-7</v>
      </c>
      <c r="AV63" s="96">
        <f>COUNTIF($AT$1:FormFields[[#This Row],[Exists FL]],1)</f>
        <v>7</v>
      </c>
      <c r="AW6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3" s="96">
        <f>[Form]</f>
        <v>2110119</v>
      </c>
      <c r="AY63" s="96">
        <f>IF(FormFields[[#This Row],[ID]]="id","form_field",FormFields[[#This Row],[ID]])</f>
        <v>2111161</v>
      </c>
      <c r="AZ63" s="106"/>
      <c r="BA63" s="104">
        <f>FormFields[[#This Row],[ID]]</f>
        <v>2111161</v>
      </c>
      <c r="BC63" s="62" t="s">
        <v>1753</v>
      </c>
      <c r="BD63" s="63" t="str">
        <f>'Table Seed Map'!$A$15&amp;"-"&amp;(-1+COUNTA($BC$1:FieldAttrs[[#This Row],[ATTR Field]]))</f>
        <v>Field Attrs-61</v>
      </c>
      <c r="BE63" s="69">
        <f>IF(FieldAttrs[[#This Row],[ATTR Field]]="","id",-1+COUNTA($BC$1:FieldAttrs[[#This Row],[ATTR Field]])+VLOOKUP('Table Seed Map'!$A$15,SeedMap[],9,0))</f>
        <v>2114161</v>
      </c>
      <c r="BF63" s="104">
        <f>IFERROR(VLOOKUP([ATTR Field],FormFields[[Field Name]:[ID]],2,0),"form_field")</f>
        <v>2111178</v>
      </c>
      <c r="BG63" s="104" t="s">
        <v>1193</v>
      </c>
      <c r="BH63" s="104">
        <v>4</v>
      </c>
    </row>
    <row r="64" spans="13:60">
      <c r="M64" s="95" t="str">
        <f>'Table Seed Map'!$A$12&amp;"-"&amp;FormFields[[#This Row],[No]]</f>
        <v>Form Fields-62</v>
      </c>
      <c r="N64" s="81" t="s">
        <v>1268</v>
      </c>
      <c r="O64" s="96">
        <f>COUNTA($N$1:FormFields[[#This Row],[Form Name]])-1</f>
        <v>62</v>
      </c>
      <c r="P64" s="95" t="str">
        <f>FormFields[[#This Row],[Form Name]]&amp;"/"&amp;FormFields[[#This Row],[Name]]</f>
        <v>OrderItemServiceUser/AssignProviderToOIS/user</v>
      </c>
      <c r="Q64" s="96">
        <f>IF(FormFields[[#This Row],[No]]=0,"id",FormFields[[#This Row],[No]]+IF(ISNUMBER(VLOOKUP('Table Seed Map'!$A$12,SeedMap[],9,0)),VLOOKUP('Table Seed Map'!$A$12,SeedMap[],9,0),0))</f>
        <v>2111162</v>
      </c>
      <c r="R64" s="97">
        <f>IFERROR(VLOOKUP(FormFields[[#This Row],[Form Name]],ResourceForms[[FormName]:[ID]],4,0),"resource_form")</f>
        <v>2110119</v>
      </c>
      <c r="S64" s="98" t="s">
        <v>64</v>
      </c>
      <c r="T64" s="98" t="s">
        <v>1189</v>
      </c>
      <c r="U64" s="98" t="s">
        <v>1270</v>
      </c>
      <c r="V64" s="99"/>
      <c r="W64" s="99"/>
      <c r="X64" s="99"/>
      <c r="Y64" s="99"/>
      <c r="Z64" s="100" t="str">
        <f>'Table Seed Map'!$A$13&amp;"-"&amp;FormFields[[#This Row],[NO2]]</f>
        <v>Field Data-62</v>
      </c>
      <c r="AA64" s="101">
        <f>COUNTIFS($AB$1:FormFields[[#This Row],[Exists]],1)-1</f>
        <v>62</v>
      </c>
      <c r="AB64" s="101">
        <f>IF(AND(FormFields[[#This Row],[Attribute]]="",FormFields[[#This Row],[Rel]]=""),0,1)</f>
        <v>1</v>
      </c>
      <c r="AC64" s="101">
        <f>IF(FormFields[[#This Row],[NO2]]=0,"id",FormFields[[#This Row],[NO2]]+IF(ISNUMBER(VLOOKUP('Table Seed Map'!$A$13,SeedMap[],9,0)),VLOOKUP('Table Seed Map'!$A$13,SeedMap[],9,0),0))</f>
        <v>2112162</v>
      </c>
      <c r="AD64" s="102">
        <f>IF(FormFields[[#This Row],[ID]]="id","form_field",FormFields[[#This Row],[ID]])</f>
        <v>2111162</v>
      </c>
      <c r="AE64" s="101" t="str">
        <f>IF(FormFields[[#This Row],[No]]=0,"attribute",FormFields[[#This Row],[Name]])</f>
        <v>user</v>
      </c>
      <c r="AF64" s="103" t="str">
        <f>IF(FormFields[[#This Row],[NO2]]=0,"relation",IF(FormFields[[#This Row],[Rel]]="","",VLOOKUP(FormFields[[#This Row],[Rel]],RelationTable[[Display]:[RELID]],2,0)))</f>
        <v/>
      </c>
      <c r="AG64" s="103" t="str">
        <f>IF(FormFields[[#This Row],[NO2]]=0,"nest_relation1",IF(FormFields[[#This Row],[Rel1]]="","",VLOOKUP(FormFields[[#This Row],[Rel1]],RelationTable[[Display]:[RELID]],2,0)))</f>
        <v/>
      </c>
      <c r="AH64" s="103" t="str">
        <f>IF(FormFields[[#This Row],[NO2]]=0,"nest_relation2",IF(FormFields[[#This Row],[Rel2]]="","",VLOOKUP(FormFields[[#This Row],[Rel2]],RelationTable[[Display]:[RELID]],2,0)))</f>
        <v/>
      </c>
      <c r="AI64" s="103" t="str">
        <f>IF(FormFields[[#This Row],[NO2]]=0,"nest_relation3",IF(FormFields[[#This Row],[Rel3]]="","",VLOOKUP(FormFields[[#This Row],[Rel3]],RelationTable[[Display]:[RELID]],2,0)))</f>
        <v/>
      </c>
      <c r="AJ64" s="96">
        <f>IF(OR(FormFields[[#This Row],[Option Type]]="",FormFields[[#This Row],[Option Type]]="type"),0,1)</f>
        <v>1</v>
      </c>
      <c r="AK64" s="96" t="str">
        <f>'Table Seed Map'!$A$14&amp;"-"&amp;FormFields[[#This Row],[NO4]]</f>
        <v>Field Options-29</v>
      </c>
      <c r="AL64" s="96">
        <f>COUNTIF($AJ$2:FormFields[[#This Row],[Exists FO]],1)</f>
        <v>29</v>
      </c>
      <c r="AM64" s="96">
        <f>IF(FormFields[[#This Row],[NO4]]=0,"id",FormFields[[#This Row],[NO4]]+IF(ISNUMBER(VLOOKUP('Table Seed Map'!$A$14,SeedMap[],9,0)),VLOOKUP('Table Seed Map'!$A$14,SeedMap[],9,0),0))</f>
        <v>2113129</v>
      </c>
      <c r="AN64" s="104">
        <f>IF(FormFields[[#This Row],[ID]]="id","form_field",FormFields[[#This Row],[ID]])</f>
        <v>2111162</v>
      </c>
      <c r="AO64" s="105" t="s">
        <v>122</v>
      </c>
      <c r="AP64" s="105">
        <v>2123106</v>
      </c>
      <c r="AQ64" s="105" t="s">
        <v>21</v>
      </c>
      <c r="AR64" s="105" t="s">
        <v>1853</v>
      </c>
      <c r="AS64" s="105"/>
      <c r="AT64" s="96">
        <f>IF(OR(FormFields[[#This Row],[Colspan]]="",FormFields[[#This Row],[Colspan]]="colspan"),0,1)</f>
        <v>0</v>
      </c>
      <c r="AU64" s="96" t="str">
        <f>'Table Seed Map'!$A$19&amp;"-"&amp;FormFields[[#This Row],[NO8]]</f>
        <v>Form Layout-7</v>
      </c>
      <c r="AV64" s="96">
        <f>COUNTIF($AT$1:FormFields[[#This Row],[Exists FL]],1)</f>
        <v>7</v>
      </c>
      <c r="AW6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4" s="96">
        <f>[Form]</f>
        <v>2110119</v>
      </c>
      <c r="AY64" s="96">
        <f>IF(FormFields[[#This Row],[ID]]="id","form_field",FormFields[[#This Row],[ID]])</f>
        <v>2111162</v>
      </c>
      <c r="AZ64" s="106"/>
      <c r="BA64" s="104">
        <f>FormFields[[#This Row],[ID]]</f>
        <v>2111162</v>
      </c>
      <c r="BC64" s="62" t="s">
        <v>1978</v>
      </c>
      <c r="BD64" s="63" t="str">
        <f>'Table Seed Map'!$A$15&amp;"-"&amp;(-1+COUNTA($BC$1:FieldAttrs[[#This Row],[ATTR Field]]))</f>
        <v>Field Attrs-62</v>
      </c>
      <c r="BE64" s="69">
        <f>IF(FieldAttrs[[#This Row],[ATTR Field]]="","id",-1+COUNTA($BC$1:FieldAttrs[[#This Row],[ATTR Field]])+VLOOKUP('Table Seed Map'!$A$15,SeedMap[],9,0))</f>
        <v>2114162</v>
      </c>
      <c r="BF64" s="104">
        <f>IFERROR(VLOOKUP([ATTR Field],FormFields[[Field Name]:[ID]],2,0),"form_field")</f>
        <v>2111186</v>
      </c>
      <c r="BG64" s="104" t="s">
        <v>1193</v>
      </c>
      <c r="BH64" s="104">
        <v>4</v>
      </c>
    </row>
    <row r="65" spans="13:60">
      <c r="M65" s="95" t="str">
        <f>'Table Seed Map'!$A$12&amp;"-"&amp;FormFields[[#This Row],[No]]</f>
        <v>Form Fields-63</v>
      </c>
      <c r="N65" s="81" t="s">
        <v>1274</v>
      </c>
      <c r="O65" s="96">
        <f>COUNTA($N$1:FormFields[[#This Row],[Form Name]])-1</f>
        <v>63</v>
      </c>
      <c r="P65" s="95" t="str">
        <f>FormFields[[#This Row],[Form Name]]&amp;"/"&amp;FormFields[[#This Row],[Name]]</f>
        <v>Receipt/NewReceiptForm/date</v>
      </c>
      <c r="Q65" s="96">
        <f>IF(FormFields[[#This Row],[No]]=0,"id",FormFields[[#This Row],[No]]+IF(ISNUMBER(VLOOKUP('Table Seed Map'!$A$12,SeedMap[],9,0)),VLOOKUP('Table Seed Map'!$A$12,SeedMap[],9,0),0))</f>
        <v>2111163</v>
      </c>
      <c r="R65" s="97">
        <f>IFERROR(VLOOKUP(FormFields[[#This Row],[Form Name]],ResourceForms[[FormName]:[ID]],4,0),"resource_form")</f>
        <v>2110120</v>
      </c>
      <c r="S65" s="98" t="s">
        <v>827</v>
      </c>
      <c r="T65" s="98" t="s">
        <v>1137</v>
      </c>
      <c r="U65" s="98" t="s">
        <v>1244</v>
      </c>
      <c r="V65" s="99"/>
      <c r="W65" s="99"/>
      <c r="X65" s="99"/>
      <c r="Y65" s="99"/>
      <c r="Z65" s="100" t="str">
        <f>'Table Seed Map'!$A$13&amp;"-"&amp;FormFields[[#This Row],[NO2]]</f>
        <v>Field Data-63</v>
      </c>
      <c r="AA65" s="101">
        <f>COUNTIFS($AB$1:FormFields[[#This Row],[Exists]],1)-1</f>
        <v>63</v>
      </c>
      <c r="AB65" s="101">
        <f>IF(AND(FormFields[[#This Row],[Attribute]]="",FormFields[[#This Row],[Rel]]=""),0,1)</f>
        <v>1</v>
      </c>
      <c r="AC65" s="101">
        <f>IF(FormFields[[#This Row],[NO2]]=0,"id",FormFields[[#This Row],[NO2]]+IF(ISNUMBER(VLOOKUP('Table Seed Map'!$A$13,SeedMap[],9,0)),VLOOKUP('Table Seed Map'!$A$13,SeedMap[],9,0),0))</f>
        <v>2112163</v>
      </c>
      <c r="AD65" s="102">
        <f>IF(FormFields[[#This Row],[ID]]="id","form_field",FormFields[[#This Row],[ID]])</f>
        <v>2111163</v>
      </c>
      <c r="AE65" s="101" t="str">
        <f>IF(FormFields[[#This Row],[No]]=0,"attribute",FormFields[[#This Row],[Name]])</f>
        <v>date</v>
      </c>
      <c r="AF65" s="103" t="str">
        <f>IF(FormFields[[#This Row],[NO2]]=0,"relation",IF(FormFields[[#This Row],[Rel]]="","",VLOOKUP(FormFields[[#This Row],[Rel]],RelationTable[[Display]:[RELID]],2,0)))</f>
        <v/>
      </c>
      <c r="AG65" s="103" t="str">
        <f>IF(FormFields[[#This Row],[NO2]]=0,"nest_relation1",IF(FormFields[[#This Row],[Rel1]]="","",VLOOKUP(FormFields[[#This Row],[Rel1]],RelationTable[[Display]:[RELID]],2,0)))</f>
        <v/>
      </c>
      <c r="AH65" s="103" t="str">
        <f>IF(FormFields[[#This Row],[NO2]]=0,"nest_relation2",IF(FormFields[[#This Row],[Rel2]]="","",VLOOKUP(FormFields[[#This Row],[Rel2]],RelationTable[[Display]:[RELID]],2,0)))</f>
        <v/>
      </c>
      <c r="AI65" s="103" t="str">
        <f>IF(FormFields[[#This Row],[NO2]]=0,"nest_relation3",IF(FormFields[[#This Row],[Rel3]]="","",VLOOKUP(FormFields[[#This Row],[Rel3]],RelationTable[[Display]:[RELID]],2,0)))</f>
        <v/>
      </c>
      <c r="AJ65" s="96">
        <f>IF(OR(FormFields[[#This Row],[Option Type]]="",FormFields[[#This Row],[Option Type]]="type"),0,1)</f>
        <v>0</v>
      </c>
      <c r="AK65" s="96" t="str">
        <f>'Table Seed Map'!$A$14&amp;"-"&amp;FormFields[[#This Row],[NO4]]</f>
        <v>Field Options-29</v>
      </c>
      <c r="AL65" s="96">
        <f>COUNTIF($AJ$2:FormFields[[#This Row],[Exists FO]],1)</f>
        <v>29</v>
      </c>
      <c r="AM65" s="96">
        <f>IF(FormFields[[#This Row],[NO4]]=0,"id",FormFields[[#This Row],[NO4]]+IF(ISNUMBER(VLOOKUP('Table Seed Map'!$A$14,SeedMap[],9,0)),VLOOKUP('Table Seed Map'!$A$14,SeedMap[],9,0),0))</f>
        <v>2113129</v>
      </c>
      <c r="AN65" s="104">
        <f>IF(FormFields[[#This Row],[ID]]="id","form_field",FormFields[[#This Row],[ID]])</f>
        <v>2111163</v>
      </c>
      <c r="AO65" s="105"/>
      <c r="AP65" s="105"/>
      <c r="AQ65" s="105"/>
      <c r="AR65" s="105"/>
      <c r="AS65" s="105"/>
      <c r="AT65" s="96">
        <f>IF(OR(FormFields[[#This Row],[Colspan]]="",FormFields[[#This Row],[Colspan]]="colspan"),0,1)</f>
        <v>0</v>
      </c>
      <c r="AU65" s="96" t="str">
        <f>'Table Seed Map'!$A$19&amp;"-"&amp;FormFields[[#This Row],[NO8]]</f>
        <v>Form Layout-7</v>
      </c>
      <c r="AV65" s="96">
        <f>COUNTIF($AT$1:FormFields[[#This Row],[Exists FL]],1)</f>
        <v>7</v>
      </c>
      <c r="AW6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5" s="96">
        <f>[Form]</f>
        <v>2110120</v>
      </c>
      <c r="AY65" s="96">
        <f>IF(FormFields[[#This Row],[ID]]="id","form_field",FormFields[[#This Row],[ID]])</f>
        <v>2111163</v>
      </c>
      <c r="AZ65" s="106"/>
      <c r="BA65" s="104">
        <f>FormFields[[#This Row],[ID]]</f>
        <v>2111163</v>
      </c>
      <c r="BC65" s="62" t="s">
        <v>1984</v>
      </c>
      <c r="BD65" s="63" t="str">
        <f>'Table Seed Map'!$A$15&amp;"-"&amp;(-1+COUNTA($BC$1:FieldAttrs[[#This Row],[ATTR Field]]))</f>
        <v>Field Attrs-63</v>
      </c>
      <c r="BE65" s="69">
        <f>IF(FieldAttrs[[#This Row],[ATTR Field]]="","id",-1+COUNTA($BC$1:FieldAttrs[[#This Row],[ATTR Field]])+VLOOKUP('Table Seed Map'!$A$15,SeedMap[],9,0))</f>
        <v>2114163</v>
      </c>
      <c r="BF65" s="104">
        <f>IFERROR(VLOOKUP([ATTR Field],FormFields[[Field Name]:[ID]],2,0),"form_field")</f>
        <v>2111187</v>
      </c>
      <c r="BG65" s="104" t="s">
        <v>1193</v>
      </c>
      <c r="BH65" s="104">
        <v>4</v>
      </c>
    </row>
    <row r="66" spans="13:60">
      <c r="M66" s="95" t="str">
        <f>'Table Seed Map'!$A$12&amp;"-"&amp;FormFields[[#This Row],[No]]</f>
        <v>Form Fields-64</v>
      </c>
      <c r="N66" s="81" t="s">
        <v>1274</v>
      </c>
      <c r="O66" s="96">
        <f>COUNTA($N$1:FormFields[[#This Row],[Form Name]])-1</f>
        <v>64</v>
      </c>
      <c r="P66" s="95" t="str">
        <f>FormFields[[#This Row],[Form Name]]&amp;"/"&amp;FormFields[[#This Row],[Name]]</f>
        <v>Receipt/NewReceiptForm/invoice</v>
      </c>
      <c r="Q66" s="96">
        <f>IF(FormFields[[#This Row],[No]]=0,"id",FormFields[[#This Row],[No]]+IF(ISNUMBER(VLOOKUP('Table Seed Map'!$A$12,SeedMap[],9,0)),VLOOKUP('Table Seed Map'!$A$12,SeedMap[],9,0),0))</f>
        <v>2111164</v>
      </c>
      <c r="R66" s="97">
        <f>IFERROR(VLOOKUP(FormFields[[#This Row],[Form Name]],ResourceForms[[FormName]:[ID]],4,0),"resource_form")</f>
        <v>2110120</v>
      </c>
      <c r="S66" s="98" t="s">
        <v>846</v>
      </c>
      <c r="T66" s="98" t="s">
        <v>1189</v>
      </c>
      <c r="U66" s="98" t="s">
        <v>1275</v>
      </c>
      <c r="V66" s="99"/>
      <c r="W66" s="99"/>
      <c r="X66" s="99"/>
      <c r="Y66" s="99"/>
      <c r="Z66" s="100" t="str">
        <f>'Table Seed Map'!$A$13&amp;"-"&amp;FormFields[[#This Row],[NO2]]</f>
        <v>Field Data-64</v>
      </c>
      <c r="AA66" s="101">
        <f>COUNTIFS($AB$1:FormFields[[#This Row],[Exists]],1)-1</f>
        <v>64</v>
      </c>
      <c r="AB66" s="101">
        <f>IF(AND(FormFields[[#This Row],[Attribute]]="",FormFields[[#This Row],[Rel]]=""),0,1)</f>
        <v>1</v>
      </c>
      <c r="AC66" s="101">
        <f>IF(FormFields[[#This Row],[NO2]]=0,"id",FormFields[[#This Row],[NO2]]+IF(ISNUMBER(VLOOKUP('Table Seed Map'!$A$13,SeedMap[],9,0)),VLOOKUP('Table Seed Map'!$A$13,SeedMap[],9,0),0))</f>
        <v>2112164</v>
      </c>
      <c r="AD66" s="102">
        <f>IF(FormFields[[#This Row],[ID]]="id","form_field",FormFields[[#This Row],[ID]])</f>
        <v>2111164</v>
      </c>
      <c r="AE66" s="101" t="str">
        <f>IF(FormFields[[#This Row],[No]]=0,"attribute",FormFields[[#This Row],[Name]])</f>
        <v>invoice</v>
      </c>
      <c r="AF66" s="103" t="str">
        <f>IF(FormFields[[#This Row],[NO2]]=0,"relation",IF(FormFields[[#This Row],[Rel]]="","",VLOOKUP(FormFields[[#This Row],[Rel]],RelationTable[[Display]:[RELID]],2,0)))</f>
        <v/>
      </c>
      <c r="AG66" s="103" t="str">
        <f>IF(FormFields[[#This Row],[NO2]]=0,"nest_relation1",IF(FormFields[[#This Row],[Rel1]]="","",VLOOKUP(FormFields[[#This Row],[Rel1]],RelationTable[[Display]:[RELID]],2,0)))</f>
        <v/>
      </c>
      <c r="AH66" s="103" t="str">
        <f>IF(FormFields[[#This Row],[NO2]]=0,"nest_relation2",IF(FormFields[[#This Row],[Rel2]]="","",VLOOKUP(FormFields[[#This Row],[Rel2]],RelationTable[[Display]:[RELID]],2,0)))</f>
        <v/>
      </c>
      <c r="AI66" s="103" t="str">
        <f>IF(FormFields[[#This Row],[NO2]]=0,"nest_relation3",IF(FormFields[[#This Row],[Rel3]]="","",VLOOKUP(FormFields[[#This Row],[Rel3]],RelationTable[[Display]:[RELID]],2,0)))</f>
        <v/>
      </c>
      <c r="AJ66" s="96">
        <f>IF(OR(FormFields[[#This Row],[Option Type]]="",FormFields[[#This Row],[Option Type]]="type"),0,1)</f>
        <v>1</v>
      </c>
      <c r="AK66" s="96" t="str">
        <f>'Table Seed Map'!$A$14&amp;"-"&amp;FormFields[[#This Row],[NO4]]</f>
        <v>Field Options-30</v>
      </c>
      <c r="AL66" s="96">
        <f>COUNTIF($AJ$2:FormFields[[#This Row],[Exists FO]],1)</f>
        <v>30</v>
      </c>
      <c r="AM66" s="96">
        <f>IF(FormFields[[#This Row],[NO4]]=0,"id",FormFields[[#This Row],[NO4]]+IF(ISNUMBER(VLOOKUP('Table Seed Map'!$A$14,SeedMap[],9,0)),VLOOKUP('Table Seed Map'!$A$14,SeedMap[],9,0),0))</f>
        <v>2113130</v>
      </c>
      <c r="AN66" s="104">
        <f>IF(FormFields[[#This Row],[ID]]="id","form_field",FormFields[[#This Row],[ID]])</f>
        <v>2111164</v>
      </c>
      <c r="AO66" s="105" t="s">
        <v>122</v>
      </c>
      <c r="AP66" s="105">
        <v>2123127</v>
      </c>
      <c r="AQ66" s="105" t="s">
        <v>21</v>
      </c>
      <c r="AR66" s="105" t="s">
        <v>23</v>
      </c>
      <c r="AS66" s="105"/>
      <c r="AT66" s="96">
        <f>IF(OR(FormFields[[#This Row],[Colspan]]="",FormFields[[#This Row],[Colspan]]="colspan"),0,1)</f>
        <v>0</v>
      </c>
      <c r="AU66" s="96" t="str">
        <f>'Table Seed Map'!$A$19&amp;"-"&amp;FormFields[[#This Row],[NO8]]</f>
        <v>Form Layout-7</v>
      </c>
      <c r="AV66" s="96">
        <f>COUNTIF($AT$1:FormFields[[#This Row],[Exists FL]],1)</f>
        <v>7</v>
      </c>
      <c r="AW6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6" s="96">
        <f>[Form]</f>
        <v>2110120</v>
      </c>
      <c r="AY66" s="96">
        <f>IF(FormFields[[#This Row],[ID]]="id","form_field",FormFields[[#This Row],[ID]])</f>
        <v>2111164</v>
      </c>
      <c r="AZ66" s="106"/>
      <c r="BA66" s="104">
        <f>FormFields[[#This Row],[ID]]</f>
        <v>2111164</v>
      </c>
    </row>
    <row r="67" spans="13:60">
      <c r="M67" s="95" t="str">
        <f>'Table Seed Map'!$A$12&amp;"-"&amp;FormFields[[#This Row],[No]]</f>
        <v>Form Fields-65</v>
      </c>
      <c r="N67" s="81" t="s">
        <v>1274</v>
      </c>
      <c r="O67" s="96">
        <f>COUNTA($N$1:FormFields[[#This Row],[Form Name]])-1</f>
        <v>65</v>
      </c>
      <c r="P67" s="95" t="str">
        <f>FormFields[[#This Row],[Form Name]]&amp;"/"&amp;FormFields[[#This Row],[Name]]</f>
        <v>Receipt/NewReceiptForm/amount</v>
      </c>
      <c r="Q67" s="96">
        <f>IF(FormFields[[#This Row],[No]]=0,"id",FormFields[[#This Row],[No]]+IF(ISNUMBER(VLOOKUP('Table Seed Map'!$A$12,SeedMap[],9,0)),VLOOKUP('Table Seed Map'!$A$12,SeedMap[],9,0),0))</f>
        <v>2111165</v>
      </c>
      <c r="R67" s="97">
        <f>IFERROR(VLOOKUP(FormFields[[#This Row],[Form Name]],ResourceForms[[FormName]:[ID]],4,0),"resource_form")</f>
        <v>2110120</v>
      </c>
      <c r="S67" s="98" t="s">
        <v>871</v>
      </c>
      <c r="T67" s="98" t="s">
        <v>1137</v>
      </c>
      <c r="U67" s="98" t="s">
        <v>1276</v>
      </c>
      <c r="V67" s="99"/>
      <c r="W67" s="99"/>
      <c r="X67" s="99"/>
      <c r="Y67" s="99"/>
      <c r="Z67" s="100" t="str">
        <f>'Table Seed Map'!$A$13&amp;"-"&amp;FormFields[[#This Row],[NO2]]</f>
        <v>Field Data-65</v>
      </c>
      <c r="AA67" s="101">
        <f>COUNTIFS($AB$1:FormFields[[#This Row],[Exists]],1)-1</f>
        <v>65</v>
      </c>
      <c r="AB67" s="101">
        <f>IF(AND(FormFields[[#This Row],[Attribute]]="",FormFields[[#This Row],[Rel]]=""),0,1)</f>
        <v>1</v>
      </c>
      <c r="AC67" s="101">
        <f>IF(FormFields[[#This Row],[NO2]]=0,"id",FormFields[[#This Row],[NO2]]+IF(ISNUMBER(VLOOKUP('Table Seed Map'!$A$13,SeedMap[],9,0)),VLOOKUP('Table Seed Map'!$A$13,SeedMap[],9,0),0))</f>
        <v>2112165</v>
      </c>
      <c r="AD67" s="102">
        <f>IF(FormFields[[#This Row],[ID]]="id","form_field",FormFields[[#This Row],[ID]])</f>
        <v>2111165</v>
      </c>
      <c r="AE67" s="101" t="str">
        <f>IF(FormFields[[#This Row],[No]]=0,"attribute",FormFields[[#This Row],[Name]])</f>
        <v>amount</v>
      </c>
      <c r="AF67" s="103" t="str">
        <f>IF(FormFields[[#This Row],[NO2]]=0,"relation",IF(FormFields[[#This Row],[Rel]]="","",VLOOKUP(FormFields[[#This Row],[Rel]],RelationTable[[Display]:[RELID]],2,0)))</f>
        <v/>
      </c>
      <c r="AG67" s="103" t="str">
        <f>IF(FormFields[[#This Row],[NO2]]=0,"nest_relation1",IF(FormFields[[#This Row],[Rel1]]="","",VLOOKUP(FormFields[[#This Row],[Rel1]],RelationTable[[Display]:[RELID]],2,0)))</f>
        <v/>
      </c>
      <c r="AH67" s="103" t="str">
        <f>IF(FormFields[[#This Row],[NO2]]=0,"nest_relation2",IF(FormFields[[#This Row],[Rel2]]="","",VLOOKUP(FormFields[[#This Row],[Rel2]],RelationTable[[Display]:[RELID]],2,0)))</f>
        <v/>
      </c>
      <c r="AI67" s="103" t="str">
        <f>IF(FormFields[[#This Row],[NO2]]=0,"nest_relation3",IF(FormFields[[#This Row],[Rel3]]="","",VLOOKUP(FormFields[[#This Row],[Rel3]],RelationTable[[Display]:[RELID]],2,0)))</f>
        <v/>
      </c>
      <c r="AJ67" s="96">
        <f>IF(OR(FormFields[[#This Row],[Option Type]]="",FormFields[[#This Row],[Option Type]]="type"),0,1)</f>
        <v>0</v>
      </c>
      <c r="AK67" s="96" t="str">
        <f>'Table Seed Map'!$A$14&amp;"-"&amp;FormFields[[#This Row],[NO4]]</f>
        <v>Field Options-30</v>
      </c>
      <c r="AL67" s="96">
        <f>COUNTIF($AJ$2:FormFields[[#This Row],[Exists FO]],1)</f>
        <v>30</v>
      </c>
      <c r="AM67" s="96">
        <f>IF(FormFields[[#This Row],[NO4]]=0,"id",FormFields[[#This Row],[NO4]]+IF(ISNUMBER(VLOOKUP('Table Seed Map'!$A$14,SeedMap[],9,0)),VLOOKUP('Table Seed Map'!$A$14,SeedMap[],9,0),0))</f>
        <v>2113130</v>
      </c>
      <c r="AN67" s="104">
        <f>IF(FormFields[[#This Row],[ID]]="id","form_field",FormFields[[#This Row],[ID]])</f>
        <v>2111165</v>
      </c>
      <c r="AO67" s="105"/>
      <c r="AP67" s="105"/>
      <c r="AQ67" s="105"/>
      <c r="AR67" s="105"/>
      <c r="AS67" s="105"/>
      <c r="AT67" s="96">
        <f>IF(OR(FormFields[[#This Row],[Colspan]]="",FormFields[[#This Row],[Colspan]]="colspan"),0,1)</f>
        <v>0</v>
      </c>
      <c r="AU67" s="96" t="str">
        <f>'Table Seed Map'!$A$19&amp;"-"&amp;FormFields[[#This Row],[NO8]]</f>
        <v>Form Layout-7</v>
      </c>
      <c r="AV67" s="96">
        <f>COUNTIF($AT$1:FormFields[[#This Row],[Exists FL]],1)</f>
        <v>7</v>
      </c>
      <c r="AW6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7" s="96">
        <f>[Form]</f>
        <v>2110120</v>
      </c>
      <c r="AY67" s="96">
        <f>IF(FormFields[[#This Row],[ID]]="id","form_field",FormFields[[#This Row],[ID]])</f>
        <v>2111165</v>
      </c>
      <c r="AZ67" s="106"/>
      <c r="BA67" s="104">
        <f>FormFields[[#This Row],[ID]]</f>
        <v>2111165</v>
      </c>
    </row>
    <row r="68" spans="13:60">
      <c r="M68" s="95" t="str">
        <f>'Table Seed Map'!$A$12&amp;"-"&amp;FormFields[[#This Row],[No]]</f>
        <v>Form Fields-66</v>
      </c>
      <c r="N68" s="81" t="s">
        <v>1282</v>
      </c>
      <c r="O68" s="96">
        <f>COUNTA($N$1:FormFields[[#This Row],[Form Name]])-1</f>
        <v>66</v>
      </c>
      <c r="P68" s="95" t="str">
        <f>FormFields[[#This Row],[Form Name]]&amp;"/"&amp;FormFields[[#This Row],[Name]]</f>
        <v>Delivery/NewOrderDeliveryForm/date</v>
      </c>
      <c r="Q68" s="96">
        <f>IF(FormFields[[#This Row],[No]]=0,"id",FormFields[[#This Row],[No]]+IF(ISNUMBER(VLOOKUP('Table Seed Map'!$A$12,SeedMap[],9,0)),VLOOKUP('Table Seed Map'!$A$12,SeedMap[],9,0),0))</f>
        <v>2111166</v>
      </c>
      <c r="R68" s="97">
        <f>IFERROR(VLOOKUP(FormFields[[#This Row],[Form Name]],ResourceForms[[FormName]:[ID]],4,0),"resource_form")</f>
        <v>2110121</v>
      </c>
      <c r="S68" s="98" t="s">
        <v>827</v>
      </c>
      <c r="T68" s="98" t="s">
        <v>1137</v>
      </c>
      <c r="U68" s="98" t="s">
        <v>1244</v>
      </c>
      <c r="V68" s="99"/>
      <c r="W68" s="99"/>
      <c r="X68" s="99"/>
      <c r="Y68" s="99"/>
      <c r="Z68" s="100" t="str">
        <f>'Table Seed Map'!$A$13&amp;"-"&amp;FormFields[[#This Row],[NO2]]</f>
        <v>Field Data-66</v>
      </c>
      <c r="AA68" s="101">
        <f>COUNTIFS($AB$1:FormFields[[#This Row],[Exists]],1)-1</f>
        <v>66</v>
      </c>
      <c r="AB68" s="101">
        <f>IF(AND(FormFields[[#This Row],[Attribute]]="",FormFields[[#This Row],[Rel]]=""),0,1)</f>
        <v>1</v>
      </c>
      <c r="AC68" s="101">
        <f>IF(FormFields[[#This Row],[NO2]]=0,"id",FormFields[[#This Row],[NO2]]+IF(ISNUMBER(VLOOKUP('Table Seed Map'!$A$13,SeedMap[],9,0)),VLOOKUP('Table Seed Map'!$A$13,SeedMap[],9,0),0))</f>
        <v>2112166</v>
      </c>
      <c r="AD68" s="102">
        <f>IF(FormFields[[#This Row],[ID]]="id","form_field",FormFields[[#This Row],[ID]])</f>
        <v>2111166</v>
      </c>
      <c r="AE68" s="101" t="str">
        <f>IF(FormFields[[#This Row],[No]]=0,"attribute",FormFields[[#This Row],[Name]])</f>
        <v>date</v>
      </c>
      <c r="AF68" s="103" t="str">
        <f>IF(FormFields[[#This Row],[NO2]]=0,"relation",IF(FormFields[[#This Row],[Rel]]="","",VLOOKUP(FormFields[[#This Row],[Rel]],RelationTable[[Display]:[RELID]],2,0)))</f>
        <v/>
      </c>
      <c r="AG68" s="103" t="str">
        <f>IF(FormFields[[#This Row],[NO2]]=0,"nest_relation1",IF(FormFields[[#This Row],[Rel1]]="","",VLOOKUP(FormFields[[#This Row],[Rel1]],RelationTable[[Display]:[RELID]],2,0)))</f>
        <v/>
      </c>
      <c r="AH68" s="103" t="str">
        <f>IF(FormFields[[#This Row],[NO2]]=0,"nest_relation2",IF(FormFields[[#This Row],[Rel2]]="","",VLOOKUP(FormFields[[#This Row],[Rel2]],RelationTable[[Display]:[RELID]],2,0)))</f>
        <v/>
      </c>
      <c r="AI68" s="103" t="str">
        <f>IF(FormFields[[#This Row],[NO2]]=0,"nest_relation3",IF(FormFields[[#This Row],[Rel3]]="","",VLOOKUP(FormFields[[#This Row],[Rel3]],RelationTable[[Display]:[RELID]],2,0)))</f>
        <v/>
      </c>
      <c r="AJ68" s="96">
        <f>IF(OR(FormFields[[#This Row],[Option Type]]="",FormFields[[#This Row],[Option Type]]="type"),0,1)</f>
        <v>0</v>
      </c>
      <c r="AK68" s="96" t="str">
        <f>'Table Seed Map'!$A$14&amp;"-"&amp;FormFields[[#This Row],[NO4]]</f>
        <v>Field Options-30</v>
      </c>
      <c r="AL68" s="96">
        <f>COUNTIF($AJ$2:FormFields[[#This Row],[Exists FO]],1)</f>
        <v>30</v>
      </c>
      <c r="AM68" s="96">
        <f>IF(FormFields[[#This Row],[NO4]]=0,"id",FormFields[[#This Row],[NO4]]+IF(ISNUMBER(VLOOKUP('Table Seed Map'!$A$14,SeedMap[],9,0)),VLOOKUP('Table Seed Map'!$A$14,SeedMap[],9,0),0))</f>
        <v>2113130</v>
      </c>
      <c r="AN68" s="104">
        <f>IF(FormFields[[#This Row],[ID]]="id","form_field",FormFields[[#This Row],[ID]])</f>
        <v>2111166</v>
      </c>
      <c r="AO68" s="105"/>
      <c r="AP68" s="105"/>
      <c r="AQ68" s="105"/>
      <c r="AR68" s="105"/>
      <c r="AS68" s="105"/>
      <c r="AT68" s="96">
        <f>IF(OR(FormFields[[#This Row],[Colspan]]="",FormFields[[#This Row],[Colspan]]="colspan"),0,1)</f>
        <v>0</v>
      </c>
      <c r="AU68" s="96" t="str">
        <f>'Table Seed Map'!$A$19&amp;"-"&amp;FormFields[[#This Row],[NO8]]</f>
        <v>Form Layout-7</v>
      </c>
      <c r="AV68" s="96">
        <f>COUNTIF($AT$1:FormFields[[#This Row],[Exists FL]],1)</f>
        <v>7</v>
      </c>
      <c r="AW6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8" s="96">
        <f>[Form]</f>
        <v>2110121</v>
      </c>
      <c r="AY68" s="96">
        <f>IF(FormFields[[#This Row],[ID]]="id","form_field",FormFields[[#This Row],[ID]])</f>
        <v>2111166</v>
      </c>
      <c r="AZ68" s="106"/>
      <c r="BA68" s="104">
        <f>FormFields[[#This Row],[ID]]</f>
        <v>2111166</v>
      </c>
    </row>
    <row r="69" spans="13:60">
      <c r="M69" s="95" t="str">
        <f>'Table Seed Map'!$A$12&amp;"-"&amp;FormFields[[#This Row],[No]]</f>
        <v>Form Fields-67</v>
      </c>
      <c r="N69" s="81" t="s">
        <v>1282</v>
      </c>
      <c r="O69" s="96">
        <f>COUNTA($N$1:FormFields[[#This Row],[Form Name]])-1</f>
        <v>67</v>
      </c>
      <c r="P69" s="95" t="str">
        <f>FormFields[[#This Row],[Form Name]]&amp;"/"&amp;FormFields[[#This Row],[Name]]</f>
        <v>Delivery/NewOrderDeliveryForm/order</v>
      </c>
      <c r="Q69" s="96">
        <f>IF(FormFields[[#This Row],[No]]=0,"id",FormFields[[#This Row],[No]]+IF(ISNUMBER(VLOOKUP('Table Seed Map'!$A$12,SeedMap[],9,0)),VLOOKUP('Table Seed Map'!$A$12,SeedMap[],9,0),0))</f>
        <v>2111167</v>
      </c>
      <c r="R69" s="97">
        <f>IFERROR(VLOOKUP(FormFields[[#This Row],[Form Name]],ResourceForms[[FormName]:[ID]],4,0),"resource_form")</f>
        <v>2110121</v>
      </c>
      <c r="S69" s="98" t="s">
        <v>833</v>
      </c>
      <c r="T69" s="98" t="s">
        <v>1189</v>
      </c>
      <c r="U69" s="98" t="s">
        <v>1249</v>
      </c>
      <c r="V69" s="99"/>
      <c r="W69" s="99"/>
      <c r="X69" s="99"/>
      <c r="Y69" s="99"/>
      <c r="Z69" s="100" t="str">
        <f>'Table Seed Map'!$A$13&amp;"-"&amp;FormFields[[#This Row],[NO2]]</f>
        <v>Field Data-67</v>
      </c>
      <c r="AA69" s="101">
        <f>COUNTIFS($AB$1:FormFields[[#This Row],[Exists]],1)-1</f>
        <v>67</v>
      </c>
      <c r="AB69" s="101">
        <f>IF(AND(FormFields[[#This Row],[Attribute]]="",FormFields[[#This Row],[Rel]]=""),0,1)</f>
        <v>1</v>
      </c>
      <c r="AC69" s="101">
        <f>IF(FormFields[[#This Row],[NO2]]=0,"id",FormFields[[#This Row],[NO2]]+IF(ISNUMBER(VLOOKUP('Table Seed Map'!$A$13,SeedMap[],9,0)),VLOOKUP('Table Seed Map'!$A$13,SeedMap[],9,0),0))</f>
        <v>2112167</v>
      </c>
      <c r="AD69" s="102">
        <f>IF(FormFields[[#This Row],[ID]]="id","form_field",FormFields[[#This Row],[ID]])</f>
        <v>2111167</v>
      </c>
      <c r="AE69" s="101" t="str">
        <f>IF(FormFields[[#This Row],[No]]=0,"attribute",FormFields[[#This Row],[Name]])</f>
        <v>order</v>
      </c>
      <c r="AF69" s="103" t="str">
        <f>IF(FormFields[[#This Row],[NO2]]=0,"relation",IF(FormFields[[#This Row],[Rel]]="","",VLOOKUP(FormFields[[#This Row],[Rel]],RelationTable[[Display]:[RELID]],2,0)))</f>
        <v/>
      </c>
      <c r="AG69" s="103" t="str">
        <f>IF(FormFields[[#This Row],[NO2]]=0,"nest_relation1",IF(FormFields[[#This Row],[Rel1]]="","",VLOOKUP(FormFields[[#This Row],[Rel1]],RelationTable[[Display]:[RELID]],2,0)))</f>
        <v/>
      </c>
      <c r="AH69" s="103" t="str">
        <f>IF(FormFields[[#This Row],[NO2]]=0,"nest_relation2",IF(FormFields[[#This Row],[Rel2]]="","",VLOOKUP(FormFields[[#This Row],[Rel2]],RelationTable[[Display]:[RELID]],2,0)))</f>
        <v/>
      </c>
      <c r="AI69" s="103" t="str">
        <f>IF(FormFields[[#This Row],[NO2]]=0,"nest_relation3",IF(FormFields[[#This Row],[Rel3]]="","",VLOOKUP(FormFields[[#This Row],[Rel3]],RelationTable[[Display]:[RELID]],2,0)))</f>
        <v/>
      </c>
      <c r="AJ69" s="96">
        <f>IF(OR(FormFields[[#This Row],[Option Type]]="",FormFields[[#This Row],[Option Type]]="type"),0,1)</f>
        <v>1</v>
      </c>
      <c r="AK69" s="96" t="str">
        <f>'Table Seed Map'!$A$14&amp;"-"&amp;FormFields[[#This Row],[NO4]]</f>
        <v>Field Options-31</v>
      </c>
      <c r="AL69" s="96">
        <f>COUNTIF($AJ$2:FormFields[[#This Row],[Exists FO]],1)</f>
        <v>31</v>
      </c>
      <c r="AM69" s="96">
        <f>IF(FormFields[[#This Row],[NO4]]=0,"id",FormFields[[#This Row],[NO4]]+IF(ISNUMBER(VLOOKUP('Table Seed Map'!$A$14,SeedMap[],9,0)),VLOOKUP('Table Seed Map'!$A$14,SeedMap[],9,0),0))</f>
        <v>2113131</v>
      </c>
      <c r="AN69" s="104">
        <f>IF(FormFields[[#This Row],[ID]]="id","form_field",FormFields[[#This Row],[ID]])</f>
        <v>2111167</v>
      </c>
      <c r="AO69" s="105" t="s">
        <v>122</v>
      </c>
      <c r="AP69" s="105">
        <v>2123141</v>
      </c>
      <c r="AQ69" s="105" t="s">
        <v>21</v>
      </c>
      <c r="AR69" s="105" t="s">
        <v>23</v>
      </c>
      <c r="AS69" s="105"/>
      <c r="AT69" s="96">
        <f>IF(OR(FormFields[[#This Row],[Colspan]]="",FormFields[[#This Row],[Colspan]]="colspan"),0,1)</f>
        <v>0</v>
      </c>
      <c r="AU69" s="96" t="str">
        <f>'Table Seed Map'!$A$19&amp;"-"&amp;FormFields[[#This Row],[NO8]]</f>
        <v>Form Layout-7</v>
      </c>
      <c r="AV69" s="96">
        <f>COUNTIF($AT$1:FormFields[[#This Row],[Exists FL]],1)</f>
        <v>7</v>
      </c>
      <c r="AW6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9" s="96">
        <f>[Form]</f>
        <v>2110121</v>
      </c>
      <c r="AY69" s="96">
        <f>IF(FormFields[[#This Row],[ID]]="id","form_field",FormFields[[#This Row],[ID]])</f>
        <v>2111167</v>
      </c>
      <c r="AZ69" s="106"/>
      <c r="BA69" s="104">
        <f>FormFields[[#This Row],[ID]]</f>
        <v>2111167</v>
      </c>
    </row>
    <row r="70" spans="13:60">
      <c r="M70" s="95" t="str">
        <f>'Table Seed Map'!$A$12&amp;"-"&amp;FormFields[[#This Row],[No]]</f>
        <v>Form Fields-68</v>
      </c>
      <c r="N70" s="81" t="s">
        <v>1282</v>
      </c>
      <c r="O70" s="96">
        <f>COUNTA($N$1:FormFields[[#This Row],[Form Name]])-1</f>
        <v>68</v>
      </c>
      <c r="P70" s="95" t="str">
        <f>FormFields[[#This Row],[Form Name]]&amp;"/"&amp;FormFields[[#This Row],[Name]]</f>
        <v>Delivery/NewOrderDeliveryForm/oi</v>
      </c>
      <c r="Q70" s="96">
        <f>IF(FormFields[[#This Row],[No]]=0,"id",FormFields[[#This Row],[No]]+IF(ISNUMBER(VLOOKUP('Table Seed Map'!$A$12,SeedMap[],9,0)),VLOOKUP('Table Seed Map'!$A$12,SeedMap[],9,0),0))</f>
        <v>2111168</v>
      </c>
      <c r="R70" s="97">
        <f>IFERROR(VLOOKUP(FormFields[[#This Row],[Form Name]],ResourceForms[[FormName]:[ID]],4,0),"resource_form")</f>
        <v>2110121</v>
      </c>
      <c r="S70" s="98" t="s">
        <v>838</v>
      </c>
      <c r="T70" s="98" t="s">
        <v>1250</v>
      </c>
      <c r="U70" s="98" t="s">
        <v>1286</v>
      </c>
      <c r="V70" s="99"/>
      <c r="W70" s="99"/>
      <c r="X70" s="99"/>
      <c r="Y70" s="99"/>
      <c r="Z70" s="100"/>
      <c r="AA70" s="101"/>
      <c r="AB70" s="101"/>
      <c r="AC70" s="101"/>
      <c r="AD70" s="102"/>
      <c r="AE70" s="101"/>
      <c r="AF70" s="103" t="str">
        <f>IF(FormFields[[#This Row],[NO2]]=0,"relation",IF(FormFields[[#This Row],[Rel]]="","",VLOOKUP(FormFields[[#This Row],[Rel]],RelationTable[[Display]:[RELID]],2,0)))</f>
        <v>relation</v>
      </c>
      <c r="AG70" s="103" t="str">
        <f>IF(FormFields[[#This Row],[NO2]]=0,"nest_relation1",IF(FormFields[[#This Row],[Rel1]]="","",VLOOKUP(FormFields[[#This Row],[Rel1]],RelationTable[[Display]:[RELID]],2,0)))</f>
        <v>nest_relation1</v>
      </c>
      <c r="AH70" s="103" t="str">
        <f>IF(FormFields[[#This Row],[NO2]]=0,"nest_relation2",IF(FormFields[[#This Row],[Rel2]]="","",VLOOKUP(FormFields[[#This Row],[Rel2]],RelationTable[[Display]:[RELID]],2,0)))</f>
        <v>nest_relation2</v>
      </c>
      <c r="AI70" s="103" t="str">
        <f>IF(FormFields[[#This Row],[NO2]]=0,"nest_relation3",IF(FormFields[[#This Row],[Rel3]]="","",VLOOKUP(FormFields[[#This Row],[Rel3]],RelationTable[[Display]:[RELID]],2,0)))</f>
        <v>nest_relation3</v>
      </c>
      <c r="AJ70" s="96">
        <f>IF(OR(FormFields[[#This Row],[Option Type]]="",FormFields[[#This Row],[Option Type]]="type"),0,1)</f>
        <v>1</v>
      </c>
      <c r="AK70" s="96" t="str">
        <f>'Table Seed Map'!$A$14&amp;"-"&amp;FormFields[[#This Row],[NO4]]</f>
        <v>Field Options-32</v>
      </c>
      <c r="AL70" s="96">
        <f>COUNTIF($AJ$2:FormFields[[#This Row],[Exists FO]],1)</f>
        <v>32</v>
      </c>
      <c r="AM70" s="96">
        <f>IF(FormFields[[#This Row],[NO4]]=0,"id",FormFields[[#This Row],[NO4]]+IF(ISNUMBER(VLOOKUP('Table Seed Map'!$A$14,SeedMap[],9,0)),VLOOKUP('Table Seed Map'!$A$14,SeedMap[],9,0),0))</f>
        <v>2113132</v>
      </c>
      <c r="AN70" s="104">
        <f>IF(FormFields[[#This Row],[ID]]="id","form_field",FormFields[[#This Row],[ID]])</f>
        <v>2111168</v>
      </c>
      <c r="AO70" s="105" t="s">
        <v>122</v>
      </c>
      <c r="AP70" s="105">
        <v>2123130</v>
      </c>
      <c r="AQ70" s="105" t="s">
        <v>21</v>
      </c>
      <c r="AR70" s="105" t="s">
        <v>23</v>
      </c>
      <c r="AS70" s="105"/>
      <c r="AT70" s="96">
        <f>IF(OR(FormFields[[#This Row],[Colspan]]="",FormFields[[#This Row],[Colspan]]="colspan"),0,1)</f>
        <v>0</v>
      </c>
      <c r="AU70" s="96" t="str">
        <f>'Table Seed Map'!$A$19&amp;"-"&amp;FormFields[[#This Row],[NO8]]</f>
        <v>Form Layout-7</v>
      </c>
      <c r="AV70" s="96">
        <f>COUNTIF($AT$1:FormFields[[#This Row],[Exists FL]],1)</f>
        <v>7</v>
      </c>
      <c r="AW7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0" s="96">
        <f>[Form]</f>
        <v>2110121</v>
      </c>
      <c r="AY70" s="96">
        <f>IF(FormFields[[#This Row],[ID]]="id","form_field",FormFields[[#This Row],[ID]])</f>
        <v>2111168</v>
      </c>
      <c r="AZ70" s="106"/>
      <c r="BA70" s="104">
        <f>FormFields[[#This Row],[ID]]</f>
        <v>2111168</v>
      </c>
    </row>
    <row r="71" spans="13:60">
      <c r="M71" s="95" t="str">
        <f>'Table Seed Map'!$A$12&amp;"-"&amp;FormFields[[#This Row],[No]]</f>
        <v>Form Fields-69</v>
      </c>
      <c r="N71" s="81" t="s">
        <v>1288</v>
      </c>
      <c r="O71" s="96">
        <f>COUNTA($N$1:FormFields[[#This Row],[Form Name]])-1</f>
        <v>69</v>
      </c>
      <c r="P71" s="95" t="str">
        <f>FormFields[[#This Row],[Form Name]]&amp;"/"&amp;FormFields[[#This Row],[Name]]</f>
        <v>HubShift/NewHubShiftProcessForm/source_hub</v>
      </c>
      <c r="Q71" s="96">
        <f>IF(FormFields[[#This Row],[No]]=0,"id",FormFields[[#This Row],[No]]+IF(ISNUMBER(VLOOKUP('Table Seed Map'!$A$12,SeedMap[],9,0)),VLOOKUP('Table Seed Map'!$A$12,SeedMap[],9,0),0))</f>
        <v>2111169</v>
      </c>
      <c r="R71" s="97">
        <f>IFERROR(VLOOKUP(FormFields[[#This Row],[Form Name]],ResourceForms[[FormName]:[ID]],4,0),"resource_form")</f>
        <v>2110123</v>
      </c>
      <c r="S71" s="98" t="s">
        <v>874</v>
      </c>
      <c r="T71" s="98" t="s">
        <v>1189</v>
      </c>
      <c r="U71" s="98" t="s">
        <v>1289</v>
      </c>
      <c r="V71" s="99"/>
      <c r="W71" s="99"/>
      <c r="X71" s="99"/>
      <c r="Y71" s="99"/>
      <c r="Z71" s="100" t="str">
        <f>'Table Seed Map'!$A$13&amp;"-"&amp;FormFields[[#This Row],[NO2]]</f>
        <v>Field Data-68</v>
      </c>
      <c r="AA71" s="101">
        <f>COUNTIFS($AB$1:FormFields[[#This Row],[Exists]],1)-1</f>
        <v>68</v>
      </c>
      <c r="AB71" s="101">
        <f>IF(AND(FormFields[[#This Row],[Attribute]]="",FormFields[[#This Row],[Rel]]=""),0,1)</f>
        <v>1</v>
      </c>
      <c r="AC71" s="101">
        <f>IF(FormFields[[#This Row],[NO2]]=0,"id",FormFields[[#This Row],[NO2]]+IF(ISNUMBER(VLOOKUP('Table Seed Map'!$A$13,SeedMap[],9,0)),VLOOKUP('Table Seed Map'!$A$13,SeedMap[],9,0),0))</f>
        <v>2112168</v>
      </c>
      <c r="AD71" s="102">
        <f>IF(FormFields[[#This Row],[ID]]="id","form_field",FormFields[[#This Row],[ID]])</f>
        <v>2111169</v>
      </c>
      <c r="AE71" s="101" t="str">
        <f>IF(FormFields[[#This Row],[No]]=0,"attribute",FormFields[[#This Row],[Name]])</f>
        <v>source_hub</v>
      </c>
      <c r="AF71" s="103" t="str">
        <f>IF(FormFields[[#This Row],[NO2]]=0,"relation",IF(FormFields[[#This Row],[Rel]]="","",VLOOKUP(FormFields[[#This Row],[Rel]],RelationTable[[Display]:[RELID]],2,0)))</f>
        <v/>
      </c>
      <c r="AG71" s="103" t="str">
        <f>IF(FormFields[[#This Row],[NO2]]=0,"nest_relation1",IF(FormFields[[#This Row],[Rel1]]="","",VLOOKUP(FormFields[[#This Row],[Rel1]],RelationTable[[Display]:[RELID]],2,0)))</f>
        <v/>
      </c>
      <c r="AH71" s="103" t="str">
        <f>IF(FormFields[[#This Row],[NO2]]=0,"nest_relation2",IF(FormFields[[#This Row],[Rel2]]="","",VLOOKUP(FormFields[[#This Row],[Rel2]],RelationTable[[Display]:[RELID]],2,0)))</f>
        <v/>
      </c>
      <c r="AI71" s="103" t="str">
        <f>IF(FormFields[[#This Row],[NO2]]=0,"nest_relation3",IF(FormFields[[#This Row],[Rel3]]="","",VLOOKUP(FormFields[[#This Row],[Rel3]],RelationTable[[Display]:[RELID]],2,0)))</f>
        <v/>
      </c>
      <c r="AJ71" s="96">
        <f>IF(OR(FormFields[[#This Row],[Option Type]]="",FormFields[[#This Row],[Option Type]]="type"),0,1)</f>
        <v>1</v>
      </c>
      <c r="AK71" s="96" t="str">
        <f>'Table Seed Map'!$A$14&amp;"-"&amp;FormFields[[#This Row],[NO4]]</f>
        <v>Field Options-33</v>
      </c>
      <c r="AL71" s="96">
        <f>COUNTIF($AJ$2:FormFields[[#This Row],[Exists FO]],1)</f>
        <v>33</v>
      </c>
      <c r="AM71" s="96">
        <f>IF(FormFields[[#This Row],[NO4]]=0,"id",FormFields[[#This Row],[NO4]]+IF(ISNUMBER(VLOOKUP('Table Seed Map'!$A$14,SeedMap[],9,0)),VLOOKUP('Table Seed Map'!$A$14,SeedMap[],9,0),0))</f>
        <v>2113133</v>
      </c>
      <c r="AN71" s="104">
        <f>IF(FormFields[[#This Row],[ID]]="id","form_field",FormFields[[#This Row],[ID]])</f>
        <v>2111169</v>
      </c>
      <c r="AO71" s="105" t="s">
        <v>122</v>
      </c>
      <c r="AP71" s="105">
        <v>2123129</v>
      </c>
      <c r="AQ71" s="105" t="s">
        <v>21</v>
      </c>
      <c r="AR71" s="105" t="s">
        <v>23</v>
      </c>
      <c r="AS71" s="105"/>
      <c r="AT71" s="96">
        <f>IF(OR(FormFields[[#This Row],[Colspan]]="",FormFields[[#This Row],[Colspan]]="colspan"),0,1)</f>
        <v>0</v>
      </c>
      <c r="AU71" s="96" t="str">
        <f>'Table Seed Map'!$A$19&amp;"-"&amp;FormFields[[#This Row],[NO8]]</f>
        <v>Form Layout-7</v>
      </c>
      <c r="AV71" s="96">
        <f>COUNTIF($AT$1:FormFields[[#This Row],[Exists FL]],1)</f>
        <v>7</v>
      </c>
      <c r="AW7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1" s="96">
        <f>[Form]</f>
        <v>2110123</v>
      </c>
      <c r="AY71" s="96">
        <f>IF(FormFields[[#This Row],[ID]]="id","form_field",FormFields[[#This Row],[ID]])</f>
        <v>2111169</v>
      </c>
      <c r="AZ71" s="106"/>
      <c r="BA71" s="104">
        <f>FormFields[[#This Row],[ID]]</f>
        <v>2111169</v>
      </c>
    </row>
    <row r="72" spans="13:60">
      <c r="M72" s="95" t="str">
        <f>'Table Seed Map'!$A$12&amp;"-"&amp;FormFields[[#This Row],[No]]</f>
        <v>Form Fields-70</v>
      </c>
      <c r="N72" s="81" t="s">
        <v>1288</v>
      </c>
      <c r="O72" s="96">
        <f>COUNTA($N$1:FormFields[[#This Row],[Form Name]])-1</f>
        <v>70</v>
      </c>
      <c r="P72" s="95" t="str">
        <f>FormFields[[#This Row],[Form Name]]&amp;"/"&amp;FormFields[[#This Row],[Name]]</f>
        <v>HubShift/NewHubShiftProcessForm/destination_hub</v>
      </c>
      <c r="Q72" s="96">
        <f>IF(FormFields[[#This Row],[No]]=0,"id",FormFields[[#This Row],[No]]+IF(ISNUMBER(VLOOKUP('Table Seed Map'!$A$12,SeedMap[],9,0)),VLOOKUP('Table Seed Map'!$A$12,SeedMap[],9,0),0))</f>
        <v>2111170</v>
      </c>
      <c r="R72" s="97">
        <f>IFERROR(VLOOKUP(FormFields[[#This Row],[Form Name]],ResourceForms[[FormName]:[ID]],4,0),"resource_form")</f>
        <v>2110123</v>
      </c>
      <c r="S72" s="98" t="s">
        <v>875</v>
      </c>
      <c r="T72" s="98" t="s">
        <v>1189</v>
      </c>
      <c r="U72" s="98" t="s">
        <v>1290</v>
      </c>
      <c r="V72" s="99"/>
      <c r="W72" s="99"/>
      <c r="X72" s="99"/>
      <c r="Y72" s="99"/>
      <c r="Z72" s="100" t="str">
        <f>'Table Seed Map'!$A$13&amp;"-"&amp;FormFields[[#This Row],[NO2]]</f>
        <v>Field Data-69</v>
      </c>
      <c r="AA72" s="101">
        <f>COUNTIFS($AB$1:FormFields[[#This Row],[Exists]],1)-1</f>
        <v>69</v>
      </c>
      <c r="AB72" s="101">
        <f>IF(AND(FormFields[[#This Row],[Attribute]]="",FormFields[[#This Row],[Rel]]=""),0,1)</f>
        <v>1</v>
      </c>
      <c r="AC72" s="101">
        <f>IF(FormFields[[#This Row],[NO2]]=0,"id",FormFields[[#This Row],[NO2]]+IF(ISNUMBER(VLOOKUP('Table Seed Map'!$A$13,SeedMap[],9,0)),VLOOKUP('Table Seed Map'!$A$13,SeedMap[],9,0),0))</f>
        <v>2112169</v>
      </c>
      <c r="AD72" s="102">
        <f>IF(FormFields[[#This Row],[ID]]="id","form_field",FormFields[[#This Row],[ID]])</f>
        <v>2111170</v>
      </c>
      <c r="AE72" s="101" t="str">
        <f>IF(FormFields[[#This Row],[No]]=0,"attribute",FormFields[[#This Row],[Name]])</f>
        <v>destination_hub</v>
      </c>
      <c r="AF72" s="103" t="str">
        <f>IF(FormFields[[#This Row],[NO2]]=0,"relation",IF(FormFields[[#This Row],[Rel]]="","",VLOOKUP(FormFields[[#This Row],[Rel]],RelationTable[[Display]:[RELID]],2,0)))</f>
        <v/>
      </c>
      <c r="AG72" s="103" t="str">
        <f>IF(FormFields[[#This Row],[NO2]]=0,"nest_relation1",IF(FormFields[[#This Row],[Rel1]]="","",VLOOKUP(FormFields[[#This Row],[Rel1]],RelationTable[[Display]:[RELID]],2,0)))</f>
        <v/>
      </c>
      <c r="AH72" s="103" t="str">
        <f>IF(FormFields[[#This Row],[NO2]]=0,"nest_relation2",IF(FormFields[[#This Row],[Rel2]]="","",VLOOKUP(FormFields[[#This Row],[Rel2]],RelationTable[[Display]:[RELID]],2,0)))</f>
        <v/>
      </c>
      <c r="AI72" s="103" t="str">
        <f>IF(FormFields[[#This Row],[NO2]]=0,"nest_relation3",IF(FormFields[[#This Row],[Rel3]]="","",VLOOKUP(FormFields[[#This Row],[Rel3]],RelationTable[[Display]:[RELID]],2,0)))</f>
        <v/>
      </c>
      <c r="AJ72" s="96">
        <f>IF(OR(FormFields[[#This Row],[Option Type]]="",FormFields[[#This Row],[Option Type]]="type"),0,1)</f>
        <v>1</v>
      </c>
      <c r="AK72" s="96" t="str">
        <f>'Table Seed Map'!$A$14&amp;"-"&amp;FormFields[[#This Row],[NO4]]</f>
        <v>Field Options-34</v>
      </c>
      <c r="AL72" s="96">
        <f>COUNTIF($AJ$2:FormFields[[#This Row],[Exists FO]],1)</f>
        <v>34</v>
      </c>
      <c r="AM72" s="96">
        <f>IF(FormFields[[#This Row],[NO4]]=0,"id",FormFields[[#This Row],[NO4]]+IF(ISNUMBER(VLOOKUP('Table Seed Map'!$A$14,SeedMap[],9,0)),VLOOKUP('Table Seed Map'!$A$14,SeedMap[],9,0),0))</f>
        <v>2113134</v>
      </c>
      <c r="AN72" s="104">
        <f>IF(FormFields[[#This Row],[ID]]="id","form_field",FormFields[[#This Row],[ID]])</f>
        <v>2111170</v>
      </c>
      <c r="AO72" s="105" t="s">
        <v>278</v>
      </c>
      <c r="AP72" s="105"/>
      <c r="AQ72" s="105" t="s">
        <v>21</v>
      </c>
      <c r="AR72" s="105" t="s">
        <v>23</v>
      </c>
      <c r="AS72" s="105"/>
      <c r="AT72" s="96">
        <f>IF(OR(FormFields[[#This Row],[Colspan]]="",FormFields[[#This Row],[Colspan]]="colspan"),0,1)</f>
        <v>0</v>
      </c>
      <c r="AU72" s="96" t="str">
        <f>'Table Seed Map'!$A$19&amp;"-"&amp;FormFields[[#This Row],[NO8]]</f>
        <v>Form Layout-7</v>
      </c>
      <c r="AV72" s="96">
        <f>COUNTIF($AT$1:FormFields[[#This Row],[Exists FL]],1)</f>
        <v>7</v>
      </c>
      <c r="AW7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2" s="96">
        <f>[Form]</f>
        <v>2110123</v>
      </c>
      <c r="AY72" s="96">
        <f>IF(FormFields[[#This Row],[ID]]="id","form_field",FormFields[[#This Row],[ID]])</f>
        <v>2111170</v>
      </c>
      <c r="AZ72" s="106"/>
      <c r="BA72" s="104">
        <f>FormFields[[#This Row],[ID]]</f>
        <v>2111170</v>
      </c>
    </row>
    <row r="73" spans="13:60">
      <c r="M73" s="95" t="str">
        <f>'Table Seed Map'!$A$12&amp;"-"&amp;FormFields[[#This Row],[No]]</f>
        <v>Form Fields-71</v>
      </c>
      <c r="N73" s="81" t="s">
        <v>1288</v>
      </c>
      <c r="O73" s="96">
        <f>COUNTA($N$1:FormFields[[#This Row],[Form Name]])-1</f>
        <v>71</v>
      </c>
      <c r="P73" s="95" t="str">
        <f>FormFields[[#This Row],[Form Name]]&amp;"/"&amp;FormFields[[#This Row],[Name]]</f>
        <v>HubShift/NewHubShiftProcessForm/date</v>
      </c>
      <c r="Q73" s="96">
        <f>IF(FormFields[[#This Row],[No]]=0,"id",FormFields[[#This Row],[No]]+IF(ISNUMBER(VLOOKUP('Table Seed Map'!$A$12,SeedMap[],9,0)),VLOOKUP('Table Seed Map'!$A$12,SeedMap[],9,0),0))</f>
        <v>2111171</v>
      </c>
      <c r="R73" s="97">
        <f>IFERROR(VLOOKUP(FormFields[[#This Row],[Form Name]],ResourceForms[[FormName]:[ID]],4,0),"resource_form")</f>
        <v>2110123</v>
      </c>
      <c r="S73" s="98" t="s">
        <v>827</v>
      </c>
      <c r="T73" s="98" t="s">
        <v>1137</v>
      </c>
      <c r="U73" s="98" t="s">
        <v>1331</v>
      </c>
      <c r="V73" s="99"/>
      <c r="W73" s="99"/>
      <c r="X73" s="99"/>
      <c r="Y73" s="99"/>
      <c r="Z73" s="100" t="str">
        <f>'Table Seed Map'!$A$13&amp;"-"&amp;FormFields[[#This Row],[NO2]]</f>
        <v>Field Data-70</v>
      </c>
      <c r="AA73" s="101">
        <f>COUNTIFS($AB$1:FormFields[[#This Row],[Exists]],1)-1</f>
        <v>70</v>
      </c>
      <c r="AB73" s="101">
        <f>IF(AND(FormFields[[#This Row],[Attribute]]="",FormFields[[#This Row],[Rel]]=""),0,1)</f>
        <v>1</v>
      </c>
      <c r="AC73" s="101">
        <f>IF(FormFields[[#This Row],[NO2]]=0,"id",FormFields[[#This Row],[NO2]]+IF(ISNUMBER(VLOOKUP('Table Seed Map'!$A$13,SeedMap[],9,0)),VLOOKUP('Table Seed Map'!$A$13,SeedMap[],9,0),0))</f>
        <v>2112170</v>
      </c>
      <c r="AD73" s="102">
        <f>IF(FormFields[[#This Row],[ID]]="id","form_field",FormFields[[#This Row],[ID]])</f>
        <v>2111171</v>
      </c>
      <c r="AE73" s="101" t="str">
        <f>IF(FormFields[[#This Row],[No]]=0,"attribute",FormFields[[#This Row],[Name]])</f>
        <v>date</v>
      </c>
      <c r="AF73" s="103" t="str">
        <f>IF(FormFields[[#This Row],[NO2]]=0,"relation",IF(FormFields[[#This Row],[Rel]]="","",VLOOKUP(FormFields[[#This Row],[Rel]],RelationTable[[Display]:[RELID]],2,0)))</f>
        <v/>
      </c>
      <c r="AG73" s="103" t="str">
        <f>IF(FormFields[[#This Row],[NO2]]=0,"nest_relation1",IF(FormFields[[#This Row],[Rel1]]="","",VLOOKUP(FormFields[[#This Row],[Rel1]],RelationTable[[Display]:[RELID]],2,0)))</f>
        <v/>
      </c>
      <c r="AH73" s="103" t="str">
        <f>IF(FormFields[[#This Row],[NO2]]=0,"nest_relation2",IF(FormFields[[#This Row],[Rel2]]="","",VLOOKUP(FormFields[[#This Row],[Rel2]],RelationTable[[Display]:[RELID]],2,0)))</f>
        <v/>
      </c>
      <c r="AI73" s="103" t="str">
        <f>IF(FormFields[[#This Row],[NO2]]=0,"nest_relation3",IF(FormFields[[#This Row],[Rel3]]="","",VLOOKUP(FormFields[[#This Row],[Rel3]],RelationTable[[Display]:[RELID]],2,0)))</f>
        <v/>
      </c>
      <c r="AJ73" s="96">
        <f>IF(OR(FormFields[[#This Row],[Option Type]]="",FormFields[[#This Row],[Option Type]]="type"),0,1)</f>
        <v>0</v>
      </c>
      <c r="AK73" s="96" t="str">
        <f>'Table Seed Map'!$A$14&amp;"-"&amp;FormFields[[#This Row],[NO4]]</f>
        <v>Field Options-34</v>
      </c>
      <c r="AL73" s="96">
        <f>COUNTIF($AJ$2:FormFields[[#This Row],[Exists FO]],1)</f>
        <v>34</v>
      </c>
      <c r="AM73" s="96">
        <f>IF(FormFields[[#This Row],[NO4]]=0,"id",FormFields[[#This Row],[NO4]]+IF(ISNUMBER(VLOOKUP('Table Seed Map'!$A$14,SeedMap[],9,0)),VLOOKUP('Table Seed Map'!$A$14,SeedMap[],9,0),0))</f>
        <v>2113134</v>
      </c>
      <c r="AN73" s="104">
        <f>IF(FormFields[[#This Row],[ID]]="id","form_field",FormFields[[#This Row],[ID]])</f>
        <v>2111171</v>
      </c>
      <c r="AO73" s="105"/>
      <c r="AP73" s="105"/>
      <c r="AQ73" s="105"/>
      <c r="AR73" s="105"/>
      <c r="AS73" s="105"/>
      <c r="AT73" s="96">
        <f>IF(OR(FormFields[[#This Row],[Colspan]]="",FormFields[[#This Row],[Colspan]]="colspan"),0,1)</f>
        <v>0</v>
      </c>
      <c r="AU73" s="96" t="str">
        <f>'Table Seed Map'!$A$19&amp;"-"&amp;FormFields[[#This Row],[NO8]]</f>
        <v>Form Layout-7</v>
      </c>
      <c r="AV73" s="96">
        <f>COUNTIF($AT$1:FormFields[[#This Row],[Exists FL]],1)</f>
        <v>7</v>
      </c>
      <c r="AW7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3" s="96">
        <f>[Form]</f>
        <v>2110123</v>
      </c>
      <c r="AY73" s="96">
        <f>IF(FormFields[[#This Row],[ID]]="id","form_field",FormFields[[#This Row],[ID]])</f>
        <v>2111171</v>
      </c>
      <c r="AZ73" s="106"/>
      <c r="BA73" s="104">
        <f>FormFields[[#This Row],[ID]]</f>
        <v>2111171</v>
      </c>
    </row>
    <row r="74" spans="13:60">
      <c r="M74" s="95" t="str">
        <f>'Table Seed Map'!$A$12&amp;"-"&amp;FormFields[[#This Row],[No]]</f>
        <v>Form Fields-72</v>
      </c>
      <c r="N74" s="81" t="s">
        <v>1288</v>
      </c>
      <c r="O74" s="96">
        <f>COUNTA($N$1:FormFields[[#This Row],[Form Name]])-1</f>
        <v>72</v>
      </c>
      <c r="P74" s="95" t="str">
        <f>FormFields[[#This Row],[Form Name]]&amp;"/"&amp;FormFields[[#This Row],[Name]]</f>
        <v>HubShift/NewHubShiftProcessForm/status</v>
      </c>
      <c r="Q74" s="96">
        <f>IF(FormFields[[#This Row],[No]]=0,"id",FormFields[[#This Row],[No]]+IF(ISNUMBER(VLOOKUP('Table Seed Map'!$A$12,SeedMap[],9,0)),VLOOKUP('Table Seed Map'!$A$12,SeedMap[],9,0),0))</f>
        <v>2111172</v>
      </c>
      <c r="R74" s="97">
        <f>IFERROR(VLOOKUP(FormFields[[#This Row],[Form Name]],ResourceForms[[FormName]:[ID]],4,0),"resource_form")</f>
        <v>2110123</v>
      </c>
      <c r="S74" s="98" t="s">
        <v>804</v>
      </c>
      <c r="T74" s="98" t="s">
        <v>1189</v>
      </c>
      <c r="U74" s="98" t="s">
        <v>1190</v>
      </c>
      <c r="V74" s="99"/>
      <c r="W74" s="99"/>
      <c r="X74" s="99"/>
      <c r="Y74" s="99"/>
      <c r="Z74" s="100" t="str">
        <f>'Table Seed Map'!$A$13&amp;"-"&amp;FormFields[[#This Row],[NO2]]</f>
        <v>Field Data-71</v>
      </c>
      <c r="AA74" s="101">
        <f>COUNTIFS($AB$1:FormFields[[#This Row],[Exists]],1)-1</f>
        <v>71</v>
      </c>
      <c r="AB74" s="101">
        <f>IF(AND(FormFields[[#This Row],[Attribute]]="",FormFields[[#This Row],[Rel]]=""),0,1)</f>
        <v>1</v>
      </c>
      <c r="AC74" s="101">
        <f>IF(FormFields[[#This Row],[NO2]]=0,"id",FormFields[[#This Row],[NO2]]+IF(ISNUMBER(VLOOKUP('Table Seed Map'!$A$13,SeedMap[],9,0)),VLOOKUP('Table Seed Map'!$A$13,SeedMap[],9,0),0))</f>
        <v>2112171</v>
      </c>
      <c r="AD74" s="102">
        <f>IF(FormFields[[#This Row],[ID]]="id","form_field",FormFields[[#This Row],[ID]])</f>
        <v>2111172</v>
      </c>
      <c r="AE74" s="101" t="str">
        <f>IF(FormFields[[#This Row],[No]]=0,"attribute",FormFields[[#This Row],[Name]])</f>
        <v>status</v>
      </c>
      <c r="AF74" s="103" t="str">
        <f>IF(FormFields[[#This Row],[NO2]]=0,"relation",IF(FormFields[[#This Row],[Rel]]="","",VLOOKUP(FormFields[[#This Row],[Rel]],RelationTable[[Display]:[RELID]],2,0)))</f>
        <v/>
      </c>
      <c r="AG74" s="103" t="str">
        <f>IF(FormFields[[#This Row],[NO2]]=0,"nest_relation1",IF(FormFields[[#This Row],[Rel1]]="","",VLOOKUP(FormFields[[#This Row],[Rel1]],RelationTable[[Display]:[RELID]],2,0)))</f>
        <v/>
      </c>
      <c r="AH74" s="103" t="str">
        <f>IF(FormFields[[#This Row],[NO2]]=0,"nest_relation2",IF(FormFields[[#This Row],[Rel2]]="","",VLOOKUP(FormFields[[#This Row],[Rel2]],RelationTable[[Display]:[RELID]],2,0)))</f>
        <v/>
      </c>
      <c r="AI74" s="103" t="str">
        <f>IF(FormFields[[#This Row],[NO2]]=0,"nest_relation3",IF(FormFields[[#This Row],[Rel3]]="","",VLOOKUP(FormFields[[#This Row],[Rel3]],RelationTable[[Display]:[RELID]],2,0)))</f>
        <v/>
      </c>
      <c r="AJ74" s="96">
        <f>IF(OR(FormFields[[#This Row],[Option Type]]="",FormFields[[#This Row],[Option Type]]="type"),0,1)</f>
        <v>1</v>
      </c>
      <c r="AK74" s="96" t="str">
        <f>'Table Seed Map'!$A$14&amp;"-"&amp;FormFields[[#This Row],[NO4]]</f>
        <v>Field Options-35</v>
      </c>
      <c r="AL74" s="96">
        <f>COUNTIF($AJ$2:FormFields[[#This Row],[Exists FO]],1)</f>
        <v>35</v>
      </c>
      <c r="AM74" s="96">
        <f>IF(FormFields[[#This Row],[NO4]]=0,"id",FormFields[[#This Row],[NO4]]+IF(ISNUMBER(VLOOKUP('Table Seed Map'!$A$14,SeedMap[],9,0)),VLOOKUP('Table Seed Map'!$A$14,SeedMap[],9,0),0))</f>
        <v>2113135</v>
      </c>
      <c r="AN74" s="104">
        <f>IF(FormFields[[#This Row],[ID]]="id","form_field",FormFields[[#This Row],[ID]])</f>
        <v>2111172</v>
      </c>
      <c r="AO74" s="105" t="s">
        <v>1191</v>
      </c>
      <c r="AP74" s="105"/>
      <c r="AQ74" s="105"/>
      <c r="AR74" s="105"/>
      <c r="AS74" s="105"/>
      <c r="AT74" s="96">
        <f>IF(OR(FormFields[[#This Row],[Colspan]]="",FormFields[[#This Row],[Colspan]]="colspan"),0,1)</f>
        <v>0</v>
      </c>
      <c r="AU74" s="96" t="str">
        <f>'Table Seed Map'!$A$19&amp;"-"&amp;FormFields[[#This Row],[NO8]]</f>
        <v>Form Layout-7</v>
      </c>
      <c r="AV74" s="96">
        <f>COUNTIF($AT$1:FormFields[[#This Row],[Exists FL]],1)</f>
        <v>7</v>
      </c>
      <c r="AW7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4" s="96">
        <f>[Form]</f>
        <v>2110123</v>
      </c>
      <c r="AY74" s="96">
        <f>IF(FormFields[[#This Row],[ID]]="id","form_field",FormFields[[#This Row],[ID]])</f>
        <v>2111172</v>
      </c>
      <c r="AZ74" s="106"/>
      <c r="BA74" s="104">
        <f>FormFields[[#This Row],[ID]]</f>
        <v>2111172</v>
      </c>
    </row>
    <row r="75" spans="13:60">
      <c r="M75" s="95" t="str">
        <f>'Table Seed Map'!$A$12&amp;"-"&amp;FormFields[[#This Row],[No]]</f>
        <v>Form Fields-73</v>
      </c>
      <c r="N75" s="81" t="s">
        <v>1514</v>
      </c>
      <c r="O75" s="96">
        <f>COUNTA($N$1:FormFields[[#This Row],[Form Name]])-1</f>
        <v>73</v>
      </c>
      <c r="P75" s="95" t="str">
        <f>FormFields[[#This Row],[Form Name]]&amp;"/"&amp;FormFields[[#This Row],[Name]]</f>
        <v>Employee/UpdateEmployeeDetails/name</v>
      </c>
      <c r="Q75" s="96">
        <f>IF(FormFields[[#This Row],[No]]=0,"id",FormFields[[#This Row],[No]]+IF(ISNUMBER(VLOOKUP('Table Seed Map'!$A$12,SeedMap[],9,0)),VLOOKUP('Table Seed Map'!$A$12,SeedMap[],9,0),0))</f>
        <v>2111173</v>
      </c>
      <c r="R75" s="97">
        <f>IFERROR(VLOOKUP(FormFields[[#This Row],[Form Name]],ResourceForms[[FormName]:[ID]],4,0),"resource_form")</f>
        <v>2110124</v>
      </c>
      <c r="S75" s="98" t="s">
        <v>23</v>
      </c>
      <c r="T75" s="98" t="s">
        <v>1137</v>
      </c>
      <c r="U75" s="98" t="s">
        <v>1</v>
      </c>
      <c r="V75" s="99"/>
      <c r="W75" s="99"/>
      <c r="X75" s="99"/>
      <c r="Y75" s="99"/>
      <c r="Z75" s="100" t="str">
        <f>'Table Seed Map'!$A$13&amp;"-"&amp;FormFields[[#This Row],[NO2]]</f>
        <v>Field Data-72</v>
      </c>
      <c r="AA75" s="101">
        <f>COUNTIFS($AB$1:FormFields[[#This Row],[Exists]],1)-1</f>
        <v>72</v>
      </c>
      <c r="AB75" s="101">
        <f>IF(AND(FormFields[[#This Row],[Attribute]]="",FormFields[[#This Row],[Rel]]=""),0,1)</f>
        <v>1</v>
      </c>
      <c r="AC75" s="101">
        <f>IF(FormFields[[#This Row],[NO2]]=0,"id",FormFields[[#This Row],[NO2]]+IF(ISNUMBER(VLOOKUP('Table Seed Map'!$A$13,SeedMap[],9,0)),VLOOKUP('Table Seed Map'!$A$13,SeedMap[],9,0),0))</f>
        <v>2112172</v>
      </c>
      <c r="AD75" s="102">
        <f>IF(FormFields[[#This Row],[ID]]="id","form_field",FormFields[[#This Row],[ID]])</f>
        <v>2111173</v>
      </c>
      <c r="AE75" s="101" t="str">
        <f>IF(FormFields[[#This Row],[No]]=0,"attribute",FormFields[[#This Row],[Name]])</f>
        <v>name</v>
      </c>
      <c r="AF75" s="103" t="str">
        <f>IF(FormFields[[#This Row],[NO2]]=0,"relation",IF(FormFields[[#This Row],[Rel]]="","",VLOOKUP(FormFields[[#This Row],[Rel]],RelationTable[[Display]:[RELID]],2,0)))</f>
        <v/>
      </c>
      <c r="AG75" s="103" t="str">
        <f>IF(FormFields[[#This Row],[NO2]]=0,"nest_relation1",IF(FormFields[[#This Row],[Rel1]]="","",VLOOKUP(FormFields[[#This Row],[Rel1]],RelationTable[[Display]:[RELID]],2,0)))</f>
        <v/>
      </c>
      <c r="AH75" s="103" t="str">
        <f>IF(FormFields[[#This Row],[NO2]]=0,"nest_relation2",IF(FormFields[[#This Row],[Rel2]]="","",VLOOKUP(FormFields[[#This Row],[Rel2]],RelationTable[[Display]:[RELID]],2,0)))</f>
        <v/>
      </c>
      <c r="AI75" s="103" t="str">
        <f>IF(FormFields[[#This Row],[NO2]]=0,"nest_relation3",IF(FormFields[[#This Row],[Rel3]]="","",VLOOKUP(FormFields[[#This Row],[Rel3]],RelationTable[[Display]:[RELID]],2,0)))</f>
        <v/>
      </c>
      <c r="AJ75" s="96">
        <f>IF(OR(FormFields[[#This Row],[Option Type]]="",FormFields[[#This Row],[Option Type]]="type"),0,1)</f>
        <v>0</v>
      </c>
      <c r="AK75" s="96" t="str">
        <f>'Table Seed Map'!$A$14&amp;"-"&amp;FormFields[[#This Row],[NO4]]</f>
        <v>Field Options-35</v>
      </c>
      <c r="AL75" s="96">
        <f>COUNTIF($AJ$2:FormFields[[#This Row],[Exists FO]],1)</f>
        <v>35</v>
      </c>
      <c r="AM75" s="96">
        <f>IF(FormFields[[#This Row],[NO4]]=0,"id",FormFields[[#This Row],[NO4]]+IF(ISNUMBER(VLOOKUP('Table Seed Map'!$A$14,SeedMap[],9,0)),VLOOKUP('Table Seed Map'!$A$14,SeedMap[],9,0),0))</f>
        <v>2113135</v>
      </c>
      <c r="AN75" s="104">
        <f>IF(FormFields[[#This Row],[ID]]="id","form_field",FormFields[[#This Row],[ID]])</f>
        <v>2111173</v>
      </c>
      <c r="AO75" s="105"/>
      <c r="AP75" s="105"/>
      <c r="AQ75" s="105"/>
      <c r="AR75" s="105"/>
      <c r="AS75" s="105"/>
      <c r="AT75" s="96">
        <f>IF(OR(FormFields[[#This Row],[Colspan]]="",FormFields[[#This Row],[Colspan]]="colspan"),0,1)</f>
        <v>0</v>
      </c>
      <c r="AU75" s="96" t="str">
        <f>'Table Seed Map'!$A$19&amp;"-"&amp;FormFields[[#This Row],[NO8]]</f>
        <v>Form Layout-7</v>
      </c>
      <c r="AV75" s="96">
        <f>COUNTIF($AT$1:FormFields[[#This Row],[Exists FL]],1)</f>
        <v>7</v>
      </c>
      <c r="AW7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5" s="96">
        <f>[Form]</f>
        <v>2110124</v>
      </c>
      <c r="AY75" s="96">
        <f>IF(FormFields[[#This Row],[ID]]="id","form_field",FormFields[[#This Row],[ID]])</f>
        <v>2111173</v>
      </c>
      <c r="AZ75" s="106"/>
      <c r="BA75" s="104">
        <f>FormFields[[#This Row],[ID]]</f>
        <v>2111173</v>
      </c>
    </row>
    <row r="76" spans="13:60">
      <c r="M76" s="95" t="str">
        <f>'Table Seed Map'!$A$12&amp;"-"&amp;FormFields[[#This Row],[No]]</f>
        <v>Form Fields-74</v>
      </c>
      <c r="N76" s="81" t="s">
        <v>1514</v>
      </c>
      <c r="O76" s="96">
        <f>COUNTA($N$1:FormFields[[#This Row],[Form Name]])-1</f>
        <v>74</v>
      </c>
      <c r="P76" s="95" t="str">
        <f>FormFields[[#This Row],[Form Name]]&amp;"/"&amp;FormFields[[#This Row],[Name]]</f>
        <v>Employee/UpdateEmployeeDetails/email</v>
      </c>
      <c r="Q76" s="96">
        <f>IF(FormFields[[#This Row],[No]]=0,"id",FormFields[[#This Row],[No]]+IF(ISNUMBER(VLOOKUP('Table Seed Map'!$A$12,SeedMap[],9,0)),VLOOKUP('Table Seed Map'!$A$12,SeedMap[],9,0),0))</f>
        <v>2111174</v>
      </c>
      <c r="R76" s="97">
        <f>IFERROR(VLOOKUP(FormFields[[#This Row],[Form Name]],ResourceForms[[FormName]:[ID]],4,0),"resource_form")</f>
        <v>2110124</v>
      </c>
      <c r="S76" s="98" t="s">
        <v>800</v>
      </c>
      <c r="T76" s="98" t="s">
        <v>1137</v>
      </c>
      <c r="U76" s="98" t="s">
        <v>1182</v>
      </c>
      <c r="V76" s="99"/>
      <c r="W76" s="99"/>
      <c r="X76" s="99"/>
      <c r="Y76" s="99"/>
      <c r="Z76" s="100" t="str">
        <f>'Table Seed Map'!$A$13&amp;"-"&amp;FormFields[[#This Row],[NO2]]</f>
        <v>Field Data-73</v>
      </c>
      <c r="AA76" s="101">
        <f>COUNTIFS($AB$1:FormFields[[#This Row],[Exists]],1)-1</f>
        <v>73</v>
      </c>
      <c r="AB76" s="101">
        <f>IF(AND(FormFields[[#This Row],[Attribute]]="",FormFields[[#This Row],[Rel]]=""),0,1)</f>
        <v>1</v>
      </c>
      <c r="AC76" s="101">
        <f>IF(FormFields[[#This Row],[NO2]]=0,"id",FormFields[[#This Row],[NO2]]+IF(ISNUMBER(VLOOKUP('Table Seed Map'!$A$13,SeedMap[],9,0)),VLOOKUP('Table Seed Map'!$A$13,SeedMap[],9,0),0))</f>
        <v>2112173</v>
      </c>
      <c r="AD76" s="102">
        <f>IF(FormFields[[#This Row],[ID]]="id","form_field",FormFields[[#This Row],[ID]])</f>
        <v>2111174</v>
      </c>
      <c r="AE76" s="101" t="str">
        <f>IF(FormFields[[#This Row],[No]]=0,"attribute",FormFields[[#This Row],[Name]])</f>
        <v>email</v>
      </c>
      <c r="AF76" s="103" t="str">
        <f>IF(FormFields[[#This Row],[NO2]]=0,"relation",IF(FormFields[[#This Row],[Rel]]="","",VLOOKUP(FormFields[[#This Row],[Rel]],RelationTable[[Display]:[RELID]],2,0)))</f>
        <v/>
      </c>
      <c r="AG76" s="103" t="str">
        <f>IF(FormFields[[#This Row],[NO2]]=0,"nest_relation1",IF(FormFields[[#This Row],[Rel1]]="","",VLOOKUP(FormFields[[#This Row],[Rel1]],RelationTable[[Display]:[RELID]],2,0)))</f>
        <v/>
      </c>
      <c r="AH76" s="103" t="str">
        <f>IF(FormFields[[#This Row],[NO2]]=0,"nest_relation2",IF(FormFields[[#This Row],[Rel2]]="","",VLOOKUP(FormFields[[#This Row],[Rel2]],RelationTable[[Display]:[RELID]],2,0)))</f>
        <v/>
      </c>
      <c r="AI76" s="103" t="str">
        <f>IF(FormFields[[#This Row],[NO2]]=0,"nest_relation3",IF(FormFields[[#This Row],[Rel3]]="","",VLOOKUP(FormFields[[#This Row],[Rel3]],RelationTable[[Display]:[RELID]],2,0)))</f>
        <v/>
      </c>
      <c r="AJ76" s="96">
        <f>IF(OR(FormFields[[#This Row],[Option Type]]="",FormFields[[#This Row],[Option Type]]="type"),0,1)</f>
        <v>0</v>
      </c>
      <c r="AK76" s="96" t="str">
        <f>'Table Seed Map'!$A$14&amp;"-"&amp;FormFields[[#This Row],[NO4]]</f>
        <v>Field Options-35</v>
      </c>
      <c r="AL76" s="96">
        <f>COUNTIF($AJ$2:FormFields[[#This Row],[Exists FO]],1)</f>
        <v>35</v>
      </c>
      <c r="AM76" s="96">
        <f>IF(FormFields[[#This Row],[NO4]]=0,"id",FormFields[[#This Row],[NO4]]+IF(ISNUMBER(VLOOKUP('Table Seed Map'!$A$14,SeedMap[],9,0)),VLOOKUP('Table Seed Map'!$A$14,SeedMap[],9,0),0))</f>
        <v>2113135</v>
      </c>
      <c r="AN76" s="104">
        <f>IF(FormFields[[#This Row],[ID]]="id","form_field",FormFields[[#This Row],[ID]])</f>
        <v>2111174</v>
      </c>
      <c r="AO76" s="105"/>
      <c r="AP76" s="105"/>
      <c r="AQ76" s="105"/>
      <c r="AR76" s="105"/>
      <c r="AS76" s="105"/>
      <c r="AT76" s="96">
        <f>IF(OR(FormFields[[#This Row],[Colspan]]="",FormFields[[#This Row],[Colspan]]="colspan"),0,1)</f>
        <v>0</v>
      </c>
      <c r="AU76" s="96" t="str">
        <f>'Table Seed Map'!$A$19&amp;"-"&amp;FormFields[[#This Row],[NO8]]</f>
        <v>Form Layout-7</v>
      </c>
      <c r="AV76" s="96">
        <f>COUNTIF($AT$1:FormFields[[#This Row],[Exists FL]],1)</f>
        <v>7</v>
      </c>
      <c r="AW7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6" s="96">
        <f>[Form]</f>
        <v>2110124</v>
      </c>
      <c r="AY76" s="96">
        <f>IF(FormFields[[#This Row],[ID]]="id","form_field",FormFields[[#This Row],[ID]])</f>
        <v>2111174</v>
      </c>
      <c r="AZ76" s="106"/>
      <c r="BA76" s="104">
        <f>FormFields[[#This Row],[ID]]</f>
        <v>2111174</v>
      </c>
    </row>
    <row r="77" spans="13:60">
      <c r="M77" s="95" t="str">
        <f>'Table Seed Map'!$A$12&amp;"-"&amp;FormFields[[#This Row],[No]]</f>
        <v>Form Fields-75</v>
      </c>
      <c r="N77" s="81" t="s">
        <v>1514</v>
      </c>
      <c r="O77" s="96">
        <f>COUNTA($N$1:FormFields[[#This Row],[Form Name]])-1</f>
        <v>75</v>
      </c>
      <c r="P77" s="95" t="str">
        <f>FormFields[[#This Row],[Form Name]]&amp;"/"&amp;FormFields[[#This Row],[Name]]</f>
        <v>Employee/UpdateEmployeeDetails/password</v>
      </c>
      <c r="Q77" s="96">
        <f>IF(FormFields[[#This Row],[No]]=0,"id",FormFields[[#This Row],[No]]+IF(ISNUMBER(VLOOKUP('Table Seed Map'!$A$12,SeedMap[],9,0)),VLOOKUP('Table Seed Map'!$A$12,SeedMap[],9,0),0))</f>
        <v>2111175</v>
      </c>
      <c r="R77" s="97">
        <f>IFERROR(VLOOKUP(FormFields[[#This Row],[Form Name]],ResourceForms[[FormName]:[ID]],4,0),"resource_form")</f>
        <v>2110124</v>
      </c>
      <c r="S77" s="98" t="s">
        <v>1128</v>
      </c>
      <c r="T77" s="98" t="s">
        <v>1128</v>
      </c>
      <c r="U77" s="98" t="s">
        <v>1140</v>
      </c>
      <c r="V77" s="99"/>
      <c r="W77" s="99"/>
      <c r="X77" s="99"/>
      <c r="Y77" s="99"/>
      <c r="Z77" s="100" t="str">
        <f>'Table Seed Map'!$A$13&amp;"-"&amp;FormFields[[#This Row],[NO2]]</f>
        <v>Field Data-74</v>
      </c>
      <c r="AA77" s="101">
        <f>COUNTIFS($AB$1:FormFields[[#This Row],[Exists]],1)-1</f>
        <v>74</v>
      </c>
      <c r="AB77" s="101">
        <f>IF(AND(FormFields[[#This Row],[Attribute]]="",FormFields[[#This Row],[Rel]]=""),0,1)</f>
        <v>1</v>
      </c>
      <c r="AC77" s="101">
        <f>IF(FormFields[[#This Row],[NO2]]=0,"id",FormFields[[#This Row],[NO2]]+IF(ISNUMBER(VLOOKUP('Table Seed Map'!$A$13,SeedMap[],9,0)),VLOOKUP('Table Seed Map'!$A$13,SeedMap[],9,0),0))</f>
        <v>2112174</v>
      </c>
      <c r="AD77" s="102">
        <f>IF(FormFields[[#This Row],[ID]]="id","form_field",FormFields[[#This Row],[ID]])</f>
        <v>2111175</v>
      </c>
      <c r="AE77" s="101" t="str">
        <f>IF(FormFields[[#This Row],[No]]=0,"attribute",FormFields[[#This Row],[Name]])</f>
        <v>password</v>
      </c>
      <c r="AF77" s="103" t="str">
        <f>IF(FormFields[[#This Row],[NO2]]=0,"relation",IF(FormFields[[#This Row],[Rel]]="","",VLOOKUP(FormFields[[#This Row],[Rel]],RelationTable[[Display]:[RELID]],2,0)))</f>
        <v/>
      </c>
      <c r="AG77" s="103" t="str">
        <f>IF(FormFields[[#This Row],[NO2]]=0,"nest_relation1",IF(FormFields[[#This Row],[Rel1]]="","",VLOOKUP(FormFields[[#This Row],[Rel1]],RelationTable[[Display]:[RELID]],2,0)))</f>
        <v/>
      </c>
      <c r="AH77" s="103" t="str">
        <f>IF(FormFields[[#This Row],[NO2]]=0,"nest_relation2",IF(FormFields[[#This Row],[Rel2]]="","",VLOOKUP(FormFields[[#This Row],[Rel2]],RelationTable[[Display]:[RELID]],2,0)))</f>
        <v/>
      </c>
      <c r="AI77" s="103" t="str">
        <f>IF(FormFields[[#This Row],[NO2]]=0,"nest_relation3",IF(FormFields[[#This Row],[Rel3]]="","",VLOOKUP(FormFields[[#This Row],[Rel3]],RelationTable[[Display]:[RELID]],2,0)))</f>
        <v/>
      </c>
      <c r="AJ77" s="96">
        <f>IF(OR(FormFields[[#This Row],[Option Type]]="",FormFields[[#This Row],[Option Type]]="type"),0,1)</f>
        <v>0</v>
      </c>
      <c r="AK77" s="96" t="str">
        <f>'Table Seed Map'!$A$14&amp;"-"&amp;FormFields[[#This Row],[NO4]]</f>
        <v>Field Options-35</v>
      </c>
      <c r="AL77" s="96">
        <f>COUNTIF($AJ$2:FormFields[[#This Row],[Exists FO]],1)</f>
        <v>35</v>
      </c>
      <c r="AM77" s="96">
        <f>IF(FormFields[[#This Row],[NO4]]=0,"id",FormFields[[#This Row],[NO4]]+IF(ISNUMBER(VLOOKUP('Table Seed Map'!$A$14,SeedMap[],9,0)),VLOOKUP('Table Seed Map'!$A$14,SeedMap[],9,0),0))</f>
        <v>2113135</v>
      </c>
      <c r="AN77" s="104">
        <f>IF(FormFields[[#This Row],[ID]]="id","form_field",FormFields[[#This Row],[ID]])</f>
        <v>2111175</v>
      </c>
      <c r="AO77" s="105"/>
      <c r="AP77" s="105"/>
      <c r="AQ77" s="105"/>
      <c r="AR77" s="105"/>
      <c r="AS77" s="105"/>
      <c r="AT77" s="96">
        <f>IF(OR(FormFields[[#This Row],[Colspan]]="",FormFields[[#This Row],[Colspan]]="colspan"),0,1)</f>
        <v>0</v>
      </c>
      <c r="AU77" s="96" t="str">
        <f>'Table Seed Map'!$A$19&amp;"-"&amp;FormFields[[#This Row],[NO8]]</f>
        <v>Form Layout-7</v>
      </c>
      <c r="AV77" s="96">
        <f>COUNTIF($AT$1:FormFields[[#This Row],[Exists FL]],1)</f>
        <v>7</v>
      </c>
      <c r="AW7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7" s="96">
        <f>[Form]</f>
        <v>2110124</v>
      </c>
      <c r="AY77" s="96">
        <f>IF(FormFields[[#This Row],[ID]]="id","form_field",FormFields[[#This Row],[ID]])</f>
        <v>2111175</v>
      </c>
      <c r="AZ77" s="106"/>
      <c r="BA77" s="104">
        <f>FormFields[[#This Row],[ID]]</f>
        <v>2111175</v>
      </c>
    </row>
    <row r="78" spans="13:60">
      <c r="M78" s="95" t="str">
        <f>'Table Seed Map'!$A$12&amp;"-"&amp;FormFields[[#This Row],[No]]</f>
        <v>Form Fields-76</v>
      </c>
      <c r="N78" s="81" t="s">
        <v>1750</v>
      </c>
      <c r="O78" s="96">
        <f>COUNTA($N$1:FormFields[[#This Row],[Form Name]])-1</f>
        <v>76</v>
      </c>
      <c r="P78" s="95" t="str">
        <f>FormFields[[#This Row],[Form Name]]&amp;"/"&amp;FormFields[[#This Row],[Name]]</f>
        <v>Pricelist/EditPricelistForm/name</v>
      </c>
      <c r="Q78" s="96">
        <f>IF(FormFields[[#This Row],[No]]=0,"id",FormFields[[#This Row],[No]]+IF(ISNUMBER(VLOOKUP('Table Seed Map'!$A$12,SeedMap[],9,0)),VLOOKUP('Table Seed Map'!$A$12,SeedMap[],9,0),0))</f>
        <v>2111176</v>
      </c>
      <c r="R78" s="97">
        <f>IFERROR(VLOOKUP(FormFields[[#This Row],[Form Name]],ResourceForms[[FormName]:[ID]],4,0),"resource_form")</f>
        <v>2110125</v>
      </c>
      <c r="S78" s="98" t="s">
        <v>23</v>
      </c>
      <c r="T78" s="98" t="s">
        <v>1137</v>
      </c>
      <c r="U78" s="98" t="s">
        <v>1</v>
      </c>
      <c r="V78" s="99"/>
      <c r="W78" s="99"/>
      <c r="X78" s="99"/>
      <c r="Y78" s="99"/>
      <c r="Z78" s="100" t="str">
        <f>'Table Seed Map'!$A$13&amp;"-"&amp;FormFields[[#This Row],[NO2]]</f>
        <v>Field Data-75</v>
      </c>
      <c r="AA78" s="101">
        <f>COUNTIFS($AB$1:FormFields[[#This Row],[Exists]],1)-1</f>
        <v>75</v>
      </c>
      <c r="AB78" s="101">
        <f>IF(AND(FormFields[[#This Row],[Attribute]]="",FormFields[[#This Row],[Rel]]=""),0,1)</f>
        <v>1</v>
      </c>
      <c r="AC78" s="101">
        <f>IF(FormFields[[#This Row],[NO2]]=0,"id",FormFields[[#This Row],[NO2]]+IF(ISNUMBER(VLOOKUP('Table Seed Map'!$A$13,SeedMap[],9,0)),VLOOKUP('Table Seed Map'!$A$13,SeedMap[],9,0),0))</f>
        <v>2112175</v>
      </c>
      <c r="AD78" s="102">
        <f>IF(FormFields[[#This Row],[ID]]="id","form_field",FormFields[[#This Row],[ID]])</f>
        <v>2111176</v>
      </c>
      <c r="AE78" s="101" t="str">
        <f>IF(FormFields[[#This Row],[No]]=0,"attribute",FormFields[[#This Row],[Name]])</f>
        <v>name</v>
      </c>
      <c r="AF78" s="103" t="str">
        <f>IF(FormFields[[#This Row],[NO2]]=0,"relation",IF(FormFields[[#This Row],[Rel]]="","",VLOOKUP(FormFields[[#This Row],[Rel]],RelationTable[[Display]:[RELID]],2,0)))</f>
        <v/>
      </c>
      <c r="AG78" s="103" t="str">
        <f>IF(FormFields[[#This Row],[NO2]]=0,"nest_relation1",IF(FormFields[[#This Row],[Rel1]]="","",VLOOKUP(FormFields[[#This Row],[Rel1]],RelationTable[[Display]:[RELID]],2,0)))</f>
        <v/>
      </c>
      <c r="AH78" s="103" t="str">
        <f>IF(FormFields[[#This Row],[NO2]]=0,"nest_relation2",IF(FormFields[[#This Row],[Rel2]]="","",VLOOKUP(FormFields[[#This Row],[Rel2]],RelationTable[[Display]:[RELID]],2,0)))</f>
        <v/>
      </c>
      <c r="AI78" s="103" t="str">
        <f>IF(FormFields[[#This Row],[NO2]]=0,"nest_relation3",IF(FormFields[[#This Row],[Rel3]]="","",VLOOKUP(FormFields[[#This Row],[Rel3]],RelationTable[[Display]:[RELID]],2,0)))</f>
        <v/>
      </c>
      <c r="AJ78" s="96">
        <f>IF(OR(FormFields[[#This Row],[Option Type]]="",FormFields[[#This Row],[Option Type]]="type"),0,1)</f>
        <v>0</v>
      </c>
      <c r="AK78" s="96" t="str">
        <f>'Table Seed Map'!$A$14&amp;"-"&amp;FormFields[[#This Row],[NO4]]</f>
        <v>Field Options-35</v>
      </c>
      <c r="AL78" s="96">
        <f>COUNTIF($AJ$2:FormFields[[#This Row],[Exists FO]],1)</f>
        <v>35</v>
      </c>
      <c r="AM78" s="96">
        <f>IF(FormFields[[#This Row],[NO4]]=0,"id",FormFields[[#This Row],[NO4]]+IF(ISNUMBER(VLOOKUP('Table Seed Map'!$A$14,SeedMap[],9,0)),VLOOKUP('Table Seed Map'!$A$14,SeedMap[],9,0),0))</f>
        <v>2113135</v>
      </c>
      <c r="AN78" s="104">
        <f>IF(FormFields[[#This Row],[ID]]="id","form_field",FormFields[[#This Row],[ID]])</f>
        <v>2111176</v>
      </c>
      <c r="AO78" s="105"/>
      <c r="AP78" s="105"/>
      <c r="AQ78" s="105"/>
      <c r="AR78" s="105"/>
      <c r="AS78" s="105"/>
      <c r="AT78" s="96">
        <f>IF(OR(FormFields[[#This Row],[Colspan]]="",FormFields[[#This Row],[Colspan]]="colspan"),0,1)</f>
        <v>0</v>
      </c>
      <c r="AU78" s="96" t="str">
        <f>'Table Seed Map'!$A$19&amp;"-"&amp;FormFields[[#This Row],[NO8]]</f>
        <v>Form Layout-7</v>
      </c>
      <c r="AV78" s="96">
        <f>COUNTIF($AT$1:FormFields[[#This Row],[Exists FL]],1)</f>
        <v>7</v>
      </c>
      <c r="AW7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8" s="96">
        <f>[Form]</f>
        <v>2110125</v>
      </c>
      <c r="AY78" s="96">
        <f>IF(FormFields[[#This Row],[ID]]="id","form_field",FormFields[[#This Row],[ID]])</f>
        <v>2111176</v>
      </c>
      <c r="AZ78" s="106"/>
      <c r="BA78" s="104">
        <f>FormFields[[#This Row],[ID]]</f>
        <v>2111176</v>
      </c>
    </row>
    <row r="79" spans="13:60">
      <c r="M79" s="95" t="str">
        <f>'Table Seed Map'!$A$12&amp;"-"&amp;FormFields[[#This Row],[No]]</f>
        <v>Form Fields-77</v>
      </c>
      <c r="N79" s="81" t="s">
        <v>1750</v>
      </c>
      <c r="O79" s="96">
        <f>COUNTA($N$1:FormFields[[#This Row],[Form Name]])-1</f>
        <v>77</v>
      </c>
      <c r="P79" s="95" t="str">
        <f>FormFields[[#This Row],[Form Name]]&amp;"/"&amp;FormFields[[#This Row],[Name]]</f>
        <v>Pricelist/EditPricelistForm/description</v>
      </c>
      <c r="Q79" s="96">
        <f>IF(FormFields[[#This Row],[No]]=0,"id",FormFields[[#This Row],[No]]+IF(ISNUMBER(VLOOKUP('Table Seed Map'!$A$12,SeedMap[],9,0)),VLOOKUP('Table Seed Map'!$A$12,SeedMap[],9,0),0))</f>
        <v>2111177</v>
      </c>
      <c r="R79" s="97">
        <f>IFERROR(VLOOKUP(FormFields[[#This Row],[Form Name]],ResourceForms[[FormName]:[ID]],4,0),"resource_form")</f>
        <v>2110125</v>
      </c>
      <c r="S79" s="98" t="s">
        <v>24</v>
      </c>
      <c r="T79" s="98" t="s">
        <v>1153</v>
      </c>
      <c r="U79" s="98" t="s">
        <v>102</v>
      </c>
      <c r="V79" s="99"/>
      <c r="W79" s="99"/>
      <c r="X79" s="99"/>
      <c r="Y79" s="99"/>
      <c r="Z79" s="100" t="str">
        <f>'Table Seed Map'!$A$13&amp;"-"&amp;FormFields[[#This Row],[NO2]]</f>
        <v>Field Data-76</v>
      </c>
      <c r="AA79" s="101">
        <f>COUNTIFS($AB$1:FormFields[[#This Row],[Exists]],1)-1</f>
        <v>76</v>
      </c>
      <c r="AB79" s="101">
        <f>IF(AND(FormFields[[#This Row],[Attribute]]="",FormFields[[#This Row],[Rel]]=""),0,1)</f>
        <v>1</v>
      </c>
      <c r="AC79" s="101">
        <f>IF(FormFields[[#This Row],[NO2]]=0,"id",FormFields[[#This Row],[NO2]]+IF(ISNUMBER(VLOOKUP('Table Seed Map'!$A$13,SeedMap[],9,0)),VLOOKUP('Table Seed Map'!$A$13,SeedMap[],9,0),0))</f>
        <v>2112176</v>
      </c>
      <c r="AD79" s="102">
        <f>IF(FormFields[[#This Row],[ID]]="id","form_field",FormFields[[#This Row],[ID]])</f>
        <v>2111177</v>
      </c>
      <c r="AE79" s="101" t="str">
        <f>IF(FormFields[[#This Row],[No]]=0,"attribute",FormFields[[#This Row],[Name]])</f>
        <v>description</v>
      </c>
      <c r="AF79" s="103" t="str">
        <f>IF(FormFields[[#This Row],[NO2]]=0,"relation",IF(FormFields[[#This Row],[Rel]]="","",VLOOKUP(FormFields[[#This Row],[Rel]],RelationTable[[Display]:[RELID]],2,0)))</f>
        <v/>
      </c>
      <c r="AG79" s="103" t="str">
        <f>IF(FormFields[[#This Row],[NO2]]=0,"nest_relation1",IF(FormFields[[#This Row],[Rel1]]="","",VLOOKUP(FormFields[[#This Row],[Rel1]],RelationTable[[Display]:[RELID]],2,0)))</f>
        <v/>
      </c>
      <c r="AH79" s="103" t="str">
        <f>IF(FormFields[[#This Row],[NO2]]=0,"nest_relation2",IF(FormFields[[#This Row],[Rel2]]="","",VLOOKUP(FormFields[[#This Row],[Rel2]],RelationTable[[Display]:[RELID]],2,0)))</f>
        <v/>
      </c>
      <c r="AI79" s="103" t="str">
        <f>IF(FormFields[[#This Row],[NO2]]=0,"nest_relation3",IF(FormFields[[#This Row],[Rel3]]="","",VLOOKUP(FormFields[[#This Row],[Rel3]],RelationTable[[Display]:[RELID]],2,0)))</f>
        <v/>
      </c>
      <c r="AJ79" s="96">
        <f>IF(OR(FormFields[[#This Row],[Option Type]]="",FormFields[[#This Row],[Option Type]]="type"),0,1)</f>
        <v>0</v>
      </c>
      <c r="AK79" s="96" t="str">
        <f>'Table Seed Map'!$A$14&amp;"-"&amp;FormFields[[#This Row],[NO4]]</f>
        <v>Field Options-35</v>
      </c>
      <c r="AL79" s="96">
        <f>COUNTIF($AJ$2:FormFields[[#This Row],[Exists FO]],1)</f>
        <v>35</v>
      </c>
      <c r="AM79" s="96">
        <f>IF(FormFields[[#This Row],[NO4]]=0,"id",FormFields[[#This Row],[NO4]]+IF(ISNUMBER(VLOOKUP('Table Seed Map'!$A$14,SeedMap[],9,0)),VLOOKUP('Table Seed Map'!$A$14,SeedMap[],9,0),0))</f>
        <v>2113135</v>
      </c>
      <c r="AN79" s="104">
        <f>IF(FormFields[[#This Row],[ID]]="id","form_field",FormFields[[#This Row],[ID]])</f>
        <v>2111177</v>
      </c>
      <c r="AO79" s="105"/>
      <c r="AP79" s="105"/>
      <c r="AQ79" s="105"/>
      <c r="AR79" s="105"/>
      <c r="AS79" s="105"/>
      <c r="AT79" s="96">
        <f>IF(OR(FormFields[[#This Row],[Colspan]]="",FormFields[[#This Row],[Colspan]]="colspan"),0,1)</f>
        <v>0</v>
      </c>
      <c r="AU79" s="96" t="str">
        <f>'Table Seed Map'!$A$19&amp;"-"&amp;FormFields[[#This Row],[NO8]]</f>
        <v>Form Layout-7</v>
      </c>
      <c r="AV79" s="96">
        <f>COUNTIF($AT$1:FormFields[[#This Row],[Exists FL]],1)</f>
        <v>7</v>
      </c>
      <c r="AW7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9" s="96">
        <f>[Form]</f>
        <v>2110125</v>
      </c>
      <c r="AY79" s="96">
        <f>IF(FormFields[[#This Row],[ID]]="id","form_field",FormFields[[#This Row],[ID]])</f>
        <v>2111177</v>
      </c>
      <c r="AZ79" s="106"/>
      <c r="BA79" s="104">
        <f>FormFields[[#This Row],[ID]]</f>
        <v>2111177</v>
      </c>
    </row>
    <row r="80" spans="13:60">
      <c r="M80" s="95" t="str">
        <f>'Table Seed Map'!$A$12&amp;"-"&amp;FormFields[[#This Row],[No]]</f>
        <v>Form Fields-78</v>
      </c>
      <c r="N80" s="81" t="s">
        <v>1750</v>
      </c>
      <c r="O80" s="96">
        <f>COUNTA($N$1:FormFields[[#This Row],[Form Name]])-1</f>
        <v>78</v>
      </c>
      <c r="P80" s="95" t="str">
        <f>FormFields[[#This Row],[Form Name]]&amp;"/"&amp;FormFields[[#This Row],[Name]]</f>
        <v>Pricelist/EditPricelistForm/status</v>
      </c>
      <c r="Q80" s="96">
        <f>IF(FormFields[[#This Row],[No]]=0,"id",FormFields[[#This Row],[No]]+IF(ISNUMBER(VLOOKUP('Table Seed Map'!$A$12,SeedMap[],9,0)),VLOOKUP('Table Seed Map'!$A$12,SeedMap[],9,0),0))</f>
        <v>2111178</v>
      </c>
      <c r="R80" s="97">
        <f>IFERROR(VLOOKUP(FormFields[[#This Row],[Form Name]],ResourceForms[[FormName]:[ID]],4,0),"resource_form")</f>
        <v>2110125</v>
      </c>
      <c r="S80" s="98" t="s">
        <v>804</v>
      </c>
      <c r="T80" s="98" t="s">
        <v>1189</v>
      </c>
      <c r="U80" s="98" t="s">
        <v>1190</v>
      </c>
      <c r="V80" s="99"/>
      <c r="W80" s="99"/>
      <c r="X80" s="99"/>
      <c r="Y80" s="99"/>
      <c r="Z80" s="100" t="str">
        <f>'Table Seed Map'!$A$13&amp;"-"&amp;FormFields[[#This Row],[NO2]]</f>
        <v>Field Data-77</v>
      </c>
      <c r="AA80" s="101">
        <f>COUNTIFS($AB$1:FormFields[[#This Row],[Exists]],1)-1</f>
        <v>77</v>
      </c>
      <c r="AB80" s="101">
        <f>IF(AND(FormFields[[#This Row],[Attribute]]="",FormFields[[#This Row],[Rel]]=""),0,1)</f>
        <v>1</v>
      </c>
      <c r="AC80" s="101">
        <f>IF(FormFields[[#This Row],[NO2]]=0,"id",FormFields[[#This Row],[NO2]]+IF(ISNUMBER(VLOOKUP('Table Seed Map'!$A$13,SeedMap[],9,0)),VLOOKUP('Table Seed Map'!$A$13,SeedMap[],9,0),0))</f>
        <v>2112177</v>
      </c>
      <c r="AD80" s="102">
        <f>IF(FormFields[[#This Row],[ID]]="id","form_field",FormFields[[#This Row],[ID]])</f>
        <v>2111178</v>
      </c>
      <c r="AE80" s="101" t="str">
        <f>IF(FormFields[[#This Row],[No]]=0,"attribute",FormFields[[#This Row],[Name]])</f>
        <v>status</v>
      </c>
      <c r="AF80" s="103" t="str">
        <f>IF(FormFields[[#This Row],[NO2]]=0,"relation",IF(FormFields[[#This Row],[Rel]]="","",VLOOKUP(FormFields[[#This Row],[Rel]],RelationTable[[Display]:[RELID]],2,0)))</f>
        <v/>
      </c>
      <c r="AG80" s="103" t="str">
        <f>IF(FormFields[[#This Row],[NO2]]=0,"nest_relation1",IF(FormFields[[#This Row],[Rel1]]="","",VLOOKUP(FormFields[[#This Row],[Rel1]],RelationTable[[Display]:[RELID]],2,0)))</f>
        <v/>
      </c>
      <c r="AH80" s="103" t="str">
        <f>IF(FormFields[[#This Row],[NO2]]=0,"nest_relation2",IF(FormFields[[#This Row],[Rel2]]="","",VLOOKUP(FormFields[[#This Row],[Rel2]],RelationTable[[Display]:[RELID]],2,0)))</f>
        <v/>
      </c>
      <c r="AI80" s="103" t="str">
        <f>IF(FormFields[[#This Row],[NO2]]=0,"nest_relation3",IF(FormFields[[#This Row],[Rel3]]="","",VLOOKUP(FormFields[[#This Row],[Rel3]],RelationTable[[Display]:[RELID]],2,0)))</f>
        <v/>
      </c>
      <c r="AJ80" s="96">
        <f>IF(OR(FormFields[[#This Row],[Option Type]]="",FormFields[[#This Row],[Option Type]]="type"),0,1)</f>
        <v>1</v>
      </c>
      <c r="AK80" s="96" t="str">
        <f>'Table Seed Map'!$A$14&amp;"-"&amp;FormFields[[#This Row],[NO4]]</f>
        <v>Field Options-36</v>
      </c>
      <c r="AL80" s="96">
        <f>COUNTIF($AJ$2:FormFields[[#This Row],[Exists FO]],1)</f>
        <v>36</v>
      </c>
      <c r="AM80" s="96">
        <f>IF(FormFields[[#This Row],[NO4]]=0,"id",FormFields[[#This Row],[NO4]]+IF(ISNUMBER(VLOOKUP('Table Seed Map'!$A$14,SeedMap[],9,0)),VLOOKUP('Table Seed Map'!$A$14,SeedMap[],9,0),0))</f>
        <v>2113136</v>
      </c>
      <c r="AN80" s="104">
        <f>IF(FormFields[[#This Row],[ID]]="id","form_field",FormFields[[#This Row],[ID]])</f>
        <v>2111178</v>
      </c>
      <c r="AO80" s="105" t="s">
        <v>1191</v>
      </c>
      <c r="AP80" s="105"/>
      <c r="AQ80" s="105"/>
      <c r="AR80" s="105"/>
      <c r="AS80" s="105"/>
      <c r="AT80" s="96">
        <f>IF(OR(FormFields[[#This Row],[Colspan]]="",FormFields[[#This Row],[Colspan]]="colspan"),0,1)</f>
        <v>0</v>
      </c>
      <c r="AU80" s="96" t="str">
        <f>'Table Seed Map'!$A$19&amp;"-"&amp;FormFields[[#This Row],[NO8]]</f>
        <v>Form Layout-7</v>
      </c>
      <c r="AV80" s="96">
        <f>COUNTIF($AT$1:FormFields[[#This Row],[Exists FL]],1)</f>
        <v>7</v>
      </c>
      <c r="AW8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0" s="96">
        <f>[Form]</f>
        <v>2110125</v>
      </c>
      <c r="AY80" s="96">
        <f>IF(FormFields[[#This Row],[ID]]="id","form_field",FormFields[[#This Row],[ID]])</f>
        <v>2111178</v>
      </c>
      <c r="AZ80" s="106"/>
      <c r="BA80" s="104">
        <f>FormFields[[#This Row],[ID]]</f>
        <v>2111178</v>
      </c>
    </row>
    <row r="81" spans="13:53">
      <c r="M81" s="95" t="str">
        <f>'Table Seed Map'!$A$12&amp;"-"&amp;FormFields[[#This Row],[No]]</f>
        <v>Form Fields-79</v>
      </c>
      <c r="N81" s="81" t="s">
        <v>1766</v>
      </c>
      <c r="O81" s="96">
        <f>COUNTA($N$1:FormFields[[#This Row],[Form Name]])-1</f>
        <v>79</v>
      </c>
      <c r="P81" s="95" t="str">
        <f>FormFields[[#This Row],[Form Name]]&amp;"/"&amp;FormFields[[#This Row],[Name]]</f>
        <v>Item/EditItemForm/name</v>
      </c>
      <c r="Q81" s="96">
        <f>IF(FormFields[[#This Row],[No]]=0,"id",FormFields[[#This Row],[No]]+IF(ISNUMBER(VLOOKUP('Table Seed Map'!$A$12,SeedMap[],9,0)),VLOOKUP('Table Seed Map'!$A$12,SeedMap[],9,0),0))</f>
        <v>2111179</v>
      </c>
      <c r="R81" s="97">
        <f>IFERROR(VLOOKUP(FormFields[[#This Row],[Form Name]],ResourceForms[[FormName]:[ID]],4,0),"resource_form")</f>
        <v>2110126</v>
      </c>
      <c r="S81" s="98" t="s">
        <v>23</v>
      </c>
      <c r="T81" s="98" t="s">
        <v>1137</v>
      </c>
      <c r="U81" s="98" t="s">
        <v>1</v>
      </c>
      <c r="V81" s="99"/>
      <c r="W81" s="99"/>
      <c r="X81" s="99"/>
      <c r="Y81" s="99"/>
      <c r="Z81" s="100" t="str">
        <f>'Table Seed Map'!$A$13&amp;"-"&amp;FormFields[[#This Row],[NO2]]</f>
        <v>Field Data-78</v>
      </c>
      <c r="AA81" s="101">
        <f>COUNTIFS($AB$1:FormFields[[#This Row],[Exists]],1)-1</f>
        <v>78</v>
      </c>
      <c r="AB81" s="101">
        <f>IF(AND(FormFields[[#This Row],[Attribute]]="",FormFields[[#This Row],[Rel]]=""),0,1)</f>
        <v>1</v>
      </c>
      <c r="AC81" s="101">
        <f>IF(FormFields[[#This Row],[NO2]]=0,"id",FormFields[[#This Row],[NO2]]+IF(ISNUMBER(VLOOKUP('Table Seed Map'!$A$13,SeedMap[],9,0)),VLOOKUP('Table Seed Map'!$A$13,SeedMap[],9,0),0))</f>
        <v>2112178</v>
      </c>
      <c r="AD81" s="102">
        <f>IF(FormFields[[#This Row],[ID]]="id","form_field",FormFields[[#This Row],[ID]])</f>
        <v>2111179</v>
      </c>
      <c r="AE81" s="101" t="str">
        <f>IF(FormFields[[#This Row],[No]]=0,"attribute",FormFields[[#This Row],[Name]])</f>
        <v>name</v>
      </c>
      <c r="AF81" s="103" t="str">
        <f>IF(FormFields[[#This Row],[NO2]]=0,"relation",IF(FormFields[[#This Row],[Rel]]="","",VLOOKUP(FormFields[[#This Row],[Rel]],RelationTable[[Display]:[RELID]],2,0)))</f>
        <v/>
      </c>
      <c r="AG81" s="103" t="str">
        <f>IF(FormFields[[#This Row],[NO2]]=0,"nest_relation1",IF(FormFields[[#This Row],[Rel1]]="","",VLOOKUP(FormFields[[#This Row],[Rel1]],RelationTable[[Display]:[RELID]],2,0)))</f>
        <v/>
      </c>
      <c r="AH81" s="103" t="str">
        <f>IF(FormFields[[#This Row],[NO2]]=0,"nest_relation2",IF(FormFields[[#This Row],[Rel2]]="","",VLOOKUP(FormFields[[#This Row],[Rel2]],RelationTable[[Display]:[RELID]],2,0)))</f>
        <v/>
      </c>
      <c r="AI81" s="103" t="str">
        <f>IF(FormFields[[#This Row],[NO2]]=0,"nest_relation3",IF(FormFields[[#This Row],[Rel3]]="","",VLOOKUP(FormFields[[#This Row],[Rel3]],RelationTable[[Display]:[RELID]],2,0)))</f>
        <v/>
      </c>
      <c r="AJ81" s="96">
        <f>IF(OR(FormFields[[#This Row],[Option Type]]="",FormFields[[#This Row],[Option Type]]="type"),0,1)</f>
        <v>0</v>
      </c>
      <c r="AK81" s="96" t="str">
        <f>'Table Seed Map'!$A$14&amp;"-"&amp;FormFields[[#This Row],[NO4]]</f>
        <v>Field Options-36</v>
      </c>
      <c r="AL81" s="96">
        <f>COUNTIF($AJ$2:FormFields[[#This Row],[Exists FO]],1)</f>
        <v>36</v>
      </c>
      <c r="AM81" s="96">
        <f>IF(FormFields[[#This Row],[NO4]]=0,"id",FormFields[[#This Row],[NO4]]+IF(ISNUMBER(VLOOKUP('Table Seed Map'!$A$14,SeedMap[],9,0)),VLOOKUP('Table Seed Map'!$A$14,SeedMap[],9,0),0))</f>
        <v>2113136</v>
      </c>
      <c r="AN81" s="104">
        <f>IF(FormFields[[#This Row],[ID]]="id","form_field",FormFields[[#This Row],[ID]])</f>
        <v>2111179</v>
      </c>
      <c r="AO81" s="105"/>
      <c r="AP81" s="105"/>
      <c r="AQ81" s="105"/>
      <c r="AR81" s="105"/>
      <c r="AS81" s="105"/>
      <c r="AT81" s="96">
        <f>IF(OR(FormFields[[#This Row],[Colspan]]="",FormFields[[#This Row],[Colspan]]="colspan"),0,1)</f>
        <v>1</v>
      </c>
      <c r="AU81" s="96" t="str">
        <f>'Table Seed Map'!$A$19&amp;"-"&amp;FormFields[[#This Row],[NO8]]</f>
        <v>Form Layout-8</v>
      </c>
      <c r="AV81" s="96">
        <f>COUNTIF($AT$1:FormFields[[#This Row],[Exists FL]],1)</f>
        <v>8</v>
      </c>
      <c r="AW81" s="96">
        <f>IF(FormFields[[#This Row],[NO8]]=0,"id",IF(FormFields[[#This Row],[Exists FL]]=1,FormFields[[#This Row],[NO8]]+IF(ISNUMBER(VLOOKUP('Table Seed Map'!$A$19,SeedMap[],9,0)),VLOOKUP('Table Seed Map'!$A$19,SeedMap[],9,0),0),""))</f>
        <v>2118108</v>
      </c>
      <c r="AX81" s="96">
        <f>[Form]</f>
        <v>2110126</v>
      </c>
      <c r="AY81" s="96">
        <f>IF(FormFields[[#This Row],[ID]]="id","form_field",FormFields[[#This Row],[ID]])</f>
        <v>2111179</v>
      </c>
      <c r="AZ81" s="106">
        <v>7</v>
      </c>
      <c r="BA81" s="104">
        <f>FormFields[[#This Row],[ID]]</f>
        <v>2111179</v>
      </c>
    </row>
    <row r="82" spans="13:53">
      <c r="M82" s="95" t="str">
        <f>'Table Seed Map'!$A$12&amp;"-"&amp;FormFields[[#This Row],[No]]</f>
        <v>Form Fields-80</v>
      </c>
      <c r="N82" s="81" t="s">
        <v>1766</v>
      </c>
      <c r="O82" s="96">
        <f>COUNTA($N$1:FormFields[[#This Row],[Form Name]])-1</f>
        <v>80</v>
      </c>
      <c r="P82" s="95" t="str">
        <f>FormFields[[#This Row],[Form Name]]&amp;"/"&amp;FormFields[[#This Row],[Name]]</f>
        <v>Item/EditItemForm/status</v>
      </c>
      <c r="Q82" s="96">
        <f>IF(FormFields[[#This Row],[No]]=0,"id",FormFields[[#This Row],[No]]+IF(ISNUMBER(VLOOKUP('Table Seed Map'!$A$12,SeedMap[],9,0)),VLOOKUP('Table Seed Map'!$A$12,SeedMap[],9,0),0))</f>
        <v>2111180</v>
      </c>
      <c r="R82" s="97">
        <f>IFERROR(VLOOKUP(FormFields[[#This Row],[Form Name]],ResourceForms[[FormName]:[ID]],4,0),"resource_form")</f>
        <v>2110126</v>
      </c>
      <c r="S82" s="98" t="s">
        <v>804</v>
      </c>
      <c r="T82" s="98" t="s">
        <v>1189</v>
      </c>
      <c r="U82" s="98" t="s">
        <v>1190</v>
      </c>
      <c r="V82" s="99"/>
      <c r="W82" s="99"/>
      <c r="X82" s="99"/>
      <c r="Y82" s="99"/>
      <c r="Z82" s="100" t="str">
        <f>'Table Seed Map'!$A$13&amp;"-"&amp;FormFields[[#This Row],[NO2]]</f>
        <v>Field Data-79</v>
      </c>
      <c r="AA82" s="101">
        <f>COUNTIFS($AB$1:FormFields[[#This Row],[Exists]],1)-1</f>
        <v>79</v>
      </c>
      <c r="AB82" s="101">
        <f>IF(AND(FormFields[[#This Row],[Attribute]]="",FormFields[[#This Row],[Rel]]=""),0,1)</f>
        <v>1</v>
      </c>
      <c r="AC82" s="101">
        <f>IF(FormFields[[#This Row],[NO2]]=0,"id",FormFields[[#This Row],[NO2]]+IF(ISNUMBER(VLOOKUP('Table Seed Map'!$A$13,SeedMap[],9,0)),VLOOKUP('Table Seed Map'!$A$13,SeedMap[],9,0),0))</f>
        <v>2112179</v>
      </c>
      <c r="AD82" s="102">
        <f>IF(FormFields[[#This Row],[ID]]="id","form_field",FormFields[[#This Row],[ID]])</f>
        <v>2111180</v>
      </c>
      <c r="AE82" s="101" t="str">
        <f>IF(FormFields[[#This Row],[No]]=0,"attribute",FormFields[[#This Row],[Name]])</f>
        <v>status</v>
      </c>
      <c r="AF82" s="103" t="str">
        <f>IF(FormFields[[#This Row],[NO2]]=0,"relation",IF(FormFields[[#This Row],[Rel]]="","",VLOOKUP(FormFields[[#This Row],[Rel]],RelationTable[[Display]:[RELID]],2,0)))</f>
        <v/>
      </c>
      <c r="AG82" s="103" t="str">
        <f>IF(FormFields[[#This Row],[NO2]]=0,"nest_relation1",IF(FormFields[[#This Row],[Rel1]]="","",VLOOKUP(FormFields[[#This Row],[Rel1]],RelationTable[[Display]:[RELID]],2,0)))</f>
        <v/>
      </c>
      <c r="AH82" s="103" t="str">
        <f>IF(FormFields[[#This Row],[NO2]]=0,"nest_relation2",IF(FormFields[[#This Row],[Rel2]]="","",VLOOKUP(FormFields[[#This Row],[Rel2]],RelationTable[[Display]:[RELID]],2,0)))</f>
        <v/>
      </c>
      <c r="AI82" s="103" t="str">
        <f>IF(FormFields[[#This Row],[NO2]]=0,"nest_relation3",IF(FormFields[[#This Row],[Rel3]]="","",VLOOKUP(FormFields[[#This Row],[Rel3]],RelationTable[[Display]:[RELID]],2,0)))</f>
        <v/>
      </c>
      <c r="AJ82" s="96">
        <f>IF(OR(FormFields[[#This Row],[Option Type]]="",FormFields[[#This Row],[Option Type]]="type"),0,1)</f>
        <v>1</v>
      </c>
      <c r="AK82" s="96" t="str">
        <f>'Table Seed Map'!$A$14&amp;"-"&amp;FormFields[[#This Row],[NO4]]</f>
        <v>Field Options-37</v>
      </c>
      <c r="AL82" s="96">
        <f>COUNTIF($AJ$2:FormFields[[#This Row],[Exists FO]],1)</f>
        <v>37</v>
      </c>
      <c r="AM82" s="96">
        <f>IF(FormFields[[#This Row],[NO4]]=0,"id",FormFields[[#This Row],[NO4]]+IF(ISNUMBER(VLOOKUP('Table Seed Map'!$A$14,SeedMap[],9,0)),VLOOKUP('Table Seed Map'!$A$14,SeedMap[],9,0),0))</f>
        <v>2113137</v>
      </c>
      <c r="AN82" s="104">
        <f>IF(FormFields[[#This Row],[ID]]="id","form_field",FormFields[[#This Row],[ID]])</f>
        <v>2111180</v>
      </c>
      <c r="AO82" s="105" t="s">
        <v>1191</v>
      </c>
      <c r="AP82" s="105"/>
      <c r="AQ82" s="105"/>
      <c r="AR82" s="105"/>
      <c r="AS82" s="105"/>
      <c r="AT82" s="96">
        <f>IF(OR(FormFields[[#This Row],[Colspan]]="",FormFields[[#This Row],[Colspan]]="colspan"),0,1)</f>
        <v>1</v>
      </c>
      <c r="AU82" s="96" t="str">
        <f>'Table Seed Map'!$A$19&amp;"-"&amp;FormFields[[#This Row],[NO8]]</f>
        <v>Form Layout-9</v>
      </c>
      <c r="AV82" s="96">
        <f>COUNTIF($AT$1:FormFields[[#This Row],[Exists FL]],1)</f>
        <v>9</v>
      </c>
      <c r="AW82" s="96">
        <f>IF(FormFields[[#This Row],[NO8]]=0,"id",IF(FormFields[[#This Row],[Exists FL]]=1,FormFields[[#This Row],[NO8]]+IF(ISNUMBER(VLOOKUP('Table Seed Map'!$A$19,SeedMap[],9,0)),VLOOKUP('Table Seed Map'!$A$19,SeedMap[],9,0),0),""))</f>
        <v>2118109</v>
      </c>
      <c r="AX82" s="96">
        <f>[Form]</f>
        <v>2110126</v>
      </c>
      <c r="AY82" s="96">
        <f>IF(FormFields[[#This Row],[ID]]="id","form_field",FormFields[[#This Row],[ID]])</f>
        <v>2111180</v>
      </c>
      <c r="AZ82" s="106">
        <v>5</v>
      </c>
      <c r="BA82" s="104">
        <f>FormFields[[#This Row],[ID]]</f>
        <v>2111180</v>
      </c>
    </row>
    <row r="83" spans="13:53">
      <c r="M83" s="95" t="str">
        <f>'Table Seed Map'!$A$12&amp;"-"&amp;FormFields[[#This Row],[No]]</f>
        <v>Form Fields-81</v>
      </c>
      <c r="N83" s="81" t="s">
        <v>1766</v>
      </c>
      <c r="O83" s="96">
        <f>COUNTA($N$1:FormFields[[#This Row],[Form Name]])-1</f>
        <v>81</v>
      </c>
      <c r="P83" s="95" t="str">
        <f>FormFields[[#This Row],[Form Name]]&amp;"/"&amp;FormFields[[#This Row],[Name]]</f>
        <v>Item/EditItemForm/description</v>
      </c>
      <c r="Q83" s="96">
        <f>IF(FormFields[[#This Row],[No]]=0,"id",FormFields[[#This Row],[No]]+IF(ISNUMBER(VLOOKUP('Table Seed Map'!$A$12,SeedMap[],9,0)),VLOOKUP('Table Seed Map'!$A$12,SeedMap[],9,0),0))</f>
        <v>2111181</v>
      </c>
      <c r="R83" s="97">
        <f>IFERROR(VLOOKUP(FormFields[[#This Row],[Form Name]],ResourceForms[[FormName]:[ID]],4,0),"resource_form")</f>
        <v>2110126</v>
      </c>
      <c r="S83" s="98" t="s">
        <v>24</v>
      </c>
      <c r="T83" s="98" t="s">
        <v>1153</v>
      </c>
      <c r="U83" s="98" t="s">
        <v>102</v>
      </c>
      <c r="V83" s="99"/>
      <c r="W83" s="99"/>
      <c r="X83" s="99"/>
      <c r="Y83" s="99"/>
      <c r="Z83" s="100" t="str">
        <f>'Table Seed Map'!$A$13&amp;"-"&amp;FormFields[[#This Row],[NO2]]</f>
        <v>Field Data-80</v>
      </c>
      <c r="AA83" s="101">
        <f>COUNTIFS($AB$1:FormFields[[#This Row],[Exists]],1)-1</f>
        <v>80</v>
      </c>
      <c r="AB83" s="101">
        <f>IF(AND(FormFields[[#This Row],[Attribute]]="",FormFields[[#This Row],[Rel]]=""),0,1)</f>
        <v>1</v>
      </c>
      <c r="AC83" s="101">
        <f>IF(FormFields[[#This Row],[NO2]]=0,"id",FormFields[[#This Row],[NO2]]+IF(ISNUMBER(VLOOKUP('Table Seed Map'!$A$13,SeedMap[],9,0)),VLOOKUP('Table Seed Map'!$A$13,SeedMap[],9,0),0))</f>
        <v>2112180</v>
      </c>
      <c r="AD83" s="102">
        <f>IF(FormFields[[#This Row],[ID]]="id","form_field",FormFields[[#This Row],[ID]])</f>
        <v>2111181</v>
      </c>
      <c r="AE83" s="101" t="str">
        <f>IF(FormFields[[#This Row],[No]]=0,"attribute",FormFields[[#This Row],[Name]])</f>
        <v>description</v>
      </c>
      <c r="AF83" s="103" t="str">
        <f>IF(FormFields[[#This Row],[NO2]]=0,"relation",IF(FormFields[[#This Row],[Rel]]="","",VLOOKUP(FormFields[[#This Row],[Rel]],RelationTable[[Display]:[RELID]],2,0)))</f>
        <v/>
      </c>
      <c r="AG83" s="103" t="str">
        <f>IF(FormFields[[#This Row],[NO2]]=0,"nest_relation1",IF(FormFields[[#This Row],[Rel1]]="","",VLOOKUP(FormFields[[#This Row],[Rel1]],RelationTable[[Display]:[RELID]],2,0)))</f>
        <v/>
      </c>
      <c r="AH83" s="103" t="str">
        <f>IF(FormFields[[#This Row],[NO2]]=0,"nest_relation2",IF(FormFields[[#This Row],[Rel2]]="","",VLOOKUP(FormFields[[#This Row],[Rel2]],RelationTable[[Display]:[RELID]],2,0)))</f>
        <v/>
      </c>
      <c r="AI83" s="103" t="str">
        <f>IF(FormFields[[#This Row],[NO2]]=0,"nest_relation3",IF(FormFields[[#This Row],[Rel3]]="","",VLOOKUP(FormFields[[#This Row],[Rel3]],RelationTable[[Display]:[RELID]],2,0)))</f>
        <v/>
      </c>
      <c r="AJ83" s="96">
        <f>IF(OR(FormFields[[#This Row],[Option Type]]="",FormFields[[#This Row],[Option Type]]="type"),0,1)</f>
        <v>0</v>
      </c>
      <c r="AK83" s="96" t="str">
        <f>'Table Seed Map'!$A$14&amp;"-"&amp;FormFields[[#This Row],[NO4]]</f>
        <v>Field Options-37</v>
      </c>
      <c r="AL83" s="96">
        <f>COUNTIF($AJ$2:FormFields[[#This Row],[Exists FO]],1)</f>
        <v>37</v>
      </c>
      <c r="AM83" s="96">
        <f>IF(FormFields[[#This Row],[NO4]]=0,"id",FormFields[[#This Row],[NO4]]+IF(ISNUMBER(VLOOKUP('Table Seed Map'!$A$14,SeedMap[],9,0)),VLOOKUP('Table Seed Map'!$A$14,SeedMap[],9,0),0))</f>
        <v>2113137</v>
      </c>
      <c r="AN83" s="104">
        <f>IF(FormFields[[#This Row],[ID]]="id","form_field",FormFields[[#This Row],[ID]])</f>
        <v>2111181</v>
      </c>
      <c r="AO83" s="105"/>
      <c r="AP83" s="105"/>
      <c r="AQ83" s="105"/>
      <c r="AR83" s="105"/>
      <c r="AS83" s="105"/>
      <c r="AT83" s="96">
        <f>IF(OR(FormFields[[#This Row],[Colspan]]="",FormFields[[#This Row],[Colspan]]="colspan"),0,1)</f>
        <v>1</v>
      </c>
      <c r="AU83" s="96" t="str">
        <f>'Table Seed Map'!$A$19&amp;"-"&amp;FormFields[[#This Row],[NO8]]</f>
        <v>Form Layout-10</v>
      </c>
      <c r="AV83" s="96">
        <f>COUNTIF($AT$1:FormFields[[#This Row],[Exists FL]],1)</f>
        <v>10</v>
      </c>
      <c r="AW83" s="96">
        <f>IF(FormFields[[#This Row],[NO8]]=0,"id",IF(FormFields[[#This Row],[Exists FL]]=1,FormFields[[#This Row],[NO8]]+IF(ISNUMBER(VLOOKUP('Table Seed Map'!$A$19,SeedMap[],9,0)),VLOOKUP('Table Seed Map'!$A$19,SeedMap[],9,0),0),""))</f>
        <v>2118110</v>
      </c>
      <c r="AX83" s="96">
        <f>[Form]</f>
        <v>2110126</v>
      </c>
      <c r="AY83" s="96">
        <f>IF(FormFields[[#This Row],[ID]]="id","form_field",FormFields[[#This Row],[ID]])</f>
        <v>2111181</v>
      </c>
      <c r="AZ83" s="106">
        <v>12</v>
      </c>
      <c r="BA83" s="104">
        <f>FormFields[[#This Row],[ID]]</f>
        <v>2111181</v>
      </c>
    </row>
    <row r="84" spans="13:53">
      <c r="M84" s="95" t="str">
        <f>'Table Seed Map'!$A$12&amp;"-"&amp;FormFields[[#This Row],[No]]</f>
        <v>Form Fields-82</v>
      </c>
      <c r="N84" s="81" t="s">
        <v>1778</v>
      </c>
      <c r="O84" s="96">
        <f>COUNTA($N$1:FormFields[[#This Row],[Form Name]])-1</f>
        <v>82</v>
      </c>
      <c r="P84" s="95" t="str">
        <f>FormFields[[#This Row],[Form Name]]&amp;"/"&amp;FormFields[[#This Row],[Name]]</f>
        <v>Order/EditOrderForm/customer</v>
      </c>
      <c r="Q84" s="96">
        <f>IF(FormFields[[#This Row],[No]]=0,"id",FormFields[[#This Row],[No]]+IF(ISNUMBER(VLOOKUP('Table Seed Map'!$A$12,SeedMap[],9,0)),VLOOKUP('Table Seed Map'!$A$12,SeedMap[],9,0),0))</f>
        <v>2111182</v>
      </c>
      <c r="R84" s="97">
        <f>IFERROR(VLOOKUP(FormFields[[#This Row],[Form Name]],ResourceForms[[FormName]:[ID]],4,0),"resource_form")</f>
        <v>2110127</v>
      </c>
      <c r="S84" s="98" t="s">
        <v>830</v>
      </c>
      <c r="T84" s="98" t="s">
        <v>1189</v>
      </c>
      <c r="U84" s="98" t="s">
        <v>785</v>
      </c>
      <c r="V84" s="99"/>
      <c r="W84" s="99"/>
      <c r="X84" s="99"/>
      <c r="Y84" s="99"/>
      <c r="Z84" s="100" t="str">
        <f>'Table Seed Map'!$A$13&amp;"-"&amp;FormFields[[#This Row],[NO2]]</f>
        <v>Field Data-81</v>
      </c>
      <c r="AA84" s="101">
        <f>COUNTIFS($AB$1:FormFields[[#This Row],[Exists]],1)-1</f>
        <v>81</v>
      </c>
      <c r="AB84" s="101">
        <f>IF(AND(FormFields[[#This Row],[Attribute]]="",FormFields[[#This Row],[Rel]]=""),0,1)</f>
        <v>1</v>
      </c>
      <c r="AC84" s="101">
        <f>IF(FormFields[[#This Row],[NO2]]=0,"id",FormFields[[#This Row],[NO2]]+IF(ISNUMBER(VLOOKUP('Table Seed Map'!$A$13,SeedMap[],9,0)),VLOOKUP('Table Seed Map'!$A$13,SeedMap[],9,0),0))</f>
        <v>2112181</v>
      </c>
      <c r="AD84" s="102">
        <f>IF(FormFields[[#This Row],[ID]]="id","form_field",FormFields[[#This Row],[ID]])</f>
        <v>2111182</v>
      </c>
      <c r="AE84" s="101" t="str">
        <f>IF(FormFields[[#This Row],[No]]=0,"attribute",FormFields[[#This Row],[Name]])</f>
        <v>customer</v>
      </c>
      <c r="AF84" s="103" t="str">
        <f>IF(FormFields[[#This Row],[NO2]]=0,"relation",IF(FormFields[[#This Row],[Rel]]="","",VLOOKUP(FormFields[[#This Row],[Rel]],RelationTable[[Display]:[RELID]],2,0)))</f>
        <v/>
      </c>
      <c r="AG84" s="103" t="str">
        <f>IF(FormFields[[#This Row],[NO2]]=0,"nest_relation1",IF(FormFields[[#This Row],[Rel1]]="","",VLOOKUP(FormFields[[#This Row],[Rel1]],RelationTable[[Display]:[RELID]],2,0)))</f>
        <v/>
      </c>
      <c r="AH84" s="103" t="str">
        <f>IF(FormFields[[#This Row],[NO2]]=0,"nest_relation2",IF(FormFields[[#This Row],[Rel2]]="","",VLOOKUP(FormFields[[#This Row],[Rel2]],RelationTable[[Display]:[RELID]],2,0)))</f>
        <v/>
      </c>
      <c r="AI84" s="103" t="str">
        <f>IF(FormFields[[#This Row],[NO2]]=0,"nest_relation3",IF(FormFields[[#This Row],[Rel3]]="","",VLOOKUP(FormFields[[#This Row],[Rel3]],RelationTable[[Display]:[RELID]],2,0)))</f>
        <v/>
      </c>
      <c r="AJ84" s="96">
        <f>IF(OR(FormFields[[#This Row],[Option Type]]="",FormFields[[#This Row],[Option Type]]="type"),0,1)</f>
        <v>1</v>
      </c>
      <c r="AK84" s="96" t="str">
        <f>'Table Seed Map'!$A$14&amp;"-"&amp;FormFields[[#This Row],[NO4]]</f>
        <v>Field Options-38</v>
      </c>
      <c r="AL84" s="96">
        <f>COUNTIF($AJ$2:FormFields[[#This Row],[Exists FO]],1)</f>
        <v>38</v>
      </c>
      <c r="AM84" s="96">
        <f>IF(FormFields[[#This Row],[NO4]]=0,"id",FormFields[[#This Row],[NO4]]+IF(ISNUMBER(VLOOKUP('Table Seed Map'!$A$14,SeedMap[],9,0)),VLOOKUP('Table Seed Map'!$A$14,SeedMap[],9,0),0))</f>
        <v>2113138</v>
      </c>
      <c r="AN84" s="104">
        <f>IF(FormFields[[#This Row],[ID]]="id","form_field",FormFields[[#This Row],[ID]])</f>
        <v>2111182</v>
      </c>
      <c r="AO84" s="105" t="s">
        <v>122</v>
      </c>
      <c r="AP84" s="105">
        <v>2123107</v>
      </c>
      <c r="AQ84" s="105" t="s">
        <v>21</v>
      </c>
      <c r="AR84" s="105" t="s">
        <v>23</v>
      </c>
      <c r="AS84" s="105"/>
      <c r="AT84" s="96">
        <f>IF(OR(FormFields[[#This Row],[Colspan]]="",FormFields[[#This Row],[Colspan]]="colspan"),0,1)</f>
        <v>1</v>
      </c>
      <c r="AU84" s="96" t="str">
        <f>'Table Seed Map'!$A$19&amp;"-"&amp;FormFields[[#This Row],[NO8]]</f>
        <v>Form Layout-11</v>
      </c>
      <c r="AV84" s="96">
        <f>COUNTIF($AT$1:FormFields[[#This Row],[Exists FL]],1)</f>
        <v>11</v>
      </c>
      <c r="AW84" s="96">
        <f>IF(FormFields[[#This Row],[NO8]]=0,"id",IF(FormFields[[#This Row],[Exists FL]]=1,FormFields[[#This Row],[NO8]]+IF(ISNUMBER(VLOOKUP('Table Seed Map'!$A$19,SeedMap[],9,0)),VLOOKUP('Table Seed Map'!$A$19,SeedMap[],9,0),0),""))</f>
        <v>2118111</v>
      </c>
      <c r="AX84" s="96">
        <f>[Form]</f>
        <v>2110127</v>
      </c>
      <c r="AY84" s="96">
        <f>IF(FormFields[[#This Row],[ID]]="id","form_field",FormFields[[#This Row],[ID]])</f>
        <v>2111182</v>
      </c>
      <c r="AZ84" s="106">
        <v>7</v>
      </c>
      <c r="BA84" s="104">
        <f>FormFields[[#This Row],[ID]]</f>
        <v>2111182</v>
      </c>
    </row>
    <row r="85" spans="13:53">
      <c r="M85" s="95" t="str">
        <f>'Table Seed Map'!$A$12&amp;"-"&amp;FormFields[[#This Row],[No]]</f>
        <v>Form Fields-83</v>
      </c>
      <c r="N85" s="81" t="s">
        <v>1778</v>
      </c>
      <c r="O85" s="96">
        <f>COUNTA($N$1:FormFields[[#This Row],[Form Name]])-1</f>
        <v>83</v>
      </c>
      <c r="P85" s="95" t="str">
        <f>FormFields[[#This Row],[Form Name]]&amp;"/"&amp;FormFields[[#This Row],[Name]]</f>
        <v>Order/EditOrderForm/date</v>
      </c>
      <c r="Q85" s="96">
        <f>IF(FormFields[[#This Row],[No]]=0,"id",FormFields[[#This Row],[No]]+IF(ISNUMBER(VLOOKUP('Table Seed Map'!$A$12,SeedMap[],9,0)),VLOOKUP('Table Seed Map'!$A$12,SeedMap[],9,0),0))</f>
        <v>2111183</v>
      </c>
      <c r="R85" s="97">
        <f>IFERROR(VLOOKUP(FormFields[[#This Row],[Form Name]],ResourceForms[[FormName]:[ID]],4,0),"resource_form")</f>
        <v>2110127</v>
      </c>
      <c r="S85" s="98" t="s">
        <v>827</v>
      </c>
      <c r="T85" s="98" t="s">
        <v>1137</v>
      </c>
      <c r="U85" s="98" t="s">
        <v>1331</v>
      </c>
      <c r="V85" s="99"/>
      <c r="W85" s="99"/>
      <c r="X85" s="99"/>
      <c r="Y85" s="99"/>
      <c r="Z85" s="100" t="str">
        <f>'Table Seed Map'!$A$13&amp;"-"&amp;FormFields[[#This Row],[NO2]]</f>
        <v>Field Data-82</v>
      </c>
      <c r="AA85" s="101">
        <f>COUNTIFS($AB$1:FormFields[[#This Row],[Exists]],1)-1</f>
        <v>82</v>
      </c>
      <c r="AB85" s="101">
        <f>IF(AND(FormFields[[#This Row],[Attribute]]="",FormFields[[#This Row],[Rel]]=""),0,1)</f>
        <v>1</v>
      </c>
      <c r="AC85" s="101">
        <f>IF(FormFields[[#This Row],[NO2]]=0,"id",FormFields[[#This Row],[NO2]]+IF(ISNUMBER(VLOOKUP('Table Seed Map'!$A$13,SeedMap[],9,0)),VLOOKUP('Table Seed Map'!$A$13,SeedMap[],9,0),0))</f>
        <v>2112182</v>
      </c>
      <c r="AD85" s="102">
        <f>IF(FormFields[[#This Row],[ID]]="id","form_field",FormFields[[#This Row],[ID]])</f>
        <v>2111183</v>
      </c>
      <c r="AE85" s="101" t="str">
        <f>IF(FormFields[[#This Row],[No]]=0,"attribute",FormFields[[#This Row],[Name]])</f>
        <v>date</v>
      </c>
      <c r="AF85" s="103" t="str">
        <f>IF(FormFields[[#This Row],[NO2]]=0,"relation",IF(FormFields[[#This Row],[Rel]]="","",VLOOKUP(FormFields[[#This Row],[Rel]],RelationTable[[Display]:[RELID]],2,0)))</f>
        <v/>
      </c>
      <c r="AG85" s="103" t="str">
        <f>IF(FormFields[[#This Row],[NO2]]=0,"nest_relation1",IF(FormFields[[#This Row],[Rel1]]="","",VLOOKUP(FormFields[[#This Row],[Rel1]],RelationTable[[Display]:[RELID]],2,0)))</f>
        <v/>
      </c>
      <c r="AH85" s="103" t="str">
        <f>IF(FormFields[[#This Row],[NO2]]=0,"nest_relation2",IF(FormFields[[#This Row],[Rel2]]="","",VLOOKUP(FormFields[[#This Row],[Rel2]],RelationTable[[Display]:[RELID]],2,0)))</f>
        <v/>
      </c>
      <c r="AI85" s="103" t="str">
        <f>IF(FormFields[[#This Row],[NO2]]=0,"nest_relation3",IF(FormFields[[#This Row],[Rel3]]="","",VLOOKUP(FormFields[[#This Row],[Rel3]],RelationTable[[Display]:[RELID]],2,0)))</f>
        <v/>
      </c>
      <c r="AJ85" s="96">
        <f>IF(OR(FormFields[[#This Row],[Option Type]]="",FormFields[[#This Row],[Option Type]]="type"),0,1)</f>
        <v>0</v>
      </c>
      <c r="AK85" s="96" t="str">
        <f>'Table Seed Map'!$A$14&amp;"-"&amp;FormFields[[#This Row],[NO4]]</f>
        <v>Field Options-38</v>
      </c>
      <c r="AL85" s="96">
        <f>COUNTIF($AJ$2:FormFields[[#This Row],[Exists FO]],1)</f>
        <v>38</v>
      </c>
      <c r="AM85" s="96">
        <f>IF(FormFields[[#This Row],[NO4]]=0,"id",FormFields[[#This Row],[NO4]]+IF(ISNUMBER(VLOOKUP('Table Seed Map'!$A$14,SeedMap[],9,0)),VLOOKUP('Table Seed Map'!$A$14,SeedMap[],9,0),0))</f>
        <v>2113138</v>
      </c>
      <c r="AN85" s="104">
        <f>IF(FormFields[[#This Row],[ID]]="id","form_field",FormFields[[#This Row],[ID]])</f>
        <v>2111183</v>
      </c>
      <c r="AO85" s="105"/>
      <c r="AP85" s="105"/>
      <c r="AQ85" s="105"/>
      <c r="AR85" s="105"/>
      <c r="AS85" s="105"/>
      <c r="AT85" s="96">
        <f>IF(OR(FormFields[[#This Row],[Colspan]]="",FormFields[[#This Row],[Colspan]]="colspan"),0,1)</f>
        <v>1</v>
      </c>
      <c r="AU85" s="96" t="str">
        <f>'Table Seed Map'!$A$19&amp;"-"&amp;FormFields[[#This Row],[NO8]]</f>
        <v>Form Layout-12</v>
      </c>
      <c r="AV85" s="96">
        <f>COUNTIF($AT$1:FormFields[[#This Row],[Exists FL]],1)</f>
        <v>12</v>
      </c>
      <c r="AW85" s="96">
        <f>IF(FormFields[[#This Row],[NO8]]=0,"id",IF(FormFields[[#This Row],[Exists FL]]=1,FormFields[[#This Row],[NO8]]+IF(ISNUMBER(VLOOKUP('Table Seed Map'!$A$19,SeedMap[],9,0)),VLOOKUP('Table Seed Map'!$A$19,SeedMap[],9,0),0),""))</f>
        <v>2118112</v>
      </c>
      <c r="AX85" s="96">
        <f>[Form]</f>
        <v>2110127</v>
      </c>
      <c r="AY85" s="96">
        <f>IF(FormFields[[#This Row],[ID]]="id","form_field",FormFields[[#This Row],[ID]])</f>
        <v>2111183</v>
      </c>
      <c r="AZ85" s="106">
        <v>5</v>
      </c>
      <c r="BA85" s="104">
        <f>FormFields[[#This Row],[ID]]</f>
        <v>2111183</v>
      </c>
    </row>
    <row r="86" spans="13:53">
      <c r="M86" s="95" t="str">
        <f>'Table Seed Map'!$A$12&amp;"-"&amp;FormFields[[#This Row],[No]]</f>
        <v>Form Fields-84</v>
      </c>
      <c r="N86" s="81" t="s">
        <v>1778</v>
      </c>
      <c r="O86" s="96">
        <f>COUNTA($N$1:FormFields[[#This Row],[Form Name]])-1</f>
        <v>84</v>
      </c>
      <c r="P86" s="95" t="str">
        <f>FormFields[[#This Row],[Form Name]]&amp;"/"&amp;FormFields[[#This Row],[Name]]</f>
        <v>Order/EditOrderForm/pl</v>
      </c>
      <c r="Q86" s="96">
        <f>IF(FormFields[[#This Row],[No]]=0,"id",FormFields[[#This Row],[No]]+IF(ISNUMBER(VLOOKUP('Table Seed Map'!$A$12,SeedMap[],9,0)),VLOOKUP('Table Seed Map'!$A$12,SeedMap[],9,0),0))</f>
        <v>2111184</v>
      </c>
      <c r="R86" s="97">
        <f>IFERROR(VLOOKUP(FormFields[[#This Row],[Form Name]],ResourceForms[[FormName]:[ID]],4,0),"resource_form")</f>
        <v>2110127</v>
      </c>
      <c r="S86" s="98" t="s">
        <v>820</v>
      </c>
      <c r="T86" s="98" t="s">
        <v>1189</v>
      </c>
      <c r="U86" s="98" t="s">
        <v>901</v>
      </c>
      <c r="V86" s="99"/>
      <c r="W86" s="99"/>
      <c r="X86" s="99"/>
      <c r="Y86" s="99"/>
      <c r="Z86" s="100" t="str">
        <f>'Table Seed Map'!$A$13&amp;"-"&amp;FormFields[[#This Row],[NO2]]</f>
        <v>Field Data-83</v>
      </c>
      <c r="AA86" s="101">
        <f>COUNTIFS($AB$1:FormFields[[#This Row],[Exists]],1)-1</f>
        <v>83</v>
      </c>
      <c r="AB86" s="101">
        <f>IF(AND(FormFields[[#This Row],[Attribute]]="",FormFields[[#This Row],[Rel]]=""),0,1)</f>
        <v>1</v>
      </c>
      <c r="AC86" s="101">
        <f>IF(FormFields[[#This Row],[NO2]]=0,"id",FormFields[[#This Row],[NO2]]+IF(ISNUMBER(VLOOKUP('Table Seed Map'!$A$13,SeedMap[],9,0)),VLOOKUP('Table Seed Map'!$A$13,SeedMap[],9,0),0))</f>
        <v>2112183</v>
      </c>
      <c r="AD86" s="102">
        <f>IF(FormFields[[#This Row],[ID]]="id","form_field",FormFields[[#This Row],[ID]])</f>
        <v>2111184</v>
      </c>
      <c r="AE86" s="101" t="str">
        <f>IF(FormFields[[#This Row],[No]]=0,"attribute",FormFields[[#This Row],[Name]])</f>
        <v>pl</v>
      </c>
      <c r="AF86" s="103" t="str">
        <f>IF(FormFields[[#This Row],[NO2]]=0,"relation",IF(FormFields[[#This Row],[Rel]]="","",VLOOKUP(FormFields[[#This Row],[Rel]],RelationTable[[Display]:[RELID]],2,0)))</f>
        <v/>
      </c>
      <c r="AG86" s="103" t="str">
        <f>IF(FormFields[[#This Row],[NO2]]=0,"nest_relation1",IF(FormFields[[#This Row],[Rel1]]="","",VLOOKUP(FormFields[[#This Row],[Rel1]],RelationTable[[Display]:[RELID]],2,0)))</f>
        <v/>
      </c>
      <c r="AH86" s="103" t="str">
        <f>IF(FormFields[[#This Row],[NO2]]=0,"nest_relation2",IF(FormFields[[#This Row],[Rel2]]="","",VLOOKUP(FormFields[[#This Row],[Rel2]],RelationTable[[Display]:[RELID]],2,0)))</f>
        <v/>
      </c>
      <c r="AI86" s="103" t="str">
        <f>IF(FormFields[[#This Row],[NO2]]=0,"nest_relation3",IF(FormFields[[#This Row],[Rel3]]="","",VLOOKUP(FormFields[[#This Row],[Rel3]],RelationTable[[Display]:[RELID]],2,0)))</f>
        <v/>
      </c>
      <c r="AJ86" s="96">
        <f>IF(OR(FormFields[[#This Row],[Option Type]]="",FormFields[[#This Row],[Option Type]]="type"),0,1)</f>
        <v>1</v>
      </c>
      <c r="AK86" s="96" t="str">
        <f>'Table Seed Map'!$A$14&amp;"-"&amp;FormFields[[#This Row],[NO4]]</f>
        <v>Field Options-39</v>
      </c>
      <c r="AL86" s="96">
        <f>COUNTIF($AJ$2:FormFields[[#This Row],[Exists FO]],1)</f>
        <v>39</v>
      </c>
      <c r="AM86" s="96">
        <f>IF(FormFields[[#This Row],[NO4]]=0,"id",FormFields[[#This Row],[NO4]]+IF(ISNUMBER(VLOOKUP('Table Seed Map'!$A$14,SeedMap[],9,0)),VLOOKUP('Table Seed Map'!$A$14,SeedMap[],9,0),0))</f>
        <v>2113139</v>
      </c>
      <c r="AN86" s="104">
        <f>IF(FormFields[[#This Row],[ID]]="id","form_field",FormFields[[#This Row],[ID]])</f>
        <v>2111184</v>
      </c>
      <c r="AO86" s="105" t="s">
        <v>278</v>
      </c>
      <c r="AP86" s="105"/>
      <c r="AQ86" s="105" t="s">
        <v>21</v>
      </c>
      <c r="AR86" s="105" t="s">
        <v>23</v>
      </c>
      <c r="AS86" s="105"/>
      <c r="AT86" s="96">
        <f>IF(OR(FormFields[[#This Row],[Colspan]]="",FormFields[[#This Row],[Colspan]]="colspan"),0,1)</f>
        <v>1</v>
      </c>
      <c r="AU86" s="96" t="str">
        <f>'Table Seed Map'!$A$19&amp;"-"&amp;FormFields[[#This Row],[NO8]]</f>
        <v>Form Layout-13</v>
      </c>
      <c r="AV86" s="96">
        <f>COUNTIF($AT$1:FormFields[[#This Row],[Exists FL]],1)</f>
        <v>13</v>
      </c>
      <c r="AW86" s="96">
        <f>IF(FormFields[[#This Row],[NO8]]=0,"id",IF(FormFields[[#This Row],[Exists FL]]=1,FormFields[[#This Row],[NO8]]+IF(ISNUMBER(VLOOKUP('Table Seed Map'!$A$19,SeedMap[],9,0)),VLOOKUP('Table Seed Map'!$A$19,SeedMap[],9,0),0),""))</f>
        <v>2118113</v>
      </c>
      <c r="AX86" s="96">
        <f>[Form]</f>
        <v>2110127</v>
      </c>
      <c r="AY86" s="96">
        <f>IF(FormFields[[#This Row],[ID]]="id","form_field",FormFields[[#This Row],[ID]])</f>
        <v>2111184</v>
      </c>
      <c r="AZ86" s="106">
        <v>6</v>
      </c>
      <c r="BA86" s="104">
        <f>FormFields[[#This Row],[ID]]</f>
        <v>2111184</v>
      </c>
    </row>
    <row r="87" spans="13:53">
      <c r="M87" s="95" t="str">
        <f>'Table Seed Map'!$A$12&amp;"-"&amp;FormFields[[#This Row],[No]]</f>
        <v>Form Fields-85</v>
      </c>
      <c r="N87" s="81" t="s">
        <v>1778</v>
      </c>
      <c r="O87" s="96">
        <f>COUNTA($N$1:FormFields[[#This Row],[Form Name]])-1</f>
        <v>85</v>
      </c>
      <c r="P87" s="95" t="str">
        <f>FormFields[[#This Row],[Form Name]]&amp;"/"&amp;FormFields[[#This Row],[Name]]</f>
        <v>Order/EditOrderForm/hub</v>
      </c>
      <c r="Q87" s="96">
        <f>IF(FormFields[[#This Row],[No]]=0,"id",FormFields[[#This Row],[No]]+IF(ISNUMBER(VLOOKUP('Table Seed Map'!$A$12,SeedMap[],9,0)),VLOOKUP('Table Seed Map'!$A$12,SeedMap[],9,0),0))</f>
        <v>2111185</v>
      </c>
      <c r="R87" s="97">
        <f>IFERROR(VLOOKUP(FormFields[[#This Row],[Form Name]],ResourceForms[[FormName]:[ID]],4,0),"resource_form")</f>
        <v>2110127</v>
      </c>
      <c r="S87" s="98" t="s">
        <v>809</v>
      </c>
      <c r="T87" s="98" t="s">
        <v>1189</v>
      </c>
      <c r="U87" s="98" t="s">
        <v>777</v>
      </c>
      <c r="V87" s="99"/>
      <c r="W87" s="99"/>
      <c r="X87" s="99"/>
      <c r="Y87" s="99"/>
      <c r="Z87" s="100" t="str">
        <f>'Table Seed Map'!$A$13&amp;"-"&amp;FormFields[[#This Row],[NO2]]</f>
        <v>Field Data-84</v>
      </c>
      <c r="AA87" s="101">
        <f>COUNTIFS($AB$1:FormFields[[#This Row],[Exists]],1)-1</f>
        <v>84</v>
      </c>
      <c r="AB87" s="101">
        <f>IF(AND(FormFields[[#This Row],[Attribute]]="",FormFields[[#This Row],[Rel]]=""),0,1)</f>
        <v>1</v>
      </c>
      <c r="AC87" s="101">
        <f>IF(FormFields[[#This Row],[NO2]]=0,"id",FormFields[[#This Row],[NO2]]+IF(ISNUMBER(VLOOKUP('Table Seed Map'!$A$13,SeedMap[],9,0)),VLOOKUP('Table Seed Map'!$A$13,SeedMap[],9,0),0))</f>
        <v>2112184</v>
      </c>
      <c r="AD87" s="102">
        <f>IF(FormFields[[#This Row],[ID]]="id","form_field",FormFields[[#This Row],[ID]])</f>
        <v>2111185</v>
      </c>
      <c r="AE87" s="101" t="str">
        <f>IF(FormFields[[#This Row],[No]]=0,"attribute",FormFields[[#This Row],[Name]])</f>
        <v>hub</v>
      </c>
      <c r="AF87" s="103" t="str">
        <f>IF(FormFields[[#This Row],[NO2]]=0,"relation",IF(FormFields[[#This Row],[Rel]]="","",VLOOKUP(FormFields[[#This Row],[Rel]],RelationTable[[Display]:[RELID]],2,0)))</f>
        <v/>
      </c>
      <c r="AG87" s="103" t="str">
        <f>IF(FormFields[[#This Row],[NO2]]=0,"nest_relation1",IF(FormFields[[#This Row],[Rel1]]="","",VLOOKUP(FormFields[[#This Row],[Rel1]],RelationTable[[Display]:[RELID]],2,0)))</f>
        <v/>
      </c>
      <c r="AH87" s="103" t="str">
        <f>IF(FormFields[[#This Row],[NO2]]=0,"nest_relation2",IF(FormFields[[#This Row],[Rel2]]="","",VLOOKUP(FormFields[[#This Row],[Rel2]],RelationTable[[Display]:[RELID]],2,0)))</f>
        <v/>
      </c>
      <c r="AI87" s="103" t="str">
        <f>IF(FormFields[[#This Row],[NO2]]=0,"nest_relation3",IF(FormFields[[#This Row],[Rel3]]="","",VLOOKUP(FormFields[[#This Row],[Rel3]],RelationTable[[Display]:[RELID]],2,0)))</f>
        <v/>
      </c>
      <c r="AJ87" s="96">
        <f>IF(OR(FormFields[[#This Row],[Option Type]]="",FormFields[[#This Row],[Option Type]]="type"),0,1)</f>
        <v>1</v>
      </c>
      <c r="AK87" s="96" t="str">
        <f>'Table Seed Map'!$A$14&amp;"-"&amp;FormFields[[#This Row],[NO4]]</f>
        <v>Field Options-40</v>
      </c>
      <c r="AL87" s="96">
        <f>COUNTIF($AJ$2:FormFields[[#This Row],[Exists FO]],1)</f>
        <v>40</v>
      </c>
      <c r="AM87" s="96">
        <f>IF(FormFields[[#This Row],[NO4]]=0,"id",FormFields[[#This Row],[NO4]]+IF(ISNUMBER(VLOOKUP('Table Seed Map'!$A$14,SeedMap[],9,0)),VLOOKUP('Table Seed Map'!$A$14,SeedMap[],9,0),0))</f>
        <v>2113140</v>
      </c>
      <c r="AN87" s="104">
        <f>IF(FormFields[[#This Row],[ID]]="id","form_field",FormFields[[#This Row],[ID]])</f>
        <v>2111185</v>
      </c>
      <c r="AO87" s="105" t="s">
        <v>278</v>
      </c>
      <c r="AP87" s="105"/>
      <c r="AQ87" s="105" t="s">
        <v>21</v>
      </c>
      <c r="AR87" s="105" t="s">
        <v>23</v>
      </c>
      <c r="AS87" s="105"/>
      <c r="AT87" s="96">
        <f>IF(OR(FormFields[[#This Row],[Colspan]]="",FormFields[[#This Row],[Colspan]]="colspan"),0,1)</f>
        <v>1</v>
      </c>
      <c r="AU87" s="96" t="str">
        <f>'Table Seed Map'!$A$19&amp;"-"&amp;FormFields[[#This Row],[NO8]]</f>
        <v>Form Layout-14</v>
      </c>
      <c r="AV87" s="96">
        <f>COUNTIF($AT$1:FormFields[[#This Row],[Exists FL]],1)</f>
        <v>14</v>
      </c>
      <c r="AW87" s="96">
        <f>IF(FormFields[[#This Row],[NO8]]=0,"id",IF(FormFields[[#This Row],[Exists FL]]=1,FormFields[[#This Row],[NO8]]+IF(ISNUMBER(VLOOKUP('Table Seed Map'!$A$19,SeedMap[],9,0)),VLOOKUP('Table Seed Map'!$A$19,SeedMap[],9,0),0),""))</f>
        <v>2118114</v>
      </c>
      <c r="AX87" s="96">
        <f>[Form]</f>
        <v>2110127</v>
      </c>
      <c r="AY87" s="96">
        <f>IF(FormFields[[#This Row],[ID]]="id","form_field",FormFields[[#This Row],[ID]])</f>
        <v>2111185</v>
      </c>
      <c r="AZ87" s="106">
        <v>6</v>
      </c>
      <c r="BA87" s="104">
        <f>FormFields[[#This Row],[ID]]</f>
        <v>2111185</v>
      </c>
    </row>
    <row r="88" spans="13:53">
      <c r="M88" s="95" t="str">
        <f>'Table Seed Map'!$A$12&amp;"-"&amp;FormFields[[#This Row],[No]]</f>
        <v>Form Fields-86</v>
      </c>
      <c r="N88" s="81" t="s">
        <v>1976</v>
      </c>
      <c r="O88" s="96">
        <f>COUNTA($N$1:FormFields[[#This Row],[Form Name]])-1</f>
        <v>86</v>
      </c>
      <c r="P88" s="95" t="str">
        <f>FormFields[[#This Row],[Form Name]]&amp;"/"&amp;FormFields[[#This Row],[Name]]</f>
        <v>OrderItemServiceUser/JobStartForm/start_at</v>
      </c>
      <c r="Q88" s="96">
        <f>IF(FormFields[[#This Row],[No]]=0,"id",FormFields[[#This Row],[No]]+IF(ISNUMBER(VLOOKUP('Table Seed Map'!$A$12,SeedMap[],9,0)),VLOOKUP('Table Seed Map'!$A$12,SeedMap[],9,0),0))</f>
        <v>2111186</v>
      </c>
      <c r="R88" s="97">
        <f>IFERROR(VLOOKUP(FormFields[[#This Row],[Form Name]],ResourceForms[[FormName]:[ID]],4,0),"resource_form")</f>
        <v>2110128</v>
      </c>
      <c r="S88" s="98" t="s">
        <v>863</v>
      </c>
      <c r="T88" s="98" t="s">
        <v>1137</v>
      </c>
      <c r="U88" s="98" t="s">
        <v>1977</v>
      </c>
      <c r="V88" s="99"/>
      <c r="W88" s="99"/>
      <c r="X88" s="99"/>
      <c r="Y88" s="99"/>
      <c r="Z88" s="100" t="str">
        <f>'Table Seed Map'!$A$13&amp;"-"&amp;FormFields[[#This Row],[NO2]]</f>
        <v>Field Data-85</v>
      </c>
      <c r="AA88" s="101">
        <f>COUNTIFS($AB$1:FormFields[[#This Row],[Exists]],1)-1</f>
        <v>85</v>
      </c>
      <c r="AB88" s="101">
        <f>IF(AND(FormFields[[#This Row],[Attribute]]="",FormFields[[#This Row],[Rel]]=""),0,1)</f>
        <v>1</v>
      </c>
      <c r="AC88" s="101">
        <f>IF(FormFields[[#This Row],[NO2]]=0,"id",FormFields[[#This Row],[NO2]]+IF(ISNUMBER(VLOOKUP('Table Seed Map'!$A$13,SeedMap[],9,0)),VLOOKUP('Table Seed Map'!$A$13,SeedMap[],9,0),0))</f>
        <v>2112185</v>
      </c>
      <c r="AD88" s="102">
        <f>IF(FormFields[[#This Row],[ID]]="id","form_field",FormFields[[#This Row],[ID]])</f>
        <v>2111186</v>
      </c>
      <c r="AE88" s="101" t="str">
        <f>IF(FormFields[[#This Row],[No]]=0,"attribute",FormFields[[#This Row],[Name]])</f>
        <v>start_at</v>
      </c>
      <c r="AF88" s="103" t="str">
        <f>IF(FormFields[[#This Row],[NO2]]=0,"relation",IF(FormFields[[#This Row],[Rel]]="","",VLOOKUP(FormFields[[#This Row],[Rel]],RelationTable[[Display]:[RELID]],2,0)))</f>
        <v/>
      </c>
      <c r="AG88" s="103" t="str">
        <f>IF(FormFields[[#This Row],[NO2]]=0,"nest_relation1",IF(FormFields[[#This Row],[Rel1]]="","",VLOOKUP(FormFields[[#This Row],[Rel1]],RelationTable[[Display]:[RELID]],2,0)))</f>
        <v/>
      </c>
      <c r="AH88" s="103" t="str">
        <f>IF(FormFields[[#This Row],[NO2]]=0,"nest_relation2",IF(FormFields[[#This Row],[Rel2]]="","",VLOOKUP(FormFields[[#This Row],[Rel2]],RelationTable[[Display]:[RELID]],2,0)))</f>
        <v/>
      </c>
      <c r="AI88" s="103" t="str">
        <f>IF(FormFields[[#This Row],[NO2]]=0,"nest_relation3",IF(FormFields[[#This Row],[Rel3]]="","",VLOOKUP(FormFields[[#This Row],[Rel3]],RelationTable[[Display]:[RELID]],2,0)))</f>
        <v/>
      </c>
      <c r="AJ88" s="96">
        <f>IF(OR(FormFields[[#This Row],[Option Type]]="",FormFields[[#This Row],[Option Type]]="type"),0,1)</f>
        <v>0</v>
      </c>
      <c r="AK88" s="96" t="str">
        <f>'Table Seed Map'!$A$14&amp;"-"&amp;FormFields[[#This Row],[NO4]]</f>
        <v>Field Options-40</v>
      </c>
      <c r="AL88" s="96">
        <f>COUNTIF($AJ$2:FormFields[[#This Row],[Exists FO]],1)</f>
        <v>40</v>
      </c>
      <c r="AM88" s="96">
        <f>IF(FormFields[[#This Row],[NO4]]=0,"id",FormFields[[#This Row],[NO4]]+IF(ISNUMBER(VLOOKUP('Table Seed Map'!$A$14,SeedMap[],9,0)),VLOOKUP('Table Seed Map'!$A$14,SeedMap[],9,0),0))</f>
        <v>2113140</v>
      </c>
      <c r="AN88" s="104">
        <f>IF(FormFields[[#This Row],[ID]]="id","form_field",FormFields[[#This Row],[ID]])</f>
        <v>2111186</v>
      </c>
      <c r="AO88" s="105"/>
      <c r="AP88" s="105"/>
      <c r="AQ88" s="105"/>
      <c r="AR88" s="105"/>
      <c r="AS88" s="105"/>
      <c r="AT88" s="96">
        <f>IF(OR(FormFields[[#This Row],[Colspan]]="",FormFields[[#This Row],[Colspan]]="colspan"),0,1)</f>
        <v>0</v>
      </c>
      <c r="AU88" s="96" t="str">
        <f>'Table Seed Map'!$A$19&amp;"-"&amp;FormFields[[#This Row],[NO8]]</f>
        <v>Form Layout-14</v>
      </c>
      <c r="AV88" s="96">
        <f>COUNTIF($AT$1:FormFields[[#This Row],[Exists FL]],1)</f>
        <v>14</v>
      </c>
      <c r="AW8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8" s="96">
        <f>[Form]</f>
        <v>2110128</v>
      </c>
      <c r="AY88" s="96">
        <f>IF(FormFields[[#This Row],[ID]]="id","form_field",FormFields[[#This Row],[ID]])</f>
        <v>2111186</v>
      </c>
      <c r="AZ88" s="106"/>
      <c r="BA88" s="104">
        <f>FormFields[[#This Row],[ID]]</f>
        <v>2111186</v>
      </c>
    </row>
    <row r="89" spans="13:53">
      <c r="M89" s="95" t="str">
        <f>'Table Seed Map'!$A$12&amp;"-"&amp;FormFields[[#This Row],[No]]</f>
        <v>Form Fields-87</v>
      </c>
      <c r="N89" s="81" t="s">
        <v>1982</v>
      </c>
      <c r="O89" s="96">
        <f>COUNTA($N$1:FormFields[[#This Row],[Form Name]])-1</f>
        <v>87</v>
      </c>
      <c r="P89" s="95" t="str">
        <f>FormFields[[#This Row],[Form Name]]&amp;"/"&amp;FormFields[[#This Row],[Name]]</f>
        <v>OrderItemServiceUser/FinishJobForm/end_at</v>
      </c>
      <c r="Q89" s="96">
        <f>IF(FormFields[[#This Row],[No]]=0,"id",FormFields[[#This Row],[No]]+IF(ISNUMBER(VLOOKUP('Table Seed Map'!$A$12,SeedMap[],9,0)),VLOOKUP('Table Seed Map'!$A$12,SeedMap[],9,0),0))</f>
        <v>2111187</v>
      </c>
      <c r="R89" s="97">
        <f>IFERROR(VLOOKUP(FormFields[[#This Row],[Form Name]],ResourceForms[[FormName]:[ID]],4,0),"resource_form")</f>
        <v>2110129</v>
      </c>
      <c r="S89" s="98" t="s">
        <v>865</v>
      </c>
      <c r="T89" s="98" t="s">
        <v>1137</v>
      </c>
      <c r="U89" s="98" t="s">
        <v>1983</v>
      </c>
      <c r="V89" s="99"/>
      <c r="W89" s="99"/>
      <c r="X89" s="99"/>
      <c r="Y89" s="99"/>
      <c r="Z89" s="100" t="str">
        <f>'Table Seed Map'!$A$13&amp;"-"&amp;FormFields[[#This Row],[NO2]]</f>
        <v>Field Data-86</v>
      </c>
      <c r="AA89" s="101">
        <f>COUNTIFS($AB$1:FormFields[[#This Row],[Exists]],1)-1</f>
        <v>86</v>
      </c>
      <c r="AB89" s="101">
        <f>IF(AND(FormFields[[#This Row],[Attribute]]="",FormFields[[#This Row],[Rel]]=""),0,1)</f>
        <v>1</v>
      </c>
      <c r="AC89" s="101">
        <f>IF(FormFields[[#This Row],[NO2]]=0,"id",FormFields[[#This Row],[NO2]]+IF(ISNUMBER(VLOOKUP('Table Seed Map'!$A$13,SeedMap[],9,0)),VLOOKUP('Table Seed Map'!$A$13,SeedMap[],9,0),0))</f>
        <v>2112186</v>
      </c>
      <c r="AD89" s="102">
        <f>IF(FormFields[[#This Row],[ID]]="id","form_field",FormFields[[#This Row],[ID]])</f>
        <v>2111187</v>
      </c>
      <c r="AE89" s="101" t="str">
        <f>IF(FormFields[[#This Row],[No]]=0,"attribute",FormFields[[#This Row],[Name]])</f>
        <v>end_at</v>
      </c>
      <c r="AF89" s="103" t="str">
        <f>IF(FormFields[[#This Row],[NO2]]=0,"relation",IF(FormFields[[#This Row],[Rel]]="","",VLOOKUP(FormFields[[#This Row],[Rel]],RelationTable[[Display]:[RELID]],2,0)))</f>
        <v/>
      </c>
      <c r="AG89" s="103" t="str">
        <f>IF(FormFields[[#This Row],[NO2]]=0,"nest_relation1",IF(FormFields[[#This Row],[Rel1]]="","",VLOOKUP(FormFields[[#This Row],[Rel1]],RelationTable[[Display]:[RELID]],2,0)))</f>
        <v/>
      </c>
      <c r="AH89" s="103" t="str">
        <f>IF(FormFields[[#This Row],[NO2]]=0,"nest_relation2",IF(FormFields[[#This Row],[Rel2]]="","",VLOOKUP(FormFields[[#This Row],[Rel2]],RelationTable[[Display]:[RELID]],2,0)))</f>
        <v/>
      </c>
      <c r="AI89" s="103" t="str">
        <f>IF(FormFields[[#This Row],[NO2]]=0,"nest_relation3",IF(FormFields[[#This Row],[Rel3]]="","",VLOOKUP(FormFields[[#This Row],[Rel3]],RelationTable[[Display]:[RELID]],2,0)))</f>
        <v/>
      </c>
      <c r="AJ89" s="96">
        <f>IF(OR(FormFields[[#This Row],[Option Type]]="",FormFields[[#This Row],[Option Type]]="type"),0,1)</f>
        <v>0</v>
      </c>
      <c r="AK89" s="96" t="str">
        <f>'Table Seed Map'!$A$14&amp;"-"&amp;FormFields[[#This Row],[NO4]]</f>
        <v>Field Options-40</v>
      </c>
      <c r="AL89" s="96">
        <f>COUNTIF($AJ$2:FormFields[[#This Row],[Exists FO]],1)</f>
        <v>40</v>
      </c>
      <c r="AM89" s="96">
        <f>IF(FormFields[[#This Row],[NO4]]=0,"id",FormFields[[#This Row],[NO4]]+IF(ISNUMBER(VLOOKUP('Table Seed Map'!$A$14,SeedMap[],9,0)),VLOOKUP('Table Seed Map'!$A$14,SeedMap[],9,0),0))</f>
        <v>2113140</v>
      </c>
      <c r="AN89" s="104">
        <f>IF(FormFields[[#This Row],[ID]]="id","form_field",FormFields[[#This Row],[ID]])</f>
        <v>2111187</v>
      </c>
      <c r="AO89" s="105"/>
      <c r="AP89" s="105"/>
      <c r="AQ89" s="105"/>
      <c r="AR89" s="105"/>
      <c r="AS89" s="105"/>
      <c r="AT89" s="96">
        <f>IF(OR(FormFields[[#This Row],[Colspan]]="",FormFields[[#This Row],[Colspan]]="colspan"),0,1)</f>
        <v>0</v>
      </c>
      <c r="AU89" s="96" t="str">
        <f>'Table Seed Map'!$A$19&amp;"-"&amp;FormFields[[#This Row],[NO8]]</f>
        <v>Form Layout-14</v>
      </c>
      <c r="AV89" s="96">
        <f>COUNTIF($AT$1:FormFields[[#This Row],[Exists FL]],1)</f>
        <v>14</v>
      </c>
      <c r="AW8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9" s="96">
        <f>[Form]</f>
        <v>2110129</v>
      </c>
      <c r="AY89" s="96">
        <f>IF(FormFields[[#This Row],[ID]]="id","form_field",FormFields[[#This Row],[ID]])</f>
        <v>2111187</v>
      </c>
      <c r="AZ89" s="106"/>
      <c r="BA89" s="104">
        <f>FormFields[[#This Row],[ID]]</f>
        <v>2111187</v>
      </c>
    </row>
  </sheetData>
  <dataValidations count="9">
    <dataValidation type="list" allowBlank="1" showInputMessage="1" showErrorMessage="1" sqref="CS2:CY7 V2:Y89 BX2:BX5 EN2:ES9">
      <formula1>Relations</formula1>
    </dataValidation>
    <dataValidation type="list" allowBlank="1" showInputMessage="1" showErrorMessage="1" sqref="CH2:CH7 N2:N89 DY2:DY9 BV2:BW5">
      <formula1>FormNames</formula1>
    </dataValidation>
    <dataValidation type="list" allowBlank="1" showInputMessage="1" showErrorMessage="1" sqref="BJ2:BJ14 DB2:DB12 BC2:BC65 BY2:BY5 DN2 EA2:EA9">
      <formula1>FieldDisplayNames</formula1>
    </dataValidation>
    <dataValidation type="list" allowBlank="1" showInputMessage="1" showErrorMessage="1" sqref="DW2 DH2:DH1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:DZ9">
      <formula1>DataNames</formula1>
    </dataValidation>
    <dataValidation type="list" allowBlank="1" showInputMessage="1" showErrorMessage="1" sqref="DL2:DL12">
      <formula1>"ignore_null,Yes,No"</formula1>
    </dataValidation>
    <dataValidation type="list" allowBlank="1" showInputMessage="1" showErrorMessage="1" sqref="D2:D31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7"/>
  <sheetViews>
    <sheetView topLeftCell="A4" workbookViewId="0">
      <selection activeCell="H2" sqref="H2:H27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66">
        <f t="shared" ref="A2:A22" si="0">IFERROR($A1+1,1)</f>
        <v>1</v>
      </c>
      <c r="B2" s="1" t="s">
        <v>1020</v>
      </c>
      <c r="C2" s="61" t="str">
        <f>MID([Filename],26,LEN([Filename])-35)</f>
        <v>hubs</v>
      </c>
      <c r="D2" s="61" t="str">
        <f t="shared" ref="D2:D27" si="1">"2019_05_01_"</f>
        <v>2019_05_01_</v>
      </c>
      <c r="E2" s="61" t="str">
        <f>TEXT(MATCH(MigrationRenamer[[#This Row],[Table]],Tables[Table],0),"000000")</f>
        <v>000049</v>
      </c>
      <c r="F2" s="61" t="str">
        <f>RIGHT([Filename],LEN([Filename])-LEN([Date Part])-LEN([Sequence]))</f>
        <v>_create_hubs_table.php</v>
      </c>
      <c r="G2" s="61" t="str">
        <f>[Date Part]&amp;[Sequence]&amp;[Name Part]</f>
        <v>2019_05_01_000049_create_hubs_table.php</v>
      </c>
      <c r="H2" s="61" t="str">
        <f>IFERROR("ren "&amp;[Filename]&amp;" "&amp;[New Name],"del "&amp;[Filename])</f>
        <v>ren 2019_04_27_000045_create_hubs_table.php 2019_05_01_000049_create_hubs_table.php</v>
      </c>
    </row>
    <row r="3" spans="1:8">
      <c r="A3" s="66">
        <f t="shared" si="0"/>
        <v>2</v>
      </c>
      <c r="B3" s="1" t="s">
        <v>1021</v>
      </c>
      <c r="C3" s="61" t="str">
        <f>MID([Filename],26,LEN([Filename])-35)</f>
        <v>services</v>
      </c>
      <c r="D3" s="61" t="str">
        <f t="shared" si="1"/>
        <v>2019_05_01_</v>
      </c>
      <c r="E3" s="61" t="str">
        <f>TEXT(MATCH(MigrationRenamer[[#This Row],[Table]],Tables[Table],0),"000000")</f>
        <v>000050</v>
      </c>
      <c r="F3" s="61" t="str">
        <f>RIGHT([Filename],LEN([Filename])-LEN([Date Part])-LEN([Sequence]))</f>
        <v>_create_services_table.php</v>
      </c>
      <c r="G3" s="61" t="str">
        <f>[Date Part]&amp;[Sequence]&amp;[Name Part]</f>
        <v>2019_05_01_000050_create_services_table.php</v>
      </c>
      <c r="H3" s="61" t="str">
        <f>IFERROR("ren "&amp;[Filename]&amp;" "&amp;[New Name],"del "&amp;[Filename])</f>
        <v>ren 2019_04_27_000046_create_services_table.php 2019_05_01_000050_create_services_table.php</v>
      </c>
    </row>
    <row r="4" spans="1:8">
      <c r="A4" s="66">
        <f t="shared" si="0"/>
        <v>3</v>
      </c>
      <c r="B4" s="1" t="s">
        <v>1022</v>
      </c>
      <c r="C4" s="61" t="str">
        <f>MID([Filename],26,LEN([Filename])-35)</f>
        <v>items</v>
      </c>
      <c r="D4" s="61" t="str">
        <f t="shared" si="1"/>
        <v>2019_05_01_</v>
      </c>
      <c r="E4" s="61" t="str">
        <f>TEXT(MATCH(MigrationRenamer[[#This Row],[Table]],Tables[Table],0),"000000")</f>
        <v>000051</v>
      </c>
      <c r="F4" s="61" t="str">
        <f>RIGHT([Filename],LEN([Filename])-LEN([Date Part])-LEN([Sequence]))</f>
        <v>_create_items_table.php</v>
      </c>
      <c r="G4" s="61" t="str">
        <f>[Date Part]&amp;[Sequence]&amp;[Name Part]</f>
        <v>2019_05_01_000051_create_items_table.php</v>
      </c>
      <c r="H4" s="61" t="str">
        <f>IFERROR("ren "&amp;[Filename]&amp;" "&amp;[New Name],"del "&amp;[Filename])</f>
        <v>ren 2019_04_27_000047_create_items_table.php 2019_05_01_000051_create_items_table.php</v>
      </c>
    </row>
    <row r="5" spans="1:8">
      <c r="A5" s="66">
        <f t="shared" si="0"/>
        <v>4</v>
      </c>
      <c r="B5" s="1" t="s">
        <v>1023</v>
      </c>
      <c r="C5" s="61" t="str">
        <f>MID([Filename],26,LEN([Filename])-35)</f>
        <v>item_services</v>
      </c>
      <c r="D5" s="61" t="str">
        <f t="shared" si="1"/>
        <v>2019_05_01_</v>
      </c>
      <c r="E5" s="61" t="str">
        <f>TEXT(MATCH(MigrationRenamer[[#This Row],[Table]],Tables[Table],0),"000000")</f>
        <v>000052</v>
      </c>
      <c r="F5" s="61" t="str">
        <f>RIGHT([Filename],LEN([Filename])-LEN([Date Part])-LEN([Sequence]))</f>
        <v>_create_item_services_table.php</v>
      </c>
      <c r="G5" s="61" t="str">
        <f>[Date Part]&amp;[Sequence]&amp;[Name Part]</f>
        <v>2019_05_01_000052_create_item_services_table.php</v>
      </c>
      <c r="H5" s="61" t="str">
        <f>IFERROR("ren "&amp;[Filename]&amp;" "&amp;[New Name],"del "&amp;[Filename])</f>
        <v>ren 2019_04_27_000048_create_item_services_table.php 2019_05_01_000052_create_item_services_table.php</v>
      </c>
    </row>
    <row r="6" spans="1:8">
      <c r="A6" s="66">
        <f t="shared" si="0"/>
        <v>5</v>
      </c>
      <c r="B6" s="1" t="s">
        <v>1024</v>
      </c>
      <c r="C6" s="61" t="str">
        <f>MID([Filename],26,LEN([Filename])-35)</f>
        <v>user_services</v>
      </c>
      <c r="D6" s="61" t="str">
        <f t="shared" si="1"/>
        <v>2019_05_01_</v>
      </c>
      <c r="E6" s="61" t="str">
        <f>TEXT(MATCH(MigrationRenamer[[#This Row],[Table]],Tables[Table],0),"000000")</f>
        <v>000053</v>
      </c>
      <c r="F6" s="61" t="str">
        <f>RIGHT([Filename],LEN([Filename])-LEN([Date Part])-LEN([Sequence]))</f>
        <v>_create_user_services_table.php</v>
      </c>
      <c r="G6" s="61" t="str">
        <f>[Date Part]&amp;[Sequence]&amp;[Name Part]</f>
        <v>2019_05_01_000053_create_user_services_table.php</v>
      </c>
      <c r="H6" s="61" t="str">
        <f>IFERROR("ren "&amp;[Filename]&amp;" "&amp;[New Name],"del "&amp;[Filename])</f>
        <v>ren 2019_04_27_000049_create_user_services_table.php 2019_05_01_000053_create_user_services_table.php</v>
      </c>
    </row>
    <row r="7" spans="1:8">
      <c r="A7" s="66">
        <f t="shared" si="0"/>
        <v>6</v>
      </c>
      <c r="B7" s="1" t="s">
        <v>1025</v>
      </c>
      <c r="C7" s="61" t="str">
        <f>MID([Filename],26,LEN([Filename])-35)</f>
        <v>hub_users</v>
      </c>
      <c r="D7" s="61" t="str">
        <f t="shared" si="1"/>
        <v>2019_05_01_</v>
      </c>
      <c r="E7" s="61" t="str">
        <f>TEXT(MATCH(MigrationRenamer[[#This Row],[Table]],Tables[Table],0),"000000")</f>
        <v>000054</v>
      </c>
      <c r="F7" s="61" t="str">
        <f>RIGHT([Filename],LEN([Filename])-LEN([Date Part])-LEN([Sequence]))</f>
        <v>_create_hub_users_table.php</v>
      </c>
      <c r="G7" s="61" t="str">
        <f>[Date Part]&amp;[Sequence]&amp;[Name Part]</f>
        <v>2019_05_01_000054_create_hub_users_table.php</v>
      </c>
      <c r="H7" s="61" t="str">
        <f>IFERROR("ren "&amp;[Filename]&amp;" "&amp;[New Name],"del "&amp;[Filename])</f>
        <v>ren 2019_04_27_000050_create_hub_users_table.php 2019_05_01_000054_create_hub_users_table.php</v>
      </c>
    </row>
    <row r="8" spans="1:8">
      <c r="A8" s="66">
        <f t="shared" si="0"/>
        <v>7</v>
      </c>
      <c r="B8" s="1" t="s">
        <v>1160</v>
      </c>
      <c r="C8" s="61" t="str">
        <f>MID([Filename],26,LEN([Filename])-35)</f>
        <v>shelf</v>
      </c>
      <c r="D8" s="61" t="str">
        <f t="shared" si="1"/>
        <v>2019_05_01_</v>
      </c>
      <c r="E8" s="61" t="str">
        <f>TEXT(MATCH(MigrationRenamer[[#This Row],[Table]],Tables[Table],0),"000000")</f>
        <v>000055</v>
      </c>
      <c r="F8" s="61" t="str">
        <f>RIGHT([Filename],LEN([Filename])-LEN([Date Part])-LEN([Sequence]))</f>
        <v>_create_shelf_table.php</v>
      </c>
      <c r="G8" s="61" t="str">
        <f>[Date Part]&amp;[Sequence]&amp;[Name Part]</f>
        <v>2019_05_01_000055_create_shelf_table.php</v>
      </c>
      <c r="H8" s="61" t="str">
        <f>IFERROR("ren "&amp;[Filename]&amp;" "&amp;[New Name],"del "&amp;[Filename])</f>
        <v>ren 2019_04_27_000051_create_shelf_table.php 2019_05_01_000055_create_shelf_table.php</v>
      </c>
    </row>
    <row r="9" spans="1:8">
      <c r="A9" s="66">
        <f t="shared" si="0"/>
        <v>8</v>
      </c>
      <c r="B9" s="1" t="s">
        <v>1161</v>
      </c>
      <c r="C9" s="61" t="str">
        <f>MID([Filename],26,LEN([Filename])-35)</f>
        <v>hub_default_shelf</v>
      </c>
      <c r="D9" s="61" t="str">
        <f t="shared" si="1"/>
        <v>2019_05_01_</v>
      </c>
      <c r="E9" s="61" t="str">
        <f>TEXT(MATCH(MigrationRenamer[[#This Row],[Table]],Tables[Table],0),"000000")</f>
        <v>000056</v>
      </c>
      <c r="F9" s="61" t="str">
        <f>RIGHT([Filename],LEN([Filename])-LEN([Date Part])-LEN([Sequence]))</f>
        <v>_create_hub_default_shelf_table.php</v>
      </c>
      <c r="G9" s="61" t="str">
        <f>[Date Part]&amp;[Sequence]&amp;[Name Part]</f>
        <v>2019_05_01_000056_create_hub_default_shelf_table.php</v>
      </c>
      <c r="H9" s="61" t="str">
        <f>IFERROR("ren "&amp;[Filename]&amp;" "&amp;[New Name],"del "&amp;[Filename])</f>
        <v>ren 2019_04_27_000052_create_hub_default_shelf_table.php 2019_05_01_000056_create_hub_default_shelf_table.php</v>
      </c>
    </row>
    <row r="10" spans="1:8">
      <c r="A10" s="66">
        <f t="shared" si="0"/>
        <v>9</v>
      </c>
      <c r="B10" s="1" t="s">
        <v>1026</v>
      </c>
      <c r="C10" s="61" t="str">
        <f>MID([Filename],26,LEN([Filename])-35)</f>
        <v>pricelist</v>
      </c>
      <c r="D10" s="61" t="str">
        <f t="shared" si="1"/>
        <v>2019_05_01_</v>
      </c>
      <c r="E10" s="61" t="str">
        <f>TEXT(MATCH(MigrationRenamer[[#This Row],[Table]],Tables[Table],0),"000000")</f>
        <v>000057</v>
      </c>
      <c r="F10" s="61" t="str">
        <f>RIGHT([Filename],LEN([Filename])-LEN([Date Part])-LEN([Sequence]))</f>
        <v>_create_pricelist_table.php</v>
      </c>
      <c r="G10" s="61" t="str">
        <f>[Date Part]&amp;[Sequence]&amp;[Name Part]</f>
        <v>2019_05_01_000057_create_pricelist_table.php</v>
      </c>
      <c r="H10" s="61" t="str">
        <f>IFERROR("ren "&amp;[Filename]&amp;" "&amp;[New Name],"del "&amp;[Filename])</f>
        <v>ren 2019_04_27_000053_create_pricelist_table.php 2019_05_01_000057_create_pricelist_table.php</v>
      </c>
    </row>
    <row r="11" spans="1:8">
      <c r="A11" s="66">
        <f t="shared" si="0"/>
        <v>10</v>
      </c>
      <c r="B11" s="1" t="s">
        <v>1027</v>
      </c>
      <c r="C11" s="61" t="str">
        <f>MID([Filename],26,LEN([Filename])-35)</f>
        <v>pricelist_contents</v>
      </c>
      <c r="D11" s="61" t="str">
        <f t="shared" si="1"/>
        <v>2019_05_01_</v>
      </c>
      <c r="E11" s="61" t="str">
        <f>TEXT(MATCH(MigrationRenamer[[#This Row],[Table]],Tables[Table],0),"000000")</f>
        <v>000058</v>
      </c>
      <c r="F11" s="61" t="str">
        <f>RIGHT([Filename],LEN([Filename])-LEN([Date Part])-LEN([Sequence]))</f>
        <v>_create_pricelist_contents_table.php</v>
      </c>
      <c r="G11" s="61" t="str">
        <f>[Date Part]&amp;[Sequence]&amp;[Name Part]</f>
        <v>2019_05_01_000058_create_pricelist_contents_table.php</v>
      </c>
      <c r="H11" s="61" t="str">
        <f>IFERROR("ren "&amp;[Filename]&amp;" "&amp;[New Name],"del "&amp;[Filename])</f>
        <v>ren 2019_04_27_000054_create_pricelist_contents_table.php 2019_05_01_000058_create_pricelist_contents_table.php</v>
      </c>
    </row>
    <row r="12" spans="1:8">
      <c r="A12" s="66">
        <f t="shared" si="0"/>
        <v>11</v>
      </c>
      <c r="B12" s="1" t="s">
        <v>1028</v>
      </c>
      <c r="C12" s="61" t="str">
        <f>MID([Filename],26,LEN([Filename])-35)</f>
        <v>customers</v>
      </c>
      <c r="D12" s="61" t="str">
        <f t="shared" si="1"/>
        <v>2019_05_01_</v>
      </c>
      <c r="E12" s="61" t="str">
        <f>TEXT(MATCH(MigrationRenamer[[#This Row],[Table]],Tables[Table],0),"000000")</f>
        <v>000047</v>
      </c>
      <c r="F12" s="61" t="str">
        <f>RIGHT([Filename],LEN([Filename])-LEN([Date Part])-LEN([Sequence]))</f>
        <v>_create_customers_table.php</v>
      </c>
      <c r="G12" s="61" t="str">
        <f>[Date Part]&amp;[Sequence]&amp;[Name Part]</f>
        <v>2019_05_01_000047_create_customers_table.php</v>
      </c>
      <c r="H12" s="61" t="str">
        <f>IFERROR("ren "&amp;[Filename]&amp;" "&amp;[New Name],"del "&amp;[Filename])</f>
        <v>ren 2019_04_27_000055_create_customers_table.php 2019_05_01_000047_create_customers_table.php</v>
      </c>
    </row>
    <row r="13" spans="1:8">
      <c r="A13" s="66">
        <f t="shared" si="0"/>
        <v>12</v>
      </c>
      <c r="B13" s="1" t="s">
        <v>1343</v>
      </c>
      <c r="C13" s="61" t="str">
        <f>MID([Filename],26,LEN([Filename])-35)</f>
        <v>customer_details</v>
      </c>
      <c r="D13" s="61" t="str">
        <f t="shared" si="1"/>
        <v>2019_05_01_</v>
      </c>
      <c r="E13" s="61" t="str">
        <f>TEXT(MATCH(MigrationRenamer[[#This Row],[Table]],Tables[Table],0),"000000")</f>
        <v>000048</v>
      </c>
      <c r="F13" s="61" t="str">
        <f>RIGHT([Filename],LEN([Filename])-LEN([Date Part])-LEN([Sequence]))</f>
        <v>_create_customer_details_table.php</v>
      </c>
      <c r="G13" s="61" t="str">
        <f>[Date Part]&amp;[Sequence]&amp;[Name Part]</f>
        <v>2019_05_01_000048_create_customer_details_table.php</v>
      </c>
      <c r="H13" s="61" t="str">
        <f>IFERROR("ren "&amp;[Filename]&amp;" "&amp;[New Name],"del "&amp;[Filename])</f>
        <v>ren 2019_04_27_000056_create_customer_details_table.php 2019_05_01_000048_create_customer_details_table.php</v>
      </c>
    </row>
    <row r="14" spans="1:8">
      <c r="A14" s="66">
        <f t="shared" si="0"/>
        <v>13</v>
      </c>
      <c r="B14" s="1" t="s">
        <v>1163</v>
      </c>
      <c r="C14" s="61" t="str">
        <f>MID([Filename],26,LEN([Filename])-35)</f>
        <v>identity_labels</v>
      </c>
      <c r="D14" s="61" t="str">
        <f t="shared" si="1"/>
        <v>2019_05_01_</v>
      </c>
      <c r="E14" s="61" t="str">
        <f>TEXT(MATCH(MigrationRenamer[[#This Row],[Table]],Tables[Table],0),"000000")</f>
        <v>000059</v>
      </c>
      <c r="F14" s="61" t="str">
        <f>RIGHT([Filename],LEN([Filename])-LEN([Date Part])-LEN([Sequence]))</f>
        <v>_create_identity_labels_table.php</v>
      </c>
      <c r="G14" s="61" t="str">
        <f>[Date Part]&amp;[Sequence]&amp;[Name Part]</f>
        <v>2019_05_01_000059_create_identity_labels_table.php</v>
      </c>
      <c r="H14" s="61" t="str">
        <f>IFERROR("ren "&amp;[Filename]&amp;" "&amp;[New Name],"del "&amp;[Filename])</f>
        <v>ren 2019_04_27_000057_create_identity_labels_table.php 2019_05_01_000059_create_identity_labels_table.php</v>
      </c>
    </row>
    <row r="15" spans="1:8">
      <c r="A15" s="66">
        <f t="shared" si="0"/>
        <v>14</v>
      </c>
      <c r="B15" s="1" t="s">
        <v>1164</v>
      </c>
      <c r="C15" s="61" t="str">
        <f>MID([Filename],26,LEN([Filename])-35)</f>
        <v>orders</v>
      </c>
      <c r="D15" s="61" t="str">
        <f t="shared" si="1"/>
        <v>2019_05_01_</v>
      </c>
      <c r="E15" s="61" t="str">
        <f>TEXT(MATCH(MigrationRenamer[[#This Row],[Table]],Tables[Table],0),"000000")</f>
        <v>000060</v>
      </c>
      <c r="F15" s="61" t="str">
        <f>RIGHT([Filename],LEN([Filename])-LEN([Date Part])-LEN([Sequence]))</f>
        <v>_create_orders_table.php</v>
      </c>
      <c r="G15" s="61" t="str">
        <f>[Date Part]&amp;[Sequence]&amp;[Name Part]</f>
        <v>2019_05_01_000060_create_orders_table.php</v>
      </c>
      <c r="H15" s="61" t="str">
        <f>IFERROR("ren "&amp;[Filename]&amp;" "&amp;[New Name],"del "&amp;[Filename])</f>
        <v>ren 2019_04_27_000058_create_orders_table.php 2019_05_01_000060_create_orders_table.php</v>
      </c>
    </row>
    <row r="16" spans="1:8">
      <c r="A16" s="66">
        <f t="shared" si="0"/>
        <v>15</v>
      </c>
      <c r="B16" s="1" t="s">
        <v>1165</v>
      </c>
      <c r="C16" s="61" t="str">
        <f>MID([Filename],26,LEN([Filename])-35)</f>
        <v>order_items</v>
      </c>
      <c r="D16" s="61" t="str">
        <f t="shared" si="1"/>
        <v>2019_05_01_</v>
      </c>
      <c r="E16" s="61" t="str">
        <f>TEXT(MATCH(MigrationRenamer[[#This Row],[Table]],Tables[Table],0),"000000")</f>
        <v>000061</v>
      </c>
      <c r="F16" s="61" t="str">
        <f>RIGHT([Filename],LEN([Filename])-LEN([Date Part])-LEN([Sequence]))</f>
        <v>_create_order_items_table.php</v>
      </c>
      <c r="G16" s="61" t="str">
        <f>[Date Part]&amp;[Sequence]&amp;[Name Part]</f>
        <v>2019_05_01_000061_create_order_items_table.php</v>
      </c>
      <c r="H16" s="61" t="str">
        <f>IFERROR("ren "&amp;[Filename]&amp;" "&amp;[New Name],"del "&amp;[Filename])</f>
        <v>ren 2019_04_27_000059_create_order_items_table.php 2019_05_01_000061_create_order_items_table.php</v>
      </c>
    </row>
    <row r="17" spans="1:8">
      <c r="A17" s="66">
        <f t="shared" si="0"/>
        <v>16</v>
      </c>
      <c r="B17" s="1" t="s">
        <v>1166</v>
      </c>
      <c r="C17" s="61" t="str">
        <f>MID([Filename],26,LEN([Filename])-35)</f>
        <v>order_item_services</v>
      </c>
      <c r="D17" s="61" t="str">
        <f t="shared" si="1"/>
        <v>2019_05_01_</v>
      </c>
      <c r="E17" s="61" t="str">
        <f>TEXT(MATCH(MigrationRenamer[[#This Row],[Table]],Tables[Table],0),"000000")</f>
        <v>000062</v>
      </c>
      <c r="F17" s="61" t="str">
        <f>RIGHT([Filename],LEN([Filename])-LEN([Date Part])-LEN([Sequence]))</f>
        <v>_create_order_item_services_table.php</v>
      </c>
      <c r="G17" s="61" t="str">
        <f>[Date Part]&amp;[Sequence]&amp;[Name Part]</f>
        <v>2019_05_01_000062_create_order_item_services_table.php</v>
      </c>
      <c r="H17" s="61" t="str">
        <f>IFERROR("ren "&amp;[Filename]&amp;" "&amp;[New Name],"del "&amp;[Filename])</f>
        <v>ren 2019_04_27_000060_create_order_item_services_table.php 2019_05_01_000062_create_order_item_services_table.php</v>
      </c>
    </row>
    <row r="18" spans="1:8">
      <c r="A18" s="66">
        <f t="shared" si="0"/>
        <v>17</v>
      </c>
      <c r="B18" s="1" t="s">
        <v>1167</v>
      </c>
      <c r="C18" s="61" t="str">
        <f>MID([Filename],26,LEN([Filename])-35)</f>
        <v>invoices</v>
      </c>
      <c r="D18" s="61" t="str">
        <f t="shared" si="1"/>
        <v>2019_05_01_</v>
      </c>
      <c r="E18" s="61" t="str">
        <f>TEXT(MATCH(MigrationRenamer[[#This Row],[Table]],Tables[Table],0),"000000")</f>
        <v>000063</v>
      </c>
      <c r="F18" s="61" t="str">
        <f>RIGHT([Filename],LEN([Filename])-LEN([Date Part])-LEN([Sequence]))</f>
        <v>_create_invoices_table.php</v>
      </c>
      <c r="G18" s="61" t="str">
        <f>[Date Part]&amp;[Sequence]&amp;[Name Part]</f>
        <v>2019_05_01_000063_create_invoices_table.php</v>
      </c>
      <c r="H18" s="61" t="str">
        <f>IFERROR("ren "&amp;[Filename]&amp;" "&amp;[New Name],"del "&amp;[Filename])</f>
        <v>ren 2019_04_27_000061_create_invoices_table.php 2019_05_01_000063_create_invoices_table.php</v>
      </c>
    </row>
    <row r="19" spans="1:8">
      <c r="A19" s="66">
        <f t="shared" si="0"/>
        <v>18</v>
      </c>
      <c r="B19" s="1" t="s">
        <v>1168</v>
      </c>
      <c r="C19" s="61" t="str">
        <f>MID([Filename],26,LEN([Filename])-35)</f>
        <v>invoice_items</v>
      </c>
      <c r="D19" s="61" t="str">
        <f t="shared" si="1"/>
        <v>2019_05_01_</v>
      </c>
      <c r="E19" s="61" t="str">
        <f>TEXT(MATCH(MigrationRenamer[[#This Row],[Table]],Tables[Table],0),"000000")</f>
        <v>000064</v>
      </c>
      <c r="F19" s="61" t="str">
        <f>RIGHT([Filename],LEN([Filename])-LEN([Date Part])-LEN([Sequence]))</f>
        <v>_create_invoice_items_table.php</v>
      </c>
      <c r="G19" s="61" t="str">
        <f>[Date Part]&amp;[Sequence]&amp;[Name Part]</f>
        <v>2019_05_01_000064_create_invoice_items_table.php</v>
      </c>
      <c r="H19" s="61" t="str">
        <f>IFERROR("ren "&amp;[Filename]&amp;" "&amp;[New Name],"del "&amp;[Filename])</f>
        <v>ren 2019_04_27_000062_create_invoice_items_table.php 2019_05_01_000064_create_invoice_items_table.php</v>
      </c>
    </row>
    <row r="20" spans="1:8">
      <c r="A20" s="66">
        <f t="shared" si="0"/>
        <v>19</v>
      </c>
      <c r="B20" s="1" t="s">
        <v>1169</v>
      </c>
      <c r="C20" s="61" t="str">
        <f>MID([Filename],26,LEN([Filename])-35)</f>
        <v>order_item_service_user</v>
      </c>
      <c r="D20" s="61" t="str">
        <f t="shared" si="1"/>
        <v>2019_05_01_</v>
      </c>
      <c r="E20" s="61" t="str">
        <f>TEXT(MATCH(MigrationRenamer[[#This Row],[Table]],Tables[Table],0),"000000")</f>
        <v>000065</v>
      </c>
      <c r="F20" s="61" t="str">
        <f>RIGHT([Filename],LEN([Filename])-LEN([Date Part])-LEN([Sequence]))</f>
        <v>_create_order_item_service_user_table.php</v>
      </c>
      <c r="G20" s="61" t="str">
        <f>[Date Part]&amp;[Sequence]&amp;[Name Part]</f>
        <v>2019_05_01_000065_create_order_item_service_user_table.php</v>
      </c>
      <c r="H20" s="61" t="str">
        <f>IFERROR("ren "&amp;[Filename]&amp;" "&amp;[New Name],"del "&amp;[Filename])</f>
        <v>ren 2019_04_27_000063_create_order_item_service_user_table.php 2019_05_01_000065_create_order_item_service_user_table.php</v>
      </c>
    </row>
    <row r="21" spans="1:8">
      <c r="A21" s="66">
        <f t="shared" si="0"/>
        <v>20</v>
      </c>
      <c r="B21" s="1" t="s">
        <v>1170</v>
      </c>
      <c r="C21" s="61" t="str">
        <f>MID([Filename],26,LEN([Filename])-35)</f>
        <v>receipts</v>
      </c>
      <c r="D21" s="61" t="str">
        <f t="shared" si="1"/>
        <v>2019_05_01_</v>
      </c>
      <c r="E21" s="61" t="str">
        <f>TEXT(MATCH(MigrationRenamer[[#This Row],[Table]],Tables[Table],0),"000000")</f>
        <v>000066</v>
      </c>
      <c r="F21" s="61" t="str">
        <f>RIGHT([Filename],LEN([Filename])-LEN([Date Part])-LEN([Sequence]))</f>
        <v>_create_receipts_table.php</v>
      </c>
      <c r="G21" s="61" t="str">
        <f>[Date Part]&amp;[Sequence]&amp;[Name Part]</f>
        <v>2019_05_01_000066_create_receipts_table.php</v>
      </c>
      <c r="H21" s="61" t="str">
        <f>IFERROR("ren "&amp;[Filename]&amp;" "&amp;[New Name],"del "&amp;[Filename])</f>
        <v>ren 2019_04_27_000064_create_receipts_table.php 2019_05_01_000066_create_receipts_table.php</v>
      </c>
    </row>
    <row r="22" spans="1:8">
      <c r="A22" s="66">
        <f t="shared" si="0"/>
        <v>21</v>
      </c>
      <c r="B22" s="1" t="s">
        <v>1171</v>
      </c>
      <c r="C22" s="61" t="str">
        <f>MID([Filename],26,LEN([Filename])-35)</f>
        <v>delivery</v>
      </c>
      <c r="D22" s="61" t="str">
        <f t="shared" si="1"/>
        <v>2019_05_01_</v>
      </c>
      <c r="E22" s="61" t="str">
        <f>TEXT(MATCH(MigrationRenamer[[#This Row],[Table]],Tables[Table],0),"000000")</f>
        <v>000067</v>
      </c>
      <c r="F22" s="61" t="str">
        <f>RIGHT([Filename],LEN([Filename])-LEN([Date Part])-LEN([Sequence]))</f>
        <v>_create_delivery_table.php</v>
      </c>
      <c r="G22" s="61" t="str">
        <f>[Date Part]&amp;[Sequence]&amp;[Name Part]</f>
        <v>2019_05_01_000067_create_delivery_table.php</v>
      </c>
      <c r="H22" s="61" t="str">
        <f>IFERROR("ren "&amp;[Filename]&amp;" "&amp;[New Name],"del "&amp;[Filename])</f>
        <v>ren 2019_04_27_000065_create_delivery_table.php 2019_05_01_000067_create_delivery_table.php</v>
      </c>
    </row>
    <row r="23" spans="1:8">
      <c r="A23" s="66">
        <f t="shared" ref="A23:A25" si="2">IFERROR($A22+1,1)</f>
        <v>22</v>
      </c>
      <c r="B23" s="1" t="s">
        <v>1172</v>
      </c>
      <c r="C23" s="61" t="str">
        <f>MID([Filename],26,LEN([Filename])-35)</f>
        <v>delivery_items</v>
      </c>
      <c r="D23" s="61" t="str">
        <f t="shared" si="1"/>
        <v>2019_05_01_</v>
      </c>
      <c r="E23" s="61" t="str">
        <f>TEXT(MATCH(MigrationRenamer[[#This Row],[Table]],Tables[Table],0),"000000")</f>
        <v>000068</v>
      </c>
      <c r="F23" s="61" t="str">
        <f>RIGHT([Filename],LEN([Filename])-LEN([Date Part])-LEN([Sequence]))</f>
        <v>_create_delivery_items_table.php</v>
      </c>
      <c r="G23" s="61" t="str">
        <f>[Date Part]&amp;[Sequence]&amp;[Name Part]</f>
        <v>2019_05_01_000068_create_delivery_items_table.php</v>
      </c>
      <c r="H23" s="61" t="str">
        <f>IFERROR("ren "&amp;[Filename]&amp;" "&amp;[New Name],"del "&amp;[Filename])</f>
        <v>ren 2019_04_27_000066_create_delivery_items_table.php 2019_05_01_000068_create_delivery_items_table.php</v>
      </c>
    </row>
    <row r="24" spans="1:8">
      <c r="A24" s="66">
        <f t="shared" si="2"/>
        <v>23</v>
      </c>
      <c r="B24" s="1" t="s">
        <v>1173</v>
      </c>
      <c r="C24" s="61" t="str">
        <f>MID([Filename],26,LEN([Filename])-35)</f>
        <v>hub_shift</v>
      </c>
      <c r="D24" s="61" t="str">
        <f t="shared" si="1"/>
        <v>2019_05_01_</v>
      </c>
      <c r="E24" s="61" t="str">
        <f>TEXT(MATCH(MigrationRenamer[[#This Row],[Table]],Tables[Table],0),"000000")</f>
        <v>000069</v>
      </c>
      <c r="F24" s="61" t="str">
        <f>RIGHT([Filename],LEN([Filename])-LEN([Date Part])-LEN([Sequence]))</f>
        <v>_create_hub_shift_table.php</v>
      </c>
      <c r="G24" s="61" t="str">
        <f>[Date Part]&amp;[Sequence]&amp;[Name Part]</f>
        <v>2019_05_01_000069_create_hub_shift_table.php</v>
      </c>
      <c r="H24" s="61" t="str">
        <f>IFERROR("ren "&amp;[Filename]&amp;" "&amp;[New Name],"del "&amp;[Filename])</f>
        <v>ren 2019_04_27_000067_create_hub_shift_table.php 2019_05_01_000069_create_hub_shift_table.php</v>
      </c>
    </row>
    <row r="25" spans="1:8">
      <c r="A25" s="66">
        <f t="shared" si="2"/>
        <v>24</v>
      </c>
      <c r="B25" s="60" t="s">
        <v>1174</v>
      </c>
      <c r="C25" s="61" t="str">
        <f>MID([Filename],26,LEN([Filename])-35)</f>
        <v>hub_shift_items</v>
      </c>
      <c r="D25" s="61" t="str">
        <f t="shared" si="1"/>
        <v>2019_05_01_</v>
      </c>
      <c r="E25" s="61" t="str">
        <f>TEXT(MATCH(MigrationRenamer[[#This Row],[Table]],Tables[Table],0),"000000")</f>
        <v>000070</v>
      </c>
      <c r="F25" s="61" t="str">
        <f>RIGHT([Filename],LEN([Filename])-LEN([Date Part])-LEN([Sequence]))</f>
        <v>_create_hub_shift_items_table.php</v>
      </c>
      <c r="G25" s="61" t="str">
        <f>[Date Part]&amp;[Sequence]&amp;[Name Part]</f>
        <v>2019_05_01_000070_create_hub_shift_items_table.php</v>
      </c>
      <c r="H25" s="61" t="str">
        <f>IFERROR("ren "&amp;[Filename]&amp;" "&amp;[New Name],"del "&amp;[Filename])</f>
        <v>ren 2019_04_27_000068_create_hub_shift_items_table.php 2019_05_01_000070_create_hub_shift_items_table.php</v>
      </c>
    </row>
    <row r="26" spans="1:8">
      <c r="A26" s="66">
        <f>IFERROR($A25+1,1)</f>
        <v>25</v>
      </c>
      <c r="B26" s="60" t="s">
        <v>1344</v>
      </c>
      <c r="C26" s="61" t="str">
        <f>MID([Filename],26,LEN([Filename])-35)</f>
        <v>owners</v>
      </c>
      <c r="D26" s="61" t="str">
        <f t="shared" si="1"/>
        <v>2019_05_01_</v>
      </c>
      <c r="E26" s="61" t="str">
        <f>TEXT(MATCH(MigrationRenamer[[#This Row],[Table]],Tables[Table],0),"000000")</f>
        <v>000045</v>
      </c>
      <c r="F26" s="61" t="str">
        <f>RIGHT([Filename],LEN([Filename])-LEN([Date Part])-LEN([Sequence]))</f>
        <v>_create_owners_table.php</v>
      </c>
      <c r="G26" s="61" t="str">
        <f>[Date Part]&amp;[Sequence]&amp;[Name Part]</f>
        <v>2019_05_01_000045_create_owners_table.php</v>
      </c>
      <c r="H26" s="61" t="str">
        <f>IFERROR("ren "&amp;[Filename]&amp;" "&amp;[New Name],"del "&amp;[Filename])</f>
        <v>ren 2019_05_02_014454_create_owners_table.php 2019_05_01_000045_create_owners_table.php</v>
      </c>
    </row>
    <row r="27" spans="1:8">
      <c r="A27" s="66">
        <f>IFERROR($A26+1,1)</f>
        <v>26</v>
      </c>
      <c r="B27" s="60" t="s">
        <v>1345</v>
      </c>
      <c r="C27" s="61" t="str">
        <f>MID([Filename],26,LEN([Filename])-35)</f>
        <v>employees</v>
      </c>
      <c r="D27" s="61" t="str">
        <f t="shared" si="1"/>
        <v>2019_05_01_</v>
      </c>
      <c r="E27" s="61" t="str">
        <f>TEXT(MATCH(MigrationRenamer[[#This Row],[Table]],Tables[Table],0),"000000")</f>
        <v>000046</v>
      </c>
      <c r="F27" s="61" t="str">
        <f>RIGHT([Filename],LEN([Filename])-LEN([Date Part])-LEN([Sequence]))</f>
        <v>_create_employees_table.php</v>
      </c>
      <c r="G27" s="61" t="str">
        <f>[Date Part]&amp;[Sequence]&amp;[Name Part]</f>
        <v>2019_05_01_000046_create_employees_table.php</v>
      </c>
      <c r="H27" s="61" t="str">
        <f>IFERROR("ren "&amp;[Filename]&amp;" "&amp;[New Name],"del "&amp;[Filename])</f>
        <v>ren 2019_05_02_014509_create_employees_table.php 2019_05_01_000046_create_employees_table.php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208"/>
  <sheetViews>
    <sheetView topLeftCell="B1" workbookViewId="0">
      <selection activeCell="F35" sqref="F35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9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6" width="18.85546875" customWidth="1"/>
    <col min="57" max="57" width="17" hidden="1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hidden="1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hidden="1">
      <c r="A3" s="63" t="str">
        <f>'Table Seed Map'!$A$24&amp;"-"&amp;COUNTA($B$1:ResourceList[[#This Row],[Resource Name]])-1</f>
        <v>Resource Lists-1</v>
      </c>
      <c r="B3" s="62" t="s">
        <v>96</v>
      </c>
      <c r="C3" s="63" t="str">
        <f>ResourceList[[#This Row],[Resource Name]]&amp;"/"&amp;ResourceList[[#This Row],[Name]]</f>
        <v>Group/EmployeeGroups</v>
      </c>
      <c r="D3" s="69">
        <f>IF(ResourceList[[#This Row],[Resource Name]]="","id",COUNTA($B$2:ResourceList[[#This Row],[Resource Name]])+IF(ISNUMBER(VLOOKUP('Table Seed Map'!$A$24,SeedMap[],9,0)),VLOOKUP('Table Seed Map'!$A$24,SeedMap[],9,0),0))</f>
        <v>2123101</v>
      </c>
      <c r="E3" s="69">
        <f>IFERROR(VLOOKUP(ResourceList[[#This Row],[Resource Name]],ResourceTable[[RName]:[No]],3,0),"resource")</f>
        <v>2106101</v>
      </c>
      <c r="F3" s="107" t="s">
        <v>1361</v>
      </c>
      <c r="G3" s="107" t="s">
        <v>1362</v>
      </c>
      <c r="H3" s="107" t="s">
        <v>1363</v>
      </c>
      <c r="I3" s="107" t="s">
        <v>25</v>
      </c>
      <c r="J3" s="107">
        <v>10</v>
      </c>
      <c r="K3" s="67">
        <f>[No]</f>
        <v>2123101</v>
      </c>
      <c r="M3" s="62" t="s">
        <v>1364</v>
      </c>
      <c r="N3" s="63">
        <f>VLOOKUP(ListExtras[[#This Row],[List Name]],ResourceList[[ListDisplayName]:[No]],2,0)</f>
        <v>2123101</v>
      </c>
      <c r="O3" s="62" t="s">
        <v>1364</v>
      </c>
      <c r="P3" s="62"/>
      <c r="Q3" s="62"/>
      <c r="R3" s="62"/>
      <c r="S3" s="62"/>
      <c r="T3" s="63" t="str">
        <f>'Table Seed Map'!$A$25&amp;"-"&amp;COUNT($W$1:ListExtras[[#This Row],[Scope ID]])</f>
        <v>List Scopes-1</v>
      </c>
      <c r="U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2124101</v>
      </c>
      <c r="V3" s="69">
        <f>IF(ListExtras[[#This Row],[LID]]=0,"resource_list",ListExtras[[#This Row],[LID]])</f>
        <v>2123101</v>
      </c>
      <c r="W3" s="69">
        <f>IFERROR(VLOOKUP(ListExtras[[#This Row],[Scope Name]],ResourceScopes[[ScopesDisplayNames]:[No]],2,0),IF(ListExtras[[#This Row],[LID]]=0,"scope",""))</f>
        <v>2108101</v>
      </c>
      <c r="X3" s="63" t="str">
        <f>'Table Seed Map'!$A$26&amp;"-"&amp;COUNT($AA$1:ListExtras[[#This Row],[Relation]])</f>
        <v>List Relation-0</v>
      </c>
      <c r="Y3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" s="69">
        <f>IF(ListExtras[[#This Row],[LID]]=0,"resource_list",ListExtras[[#This Row],[LID]])</f>
        <v>2123101</v>
      </c>
      <c r="AA3" s="69" t="str">
        <f>IFERROR(VLOOKUP(ListExtras[[#This Row],[Relation Name]],RelationTable[[Display]:[RELID]],2,0),IF(ListExtras[[#This Row],[LID]]=0,"relation",""))</f>
        <v/>
      </c>
      <c r="AB3" s="69" t="str">
        <f>IFERROR(VLOOKUP(ListExtras[[#This Row],[R1 Name]],RelationTable[[Display]:[RELID]],2,0),IF(ListExtras[[#This Row],[LID]]=0,"nest_relation1",""))</f>
        <v/>
      </c>
      <c r="AC3" s="69" t="str">
        <f>IFERROR(VLOOKUP(ListExtras[[#This Row],[R2 Name]],RelationTable[[Display]:[RELID]],2,0),IF(ListExtras[[#This Row],[LID]]=0,"nest_relation2",""))</f>
        <v/>
      </c>
      <c r="AD3" s="69" t="str">
        <f>IFERROR(VLOOKUP(ListExtras[[#This Row],[R3 Name]],RelationTable[[Display]:[RELID]],2,0),IF(ListExtras[[#This Row],[LID]]=0,"nest_relation3",""))</f>
        <v/>
      </c>
      <c r="AT3" s="69" t="str">
        <f>'Table Seed Map'!$A$27&amp;"-"&amp;COUNTA($AV$1:ListLayout[[#This Row],[No]])-2</f>
        <v>List Layout-1</v>
      </c>
      <c r="AU3" s="62" t="s">
        <v>1451</v>
      </c>
      <c r="AV3" s="69">
        <f>IF(ListLayout[[#This Row],[List Name for Layout]]="","id",COUNTA($AU$2:ListLayout[[#This Row],[List Name for Layout]])+IF(ISNUMBER(VLOOKUP('Table Seed Map'!$A$27,SeedMap[],9,0)),VLOOKUP('Table Seed Map'!$A$27,SeedMap[],9,0),0))</f>
        <v>2126101</v>
      </c>
      <c r="AW3" s="69">
        <f>IFERROR(VLOOKUP(ListLayout[[#This Row],[List Name for Layout]],ResourceList[[ListDisplayName]:[No]],2,0),"resource_list")</f>
        <v>2123102</v>
      </c>
      <c r="AX3" s="69" t="s">
        <v>307</v>
      </c>
      <c r="AY3" s="107" t="s">
        <v>21</v>
      </c>
      <c r="AZ3" s="69" t="str">
        <f>IF(ListLayout[[#This Row],[List Name for Layout]]="","relation",IFERROR(VLOOKUP(ListLayout[[#This Row],[Relation]],RelationTable[[Display]:[RELID]],2,0),""))</f>
        <v/>
      </c>
      <c r="BA3" s="69" t="str">
        <f>IF(ListLayout[[#This Row],[List Name for Layout]]="","nest_relation1",IFERROR(VLOOKUP(ListLayout[[#This Row],[Relation 1]],RelationTable[[Display]:[RELID]],2,0),""))</f>
        <v/>
      </c>
      <c r="BB3" s="69" t="str">
        <f>IF(ListLayout[[#This Row],[List Name for Layout]]="","nest_relation2",IFERROR(VLOOKUP(ListLayout[[#This Row],[Relation 2]],RelationTable[[Display]:[RELID]],2,0),""))</f>
        <v/>
      </c>
      <c r="BC3" s="107"/>
      <c r="BD3" s="107"/>
      <c r="BE3" s="107"/>
    </row>
    <row r="4" spans="1:57" hidden="1">
      <c r="A4" s="63" t="str">
        <f>'Table Seed Map'!$A$24&amp;"-"&amp;COUNTA($B$1:ResourceList[[#This Row],[Resource Name]])-1</f>
        <v>Resource Lists-2</v>
      </c>
      <c r="B4" s="62" t="s">
        <v>1119</v>
      </c>
      <c r="C4" s="63" t="str">
        <f>ResourceList[[#This Row],[Resource Name]]&amp;"/"&amp;ResourceList[[#This Row],[Name]]</f>
        <v>Owner/OwnerList</v>
      </c>
      <c r="D4" s="69">
        <f>IF(ResourceList[[#This Row],[Resource Name]]="","id",COUNTA($B$2:ResourceList[[#This Row],[Resource Name]])+IF(ISNUMBER(VLOOKUP('Table Seed Map'!$A$24,SeedMap[],9,0)),VLOOKUP('Table Seed Map'!$A$24,SeedMap[],9,0),0))</f>
        <v>2123102</v>
      </c>
      <c r="E4" s="69">
        <f>IFERROR(VLOOKUP(ResourceList[[#This Row],[Resource Name]],ResourceTable[[RName]:[No]],3,0),"resource")</f>
        <v>2106103</v>
      </c>
      <c r="F4" s="107" t="s">
        <v>1392</v>
      </c>
      <c r="G4" s="107"/>
      <c r="H4" s="107" t="s">
        <v>1117</v>
      </c>
      <c r="I4" s="107" t="s">
        <v>23</v>
      </c>
      <c r="J4" s="107">
        <v>10</v>
      </c>
      <c r="K4" s="67">
        <f>[No]</f>
        <v>2123102</v>
      </c>
      <c r="M4" s="62" t="s">
        <v>1452</v>
      </c>
      <c r="N4" s="63">
        <f>VLOOKUP(ListExtras[[#This Row],[List Name]],ResourceList[[ListDisplayName]:[No]],2,0)</f>
        <v>2123103</v>
      </c>
      <c r="O4" s="62"/>
      <c r="P4" s="62" t="s">
        <v>1498</v>
      </c>
      <c r="Q4" s="62"/>
      <c r="R4" s="62"/>
      <c r="S4" s="62"/>
      <c r="T4" s="63" t="str">
        <f>'Table Seed Map'!$A$25&amp;"-"&amp;COUNT($W$1:ListExtras[[#This Row],[Scope ID]])</f>
        <v>List Scopes-1</v>
      </c>
      <c r="U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9">
        <f>IF(ListExtras[[#This Row],[LID]]=0,"resource_list",ListExtras[[#This Row],[LID]])</f>
        <v>2123103</v>
      </c>
      <c r="W4" s="69" t="str">
        <f>IFERROR(VLOOKUP(ListExtras[[#This Row],[Scope Name]],ResourceScopes[[ScopesDisplayNames]:[No]],2,0),IF(ListExtras[[#This Row],[LID]]=0,"scope",""))</f>
        <v/>
      </c>
      <c r="X4" s="63" t="str">
        <f>'Table Seed Map'!$A$26&amp;"-"&amp;COUNT($AA$1:ListExtras[[#This Row],[Relation]])</f>
        <v>List Relation-1</v>
      </c>
      <c r="Y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2125101</v>
      </c>
      <c r="Z4" s="69">
        <f>IF(ListExtras[[#This Row],[LID]]=0,"resource_list",ListExtras[[#This Row],[LID]])</f>
        <v>2123103</v>
      </c>
      <c r="AA4" s="69">
        <f>IFERROR(VLOOKUP(ListExtras[[#This Row],[Relation Name]],RelationTable[[Display]:[RELID]],2,0),IF(ListExtras[[#This Row],[LID]]=0,"relation",""))</f>
        <v>2109187</v>
      </c>
      <c r="AB4" s="69" t="str">
        <f>IFERROR(VLOOKUP(ListExtras[[#This Row],[R1 Name]],RelationTable[[Display]:[RELID]],2,0),IF(ListExtras[[#This Row],[LID]]=0,"nest_relation1",""))</f>
        <v/>
      </c>
      <c r="AC4" s="69" t="str">
        <f>IFERROR(VLOOKUP(ListExtras[[#This Row],[R2 Name]],RelationTable[[Display]:[RELID]],2,0),IF(ListExtras[[#This Row],[LID]]=0,"nest_relation2",""))</f>
        <v/>
      </c>
      <c r="AD4" s="69" t="str">
        <f>IFERROR(VLOOKUP(ListExtras[[#This Row],[R3 Name]],RelationTable[[Display]:[RELID]],2,0),IF(ListExtras[[#This Row],[LID]]=0,"nest_relation3",""))</f>
        <v/>
      </c>
      <c r="AT4" s="69" t="str">
        <f>'Table Seed Map'!$A$27&amp;"-"&amp;COUNTA($AV$1:ListLayout[[#This Row],[No]])-2</f>
        <v>List Layout-2</v>
      </c>
      <c r="AU4" s="62" t="s">
        <v>1451</v>
      </c>
      <c r="AV4" s="69">
        <f>IF(ListLayout[[#This Row],[List Name for Layout]]="","id",COUNTA($AU$2:ListLayout[[#This Row],[List Name for Layout]])+IF(ISNUMBER(VLOOKUP('Table Seed Map'!$A$27,SeedMap[],9,0)),VLOOKUP('Table Seed Map'!$A$27,SeedMap[],9,0),0))</f>
        <v>2126102</v>
      </c>
      <c r="AW4" s="69">
        <f>IFERROR(VLOOKUP(ListLayout[[#This Row],[List Name for Layout]],ResourceList[[ListDisplayName]:[No]],2,0),"resource_list")</f>
        <v>2123102</v>
      </c>
      <c r="AX4" s="69" t="s">
        <v>1</v>
      </c>
      <c r="AY4" s="107" t="s">
        <v>23</v>
      </c>
      <c r="AZ4" s="69" t="str">
        <f>IF(ListLayout[[#This Row],[List Name for Layout]]="","relation",IFERROR(VLOOKUP(ListLayout[[#This Row],[Relation]],RelationTable[[Display]:[RELID]],2,0),""))</f>
        <v/>
      </c>
      <c r="BA4" s="69" t="str">
        <f>IF(ListLayout[[#This Row],[List Name for Layout]]="","nest_relation1",IFERROR(VLOOKUP(ListLayout[[#This Row],[Relation 1]],RelationTable[[Display]:[RELID]],2,0),""))</f>
        <v/>
      </c>
      <c r="BB4" s="69" t="str">
        <f>IF(ListLayout[[#This Row],[List Name for Layout]]="","nest_relation2",IFERROR(VLOOKUP(ListLayout[[#This Row],[Relation 2]],RelationTable[[Display]:[RELID]],2,0),""))</f>
        <v/>
      </c>
      <c r="BC4" s="107"/>
      <c r="BD4" s="107"/>
      <c r="BE4" s="107"/>
    </row>
    <row r="5" spans="1:57" hidden="1">
      <c r="A5" s="63" t="str">
        <f>'Table Seed Map'!$A$24&amp;"-"&amp;COUNTA($B$1:ResourceList[[#This Row],[Resource Name]])-1</f>
        <v>Resource Lists-3</v>
      </c>
      <c r="B5" s="62" t="s">
        <v>1337</v>
      </c>
      <c r="C5" s="63" t="str">
        <f>ResourceList[[#This Row],[Resource Name]]&amp;"/"&amp;ResourceList[[#This Row],[Name]]</f>
        <v>Employee/EmployeeList</v>
      </c>
      <c r="D5" s="69">
        <f>IF(ResourceList[[#This Row],[Resource Name]]="","id",COUNTA($B$2:ResourceList[[#This Row],[Resource Name]])+IF(ISNUMBER(VLOOKUP('Table Seed Map'!$A$24,SeedMap[],9,0)),VLOOKUP('Table Seed Map'!$A$24,SeedMap[],9,0),0))</f>
        <v>2123103</v>
      </c>
      <c r="E5" s="69">
        <f>IFERROR(VLOOKUP(ResourceList[[#This Row],[Resource Name]],ResourceTable[[RName]:[No]],3,0),"resource")</f>
        <v>2106104</v>
      </c>
      <c r="F5" s="107" t="s">
        <v>1393</v>
      </c>
      <c r="G5" s="107"/>
      <c r="H5" s="107" t="s">
        <v>1114</v>
      </c>
      <c r="I5" s="107" t="s">
        <v>23</v>
      </c>
      <c r="J5" s="107">
        <v>30</v>
      </c>
      <c r="K5" s="67">
        <f>[No]</f>
        <v>2123103</v>
      </c>
      <c r="M5" s="62" t="s">
        <v>1452</v>
      </c>
      <c r="N5" s="63">
        <f>VLOOKUP(ListExtras[[#This Row],[List Name]],ResourceList[[ListDisplayName]:[No]],2,0)</f>
        <v>2123103</v>
      </c>
      <c r="O5" s="62"/>
      <c r="P5" s="62" t="s">
        <v>1454</v>
      </c>
      <c r="Q5" s="62"/>
      <c r="R5" s="62"/>
      <c r="S5" s="62"/>
      <c r="T5" s="63" t="str">
        <f>'Table Seed Map'!$A$25&amp;"-"&amp;COUNT($W$1:ListExtras[[#This Row],[Scope ID]])</f>
        <v>List Scopes-1</v>
      </c>
      <c r="U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" s="69">
        <f>IF(ListExtras[[#This Row],[LID]]=0,"resource_list",ListExtras[[#This Row],[LID]])</f>
        <v>2123103</v>
      </c>
      <c r="W5" s="69" t="str">
        <f>IFERROR(VLOOKUP(ListExtras[[#This Row],[Scope Name]],ResourceScopes[[ScopesDisplayNames]:[No]],2,0),IF(ListExtras[[#This Row],[LID]]=0,"scope",""))</f>
        <v/>
      </c>
      <c r="X5" s="63" t="str">
        <f>'Table Seed Map'!$A$26&amp;"-"&amp;COUNT($AA$1:ListExtras[[#This Row],[Relation]])</f>
        <v>List Relation-2</v>
      </c>
      <c r="Y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2125102</v>
      </c>
      <c r="Z5" s="69">
        <f>IF(ListExtras[[#This Row],[LID]]=0,"resource_list",ListExtras[[#This Row],[LID]])</f>
        <v>2123103</v>
      </c>
      <c r="AA5" s="69">
        <f>IFERROR(VLOOKUP(ListExtras[[#This Row],[Relation Name]],RelationTable[[Display]:[RELID]],2,0),IF(ListExtras[[#This Row],[LID]]=0,"relation",""))</f>
        <v>2109106</v>
      </c>
      <c r="AB5" s="69" t="str">
        <f>IFERROR(VLOOKUP(ListExtras[[#This Row],[R1 Name]],RelationTable[[Display]:[RELID]],2,0),IF(ListExtras[[#This Row],[LID]]=0,"nest_relation1",""))</f>
        <v/>
      </c>
      <c r="AC5" s="69" t="str">
        <f>IFERROR(VLOOKUP(ListExtras[[#This Row],[R2 Name]],RelationTable[[Display]:[RELID]],2,0),IF(ListExtras[[#This Row],[LID]]=0,"nest_relation2",""))</f>
        <v/>
      </c>
      <c r="AD5" s="69" t="str">
        <f>IFERROR(VLOOKUP(ListExtras[[#This Row],[R3 Name]],RelationTable[[Display]:[RELID]],2,0),IF(ListExtras[[#This Row],[LID]]=0,"nest_relation3",""))</f>
        <v/>
      </c>
      <c r="AT5" s="69" t="str">
        <f>'Table Seed Map'!$A$27&amp;"-"&amp;COUNTA($AV$1:ListLayout[[#This Row],[No]])-2</f>
        <v>List Layout-3</v>
      </c>
      <c r="AU5" s="62" t="s">
        <v>1451</v>
      </c>
      <c r="AV5" s="69">
        <f>IF(ListLayout[[#This Row],[List Name for Layout]]="","id",COUNTA($AU$2:ListLayout[[#This Row],[List Name for Layout]])+IF(ISNUMBER(VLOOKUP('Table Seed Map'!$A$27,SeedMap[],9,0)),VLOOKUP('Table Seed Map'!$A$27,SeedMap[],9,0),0))</f>
        <v>2126103</v>
      </c>
      <c r="AW5" s="69">
        <f>IFERROR(VLOOKUP(ListLayout[[#This Row],[List Name for Layout]],ResourceList[[ListDisplayName]:[No]],2,0),"resource_list")</f>
        <v>2123102</v>
      </c>
      <c r="AX5" s="69" t="s">
        <v>1182</v>
      </c>
      <c r="AY5" s="107" t="s">
        <v>800</v>
      </c>
      <c r="AZ5" s="69" t="str">
        <f>IF(ListLayout[[#This Row],[List Name for Layout]]="","relation",IFERROR(VLOOKUP(ListLayout[[#This Row],[Relation]],RelationTable[[Display]:[RELID]],2,0),""))</f>
        <v/>
      </c>
      <c r="BA5" s="69" t="str">
        <f>IF(ListLayout[[#This Row],[List Name for Layout]]="","nest_relation1",IFERROR(VLOOKUP(ListLayout[[#This Row],[Relation 1]],RelationTable[[Display]:[RELID]],2,0),""))</f>
        <v/>
      </c>
      <c r="BB5" s="69" t="str">
        <f>IF(ListLayout[[#This Row],[List Name for Layout]]="","nest_relation2",IFERROR(VLOOKUP(ListLayout[[#This Row],[Relation 2]],RelationTable[[Display]:[RELID]],2,0),""))</f>
        <v/>
      </c>
      <c r="BC5" s="107"/>
      <c r="BD5" s="107"/>
      <c r="BE5" s="107"/>
    </row>
    <row r="6" spans="1:57" hidden="1">
      <c r="A6" s="63" t="str">
        <f>'Table Seed Map'!$A$24&amp;"-"&amp;COUNTA($B$1:ResourceList[[#This Row],[Resource Name]])-1</f>
        <v>Resource Lists-4</v>
      </c>
      <c r="B6" s="62" t="s">
        <v>1337</v>
      </c>
      <c r="C6" s="63" t="str">
        <f>ResourceList[[#This Row],[Resource Name]]&amp;"/"&amp;ResourceList[[#This Row],[Name]]</f>
        <v>Employee/ManagersList</v>
      </c>
      <c r="D6" s="69">
        <f>IF(ResourceList[[#This Row],[Resource Name]]="","id",COUNTA($B$2:ResourceList[[#This Row],[Resource Name]])+IF(ISNUMBER(VLOOKUP('Table Seed Map'!$A$24,SeedMap[],9,0)),VLOOKUP('Table Seed Map'!$A$24,SeedMap[],9,0),0))</f>
        <v>2123104</v>
      </c>
      <c r="E6" s="69">
        <f>IFERROR(VLOOKUP(ResourceList[[#This Row],[Resource Name]],ResourceTable[[RName]:[No]],3,0),"resource")</f>
        <v>2106104</v>
      </c>
      <c r="F6" s="107" t="s">
        <v>1394</v>
      </c>
      <c r="G6" s="107"/>
      <c r="H6" s="107" t="s">
        <v>1098</v>
      </c>
      <c r="I6" s="107" t="s">
        <v>23</v>
      </c>
      <c r="J6" s="107">
        <v>30</v>
      </c>
      <c r="K6" s="67">
        <f>[No]</f>
        <v>2123104</v>
      </c>
      <c r="M6" s="62" t="s">
        <v>1395</v>
      </c>
      <c r="N6" s="63">
        <f>VLOOKUP(ListExtras[[#This Row],[List Name]],ResourceList[[ListDisplayName]:[No]],2,0)</f>
        <v>2123104</v>
      </c>
      <c r="O6" s="62" t="s">
        <v>1396</v>
      </c>
      <c r="P6" s="62" t="s">
        <v>1454</v>
      </c>
      <c r="Q6" s="62"/>
      <c r="R6" s="62"/>
      <c r="S6" s="62"/>
      <c r="T6" s="63" t="str">
        <f>'Table Seed Map'!$A$25&amp;"-"&amp;COUNT($W$1:ListExtras[[#This Row],[Scope ID]])</f>
        <v>List Scopes-2</v>
      </c>
      <c r="U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2124102</v>
      </c>
      <c r="V6" s="69">
        <f>IF(ListExtras[[#This Row],[LID]]=0,"resource_list",ListExtras[[#This Row],[LID]])</f>
        <v>2123104</v>
      </c>
      <c r="W6" s="69">
        <f>IFERROR(VLOOKUP(ListExtras[[#This Row],[Scope Name]],ResourceScopes[[ScopesDisplayNames]:[No]],2,0),IF(ListExtras[[#This Row],[LID]]=0,"scope",""))</f>
        <v>2108102</v>
      </c>
      <c r="X6" s="63" t="str">
        <f>'Table Seed Map'!$A$26&amp;"-"&amp;COUNT($AA$1:ListExtras[[#This Row],[Relation]])</f>
        <v>List Relation-3</v>
      </c>
      <c r="Y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2125103</v>
      </c>
      <c r="Z6" s="69">
        <f>IF(ListExtras[[#This Row],[LID]]=0,"resource_list",ListExtras[[#This Row],[LID]])</f>
        <v>2123104</v>
      </c>
      <c r="AA6" s="69">
        <f>IFERROR(VLOOKUP(ListExtras[[#This Row],[Relation Name]],RelationTable[[Display]:[RELID]],2,0),IF(ListExtras[[#This Row],[LID]]=0,"relation",""))</f>
        <v>2109106</v>
      </c>
      <c r="AB6" s="69" t="str">
        <f>IFERROR(VLOOKUP(ListExtras[[#This Row],[R1 Name]],RelationTable[[Display]:[RELID]],2,0),IF(ListExtras[[#This Row],[LID]]=0,"nest_relation1",""))</f>
        <v/>
      </c>
      <c r="AC6" s="69" t="str">
        <f>IFERROR(VLOOKUP(ListExtras[[#This Row],[R2 Name]],RelationTable[[Display]:[RELID]],2,0),IF(ListExtras[[#This Row],[LID]]=0,"nest_relation2",""))</f>
        <v/>
      </c>
      <c r="AD6" s="69" t="str">
        <f>IFERROR(VLOOKUP(ListExtras[[#This Row],[R3 Name]],RelationTable[[Display]:[RELID]],2,0),IF(ListExtras[[#This Row],[LID]]=0,"nest_relation3",""))</f>
        <v/>
      </c>
      <c r="AT6" s="69" t="str">
        <f>'Table Seed Map'!$A$27&amp;"-"&amp;COUNTA($AV$1:ListLayout[[#This Row],[No]])-2</f>
        <v>List Layout-4</v>
      </c>
      <c r="AU6" s="62" t="s">
        <v>1452</v>
      </c>
      <c r="AV6" s="69">
        <f>IF(ListLayout[[#This Row],[List Name for Layout]]="","id",COUNTA($AU$2:ListLayout[[#This Row],[List Name for Layout]])+IF(ISNUMBER(VLOOKUP('Table Seed Map'!$A$27,SeedMap[],9,0)),VLOOKUP('Table Seed Map'!$A$27,SeedMap[],9,0),0))</f>
        <v>2126104</v>
      </c>
      <c r="AW6" s="69">
        <f>IFERROR(VLOOKUP(ListLayout[[#This Row],[List Name for Layout]],ResourceList[[ListDisplayName]:[No]],2,0),"resource_list")</f>
        <v>2123103</v>
      </c>
      <c r="AX6" s="69" t="s">
        <v>307</v>
      </c>
      <c r="AY6" s="107" t="s">
        <v>21</v>
      </c>
      <c r="AZ6" s="69" t="str">
        <f>IF(ListLayout[[#This Row],[List Name for Layout]]="","relation",IFERROR(VLOOKUP(ListLayout[[#This Row],[Relation]],RelationTable[[Display]:[RELID]],2,0),""))</f>
        <v/>
      </c>
      <c r="BA6" s="69" t="str">
        <f>IF(ListLayout[[#This Row],[List Name for Layout]]="","nest_relation1",IFERROR(VLOOKUP(ListLayout[[#This Row],[Relation 1]],RelationTable[[Display]:[RELID]],2,0),""))</f>
        <v/>
      </c>
      <c r="BB6" s="69" t="str">
        <f>IF(ListLayout[[#This Row],[List Name for Layout]]="","nest_relation2",IFERROR(VLOOKUP(ListLayout[[#This Row],[Relation 2]],RelationTable[[Display]:[RELID]],2,0),""))</f>
        <v/>
      </c>
      <c r="BC6" s="107"/>
      <c r="BD6" s="107"/>
      <c r="BE6" s="107"/>
    </row>
    <row r="7" spans="1:57" hidden="1">
      <c r="A7" s="63" t="str">
        <f>'Table Seed Map'!$A$24&amp;"-"&amp;COUNTA($B$1:ResourceList[[#This Row],[Resource Name]])-1</f>
        <v>Resource Lists-5</v>
      </c>
      <c r="B7" s="62" t="s">
        <v>1337</v>
      </c>
      <c r="C7" s="63" t="str">
        <f>ResourceList[[#This Row],[Resource Name]]&amp;"/"&amp;ResourceList[[#This Row],[Name]]</f>
        <v>Employee/ServiceProvidersList</v>
      </c>
      <c r="D7" s="69">
        <f>IF(ResourceList[[#This Row],[Resource Name]]="","id",COUNTA($B$2:ResourceList[[#This Row],[Resource Name]])+IF(ISNUMBER(VLOOKUP('Table Seed Map'!$A$24,SeedMap[],9,0)),VLOOKUP('Table Seed Map'!$A$24,SeedMap[],9,0),0))</f>
        <v>2123105</v>
      </c>
      <c r="E7" s="69">
        <f>IFERROR(VLOOKUP(ResourceList[[#This Row],[Resource Name]],ResourceTable[[RName]:[No]],3,0),"resource")</f>
        <v>2106104</v>
      </c>
      <c r="F7" s="107" t="s">
        <v>1397</v>
      </c>
      <c r="G7" s="107"/>
      <c r="H7" s="107" t="s">
        <v>1099</v>
      </c>
      <c r="I7" s="107" t="s">
        <v>23</v>
      </c>
      <c r="J7" s="107">
        <v>30</v>
      </c>
      <c r="K7" s="67">
        <f>[No]</f>
        <v>2123105</v>
      </c>
      <c r="M7" s="62" t="s">
        <v>1448</v>
      </c>
      <c r="N7" s="63">
        <f>VLOOKUP(ListExtras[[#This Row],[List Name]],ResourceList[[ListDisplayName]:[No]],2,0)</f>
        <v>2123105</v>
      </c>
      <c r="O7" s="62" t="s">
        <v>1450</v>
      </c>
      <c r="P7" s="62" t="s">
        <v>1454</v>
      </c>
      <c r="Q7" s="62"/>
      <c r="R7" s="62"/>
      <c r="S7" s="62"/>
      <c r="T7" s="63" t="str">
        <f>'Table Seed Map'!$A$25&amp;"-"&amp;COUNT($W$1:ListExtras[[#This Row],[Scope ID]])</f>
        <v>List Scopes-3</v>
      </c>
      <c r="U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2124103</v>
      </c>
      <c r="V7" s="69">
        <f>IF(ListExtras[[#This Row],[LID]]=0,"resource_list",ListExtras[[#This Row],[LID]])</f>
        <v>2123105</v>
      </c>
      <c r="W7" s="69">
        <f>IFERROR(VLOOKUP(ListExtras[[#This Row],[Scope Name]],ResourceScopes[[ScopesDisplayNames]:[No]],2,0),IF(ListExtras[[#This Row],[LID]]=0,"scope",""))</f>
        <v>2108103</v>
      </c>
      <c r="X7" s="63" t="str">
        <f>'Table Seed Map'!$A$26&amp;"-"&amp;COUNT($AA$1:ListExtras[[#This Row],[Relation]])</f>
        <v>List Relation-4</v>
      </c>
      <c r="Y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2125104</v>
      </c>
      <c r="Z7" s="69">
        <f>IF(ListExtras[[#This Row],[LID]]=0,"resource_list",ListExtras[[#This Row],[LID]])</f>
        <v>2123105</v>
      </c>
      <c r="AA7" s="69">
        <f>IFERROR(VLOOKUP(ListExtras[[#This Row],[Relation Name]],RelationTable[[Display]:[RELID]],2,0),IF(ListExtras[[#This Row],[LID]]=0,"relation",""))</f>
        <v>2109106</v>
      </c>
      <c r="AB7" s="69" t="str">
        <f>IFERROR(VLOOKUP(ListExtras[[#This Row],[R1 Name]],RelationTable[[Display]:[RELID]],2,0),IF(ListExtras[[#This Row],[LID]]=0,"nest_relation1",""))</f>
        <v/>
      </c>
      <c r="AC7" s="69" t="str">
        <f>IFERROR(VLOOKUP(ListExtras[[#This Row],[R2 Name]],RelationTable[[Display]:[RELID]],2,0),IF(ListExtras[[#This Row],[LID]]=0,"nest_relation2",""))</f>
        <v/>
      </c>
      <c r="AD7" s="69" t="str">
        <f>IFERROR(VLOOKUP(ListExtras[[#This Row],[R3 Name]],RelationTable[[Display]:[RELID]],2,0),IF(ListExtras[[#This Row],[LID]]=0,"nest_relation3",""))</f>
        <v/>
      </c>
      <c r="AT7" s="68" t="str">
        <f>'Table Seed Map'!$A$27&amp;"-"&amp;COUNTA($AV$1:ListLayout[[#This Row],[No]])-2</f>
        <v>List Layout-5</v>
      </c>
      <c r="AU7" s="62" t="s">
        <v>1452</v>
      </c>
      <c r="AV7" s="68">
        <f>IF(ListLayout[[#This Row],[List Name for Layout]]="","id",COUNTA($AU$2:ListLayout[[#This Row],[List Name for Layout]])+IF(ISNUMBER(VLOOKUP('Table Seed Map'!$A$27,SeedMap[],9,0)),VLOOKUP('Table Seed Map'!$A$27,SeedMap[],9,0),0))</f>
        <v>2126105</v>
      </c>
      <c r="AW7" s="68">
        <f>IFERROR(VLOOKUP(ListLayout[[#This Row],[List Name for Layout]],ResourceList[[ListDisplayName]:[No]],2,0),"resource_list")</f>
        <v>2123103</v>
      </c>
      <c r="AX7" s="69" t="s">
        <v>1</v>
      </c>
      <c r="AY7" s="107" t="s">
        <v>23</v>
      </c>
      <c r="AZ7" s="68" t="str">
        <f>IF(ListLayout[[#This Row],[List Name for Layout]]="","relation",IFERROR(VLOOKUP(ListLayout[[#This Row],[Relation]],RelationTable[[Display]:[RELID]],2,0),""))</f>
        <v/>
      </c>
      <c r="BA7" s="68" t="str">
        <f>IF(ListLayout[[#This Row],[List Name for Layout]]="","nest_relation1",IFERROR(VLOOKUP(ListLayout[[#This Row],[Relation 1]],RelationTable[[Display]:[RELID]],2,0),""))</f>
        <v/>
      </c>
      <c r="BB7" s="68" t="str">
        <f>IF(ListLayout[[#This Row],[List Name for Layout]]="","nest_relation2",IFERROR(VLOOKUP(ListLayout[[#This Row],[Relation 2]],RelationTable[[Display]:[RELID]],2,0),""))</f>
        <v/>
      </c>
      <c r="BC7" s="108"/>
      <c r="BD7" s="108"/>
      <c r="BE7" s="108"/>
    </row>
    <row r="8" spans="1:57" hidden="1">
      <c r="A8" s="63" t="str">
        <f>'Table Seed Map'!$A$24&amp;"-"&amp;COUNTA($B$1:ResourceList[[#This Row],[Resource Name]])-1</f>
        <v>Resource Lists-6</v>
      </c>
      <c r="B8" s="62" t="s">
        <v>1337</v>
      </c>
      <c r="C8" s="63" t="str">
        <f>ResourceList[[#This Row],[Resource Name]]&amp;"/"&amp;ResourceList[[#This Row],[Name]]</f>
        <v>Employee/MyHubProviderList</v>
      </c>
      <c r="D8" s="69">
        <f>IF(ResourceList[[#This Row],[Resource Name]]="","id",COUNTA($B$2:ResourceList[[#This Row],[Resource Name]])+IF(ISNUMBER(VLOOKUP('Table Seed Map'!$A$24,SeedMap[],9,0)),VLOOKUP('Table Seed Map'!$A$24,SeedMap[],9,0),0))</f>
        <v>2123106</v>
      </c>
      <c r="E8" s="69">
        <f>IFERROR(VLOOKUP(ResourceList[[#This Row],[Resource Name]],ResourceTable[[RName]:[No]],3,0),"resource")</f>
        <v>2106104</v>
      </c>
      <c r="F8" s="107" t="s">
        <v>1398</v>
      </c>
      <c r="G8" s="107"/>
      <c r="H8" s="107" t="s">
        <v>1099</v>
      </c>
      <c r="I8" s="107" t="s">
        <v>23</v>
      </c>
      <c r="J8" s="107">
        <v>30</v>
      </c>
      <c r="K8" s="67">
        <f>[No]</f>
        <v>2123106</v>
      </c>
      <c r="M8" s="62" t="s">
        <v>1448</v>
      </c>
      <c r="N8" s="63">
        <f>VLOOKUP(ListExtras[[#This Row],[List Name]],ResourceList[[ListDisplayName]:[No]],2,0)</f>
        <v>2123105</v>
      </c>
      <c r="O8" s="62"/>
      <c r="P8" s="62" t="s">
        <v>1453</v>
      </c>
      <c r="Q8" s="62"/>
      <c r="R8" s="62"/>
      <c r="S8" s="62"/>
      <c r="T8" s="63" t="str">
        <f>'Table Seed Map'!$A$25&amp;"-"&amp;COUNT($W$1:ListExtras[[#This Row],[Scope ID]])</f>
        <v>List Scopes-3</v>
      </c>
      <c r="U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9">
        <f>IF(ListExtras[[#This Row],[LID]]=0,"resource_list",ListExtras[[#This Row],[LID]])</f>
        <v>2123105</v>
      </c>
      <c r="W8" s="69" t="str">
        <f>IFERROR(VLOOKUP(ListExtras[[#This Row],[Scope Name]],ResourceScopes[[ScopesDisplayNames]:[No]],2,0),IF(ListExtras[[#This Row],[LID]]=0,"scope",""))</f>
        <v/>
      </c>
      <c r="X8" s="63" t="str">
        <f>'Table Seed Map'!$A$26&amp;"-"&amp;COUNT($AA$1:ListExtras[[#This Row],[Relation]])</f>
        <v>List Relation-5</v>
      </c>
      <c r="Y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2125105</v>
      </c>
      <c r="Z8" s="69">
        <f>IF(ListExtras[[#This Row],[LID]]=0,"resource_list",ListExtras[[#This Row],[LID]])</f>
        <v>2123105</v>
      </c>
      <c r="AA8" s="69">
        <f>IFERROR(VLOOKUP(ListExtras[[#This Row],[Relation Name]],RelationTable[[Display]:[RELID]],2,0),IF(ListExtras[[#This Row],[LID]]=0,"relation",""))</f>
        <v>2109104</v>
      </c>
      <c r="AB8" s="69" t="str">
        <f>IFERROR(VLOOKUP(ListExtras[[#This Row],[R1 Name]],RelationTable[[Display]:[RELID]],2,0),IF(ListExtras[[#This Row],[LID]]=0,"nest_relation1",""))</f>
        <v/>
      </c>
      <c r="AC8" s="69" t="str">
        <f>IFERROR(VLOOKUP(ListExtras[[#This Row],[R2 Name]],RelationTable[[Display]:[RELID]],2,0),IF(ListExtras[[#This Row],[LID]]=0,"nest_relation2",""))</f>
        <v/>
      </c>
      <c r="AD8" s="69" t="str">
        <f>IFERROR(VLOOKUP(ListExtras[[#This Row],[R3 Name]],RelationTable[[Display]:[RELID]],2,0),IF(ListExtras[[#This Row],[LID]]=0,"nest_relation3",""))</f>
        <v/>
      </c>
      <c r="AT8" s="68" t="str">
        <f>'Table Seed Map'!$A$27&amp;"-"&amp;COUNTA($AV$1:ListLayout[[#This Row],[No]])-2</f>
        <v>List Layout-6</v>
      </c>
      <c r="AU8" s="62" t="s">
        <v>1452</v>
      </c>
      <c r="AV8" s="68">
        <f>IF(ListLayout[[#This Row],[List Name for Layout]]="","id",COUNTA($AU$2:ListLayout[[#This Row],[List Name for Layout]])+IF(ISNUMBER(VLOOKUP('Table Seed Map'!$A$27,SeedMap[],9,0)),VLOOKUP('Table Seed Map'!$A$27,SeedMap[],9,0),0))</f>
        <v>2126106</v>
      </c>
      <c r="AW8" s="68">
        <f>IFERROR(VLOOKUP(ListLayout[[#This Row],[List Name for Layout]],ResourceList[[ListDisplayName]:[No]],2,0),"resource_list")</f>
        <v>2123103</v>
      </c>
      <c r="AX8" s="69" t="s">
        <v>79</v>
      </c>
      <c r="AY8" s="107" t="s">
        <v>25</v>
      </c>
      <c r="AZ8" s="68">
        <f>IF(ListLayout[[#This Row],[List Name for Layout]]="","relation",IFERROR(VLOOKUP(ListLayout[[#This Row],[Relation]],RelationTable[[Display]:[RELID]],2,0),""))</f>
        <v>2109187</v>
      </c>
      <c r="BA8" s="68" t="str">
        <f>IF(ListLayout[[#This Row],[List Name for Layout]]="","nest_relation1",IFERROR(VLOOKUP(ListLayout[[#This Row],[Relation 1]],RelationTable[[Display]:[RELID]],2,0),""))</f>
        <v/>
      </c>
      <c r="BB8" s="68" t="str">
        <f>IF(ListLayout[[#This Row],[List Name for Layout]]="","nest_relation2",IFERROR(VLOOKUP(ListLayout[[#This Row],[Relation 2]],RelationTable[[Display]:[RELID]],2,0),""))</f>
        <v/>
      </c>
      <c r="BC8" s="108" t="s">
        <v>1498</v>
      </c>
      <c r="BD8" s="108"/>
      <c r="BE8" s="108"/>
    </row>
    <row r="9" spans="1:57" hidden="1">
      <c r="A9" s="63" t="str">
        <f>'Table Seed Map'!$A$24&amp;"-"&amp;COUNTA($B$1:ResourceList[[#This Row],[Resource Name]])-1</f>
        <v>Resource Lists-7</v>
      </c>
      <c r="B9" s="62" t="s">
        <v>785</v>
      </c>
      <c r="C9" s="63" t="str">
        <f>ResourceList[[#This Row],[Resource Name]]&amp;"/"&amp;ResourceList[[#This Row],[Name]]</f>
        <v>Customer/CustomerList</v>
      </c>
      <c r="D9" s="69">
        <f>IF(ResourceList[[#This Row],[Resource Name]]="","id",COUNTA($B$2:ResourceList[[#This Row],[Resource Name]])+IF(ISNUMBER(VLOOKUP('Table Seed Map'!$A$24,SeedMap[],9,0)),VLOOKUP('Table Seed Map'!$A$24,SeedMap[],9,0),0))</f>
        <v>2123107</v>
      </c>
      <c r="E9" s="69">
        <f>IFERROR(VLOOKUP(ResourceList[[#This Row],[Resource Name]],ResourceTable[[RName]:[No]],3,0),"resource")</f>
        <v>2106105</v>
      </c>
      <c r="F9" s="107" t="s">
        <v>1403</v>
      </c>
      <c r="G9" s="107"/>
      <c r="H9" s="107" t="s">
        <v>903</v>
      </c>
      <c r="I9" s="107" t="s">
        <v>23</v>
      </c>
      <c r="J9" s="107">
        <v>50</v>
      </c>
      <c r="K9" s="67">
        <f>[No]</f>
        <v>2123107</v>
      </c>
      <c r="M9" s="62" t="s">
        <v>1458</v>
      </c>
      <c r="N9" s="63">
        <f>VLOOKUP(ListExtras[[#This Row],[List Name]],ResourceList[[ListDisplayName]:[No]],2,0)</f>
        <v>2123109</v>
      </c>
      <c r="O9" s="62"/>
      <c r="P9" s="62" t="s">
        <v>1460</v>
      </c>
      <c r="Q9" s="62"/>
      <c r="R9" s="62"/>
      <c r="S9" s="62"/>
      <c r="T9" s="63" t="str">
        <f>'Table Seed Map'!$A$25&amp;"-"&amp;COUNT($W$1:ListExtras[[#This Row],[Scope ID]])</f>
        <v>List Scopes-3</v>
      </c>
      <c r="U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9">
        <f>IF(ListExtras[[#This Row],[LID]]=0,"resource_list",ListExtras[[#This Row],[LID]])</f>
        <v>2123109</v>
      </c>
      <c r="W9" s="69" t="str">
        <f>IFERROR(VLOOKUP(ListExtras[[#This Row],[Scope Name]],ResourceScopes[[ScopesDisplayNames]:[No]],2,0),IF(ListExtras[[#This Row],[LID]]=0,"scope",""))</f>
        <v/>
      </c>
      <c r="X9" s="63" t="str">
        <f>'Table Seed Map'!$A$26&amp;"-"&amp;COUNT($AA$1:ListExtras[[#This Row],[Relation]])</f>
        <v>List Relation-6</v>
      </c>
      <c r="Y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2125106</v>
      </c>
      <c r="Z9" s="69">
        <f>IF(ListExtras[[#This Row],[LID]]=0,"resource_list",ListExtras[[#This Row],[LID]])</f>
        <v>2123109</v>
      </c>
      <c r="AA9" s="69">
        <f>IFERROR(VLOOKUP(ListExtras[[#This Row],[Relation Name]],RelationTable[[Display]:[RELID]],2,0),IF(ListExtras[[#This Row],[LID]]=0,"relation",""))</f>
        <v>2109119</v>
      </c>
      <c r="AB9" s="69" t="str">
        <f>IFERROR(VLOOKUP(ListExtras[[#This Row],[R1 Name]],RelationTable[[Display]:[RELID]],2,0),IF(ListExtras[[#This Row],[LID]]=0,"nest_relation1",""))</f>
        <v/>
      </c>
      <c r="AC9" s="69" t="str">
        <f>IFERROR(VLOOKUP(ListExtras[[#This Row],[R2 Name]],RelationTable[[Display]:[RELID]],2,0),IF(ListExtras[[#This Row],[LID]]=0,"nest_relation2",""))</f>
        <v/>
      </c>
      <c r="AD9" s="69" t="str">
        <f>IFERROR(VLOOKUP(ListExtras[[#This Row],[R3 Name]],RelationTable[[Display]:[RELID]],2,0),IF(ListExtras[[#This Row],[LID]]=0,"nest_relation3",""))</f>
        <v/>
      </c>
      <c r="AT9" s="69" t="str">
        <f>'Table Seed Map'!$A$27&amp;"-"&amp;COUNTA($AV$1:ListLayout[[#This Row],[No]])-2</f>
        <v>List Layout-7</v>
      </c>
      <c r="AU9" s="62" t="s">
        <v>1452</v>
      </c>
      <c r="AV9" s="69">
        <f>IF(ListLayout[[#This Row],[List Name for Layout]]="","id",COUNTA($AU$2:ListLayout[[#This Row],[List Name for Layout]])+IF(ISNUMBER(VLOOKUP('Table Seed Map'!$A$27,SeedMap[],9,0)),VLOOKUP('Table Seed Map'!$A$27,SeedMap[],9,0),0))</f>
        <v>2126107</v>
      </c>
      <c r="AW9" s="69">
        <f>IFERROR(VLOOKUP(ListLayout[[#This Row],[List Name for Layout]],ResourceList[[ListDisplayName]:[No]],2,0),"resource_list")</f>
        <v>2123103</v>
      </c>
      <c r="AX9" s="69" t="s">
        <v>777</v>
      </c>
      <c r="AY9" s="107" t="s">
        <v>23</v>
      </c>
      <c r="AZ9" s="69">
        <f>IF(ListLayout[[#This Row],[List Name for Layout]]="","relation",IFERROR(VLOOKUP(ListLayout[[#This Row],[Relation]],RelationTable[[Display]:[RELID]],2,0),""))</f>
        <v>2109106</v>
      </c>
      <c r="BA9" s="69" t="str">
        <f>IF(ListLayout[[#This Row],[List Name for Layout]]="","nest_relation1",IFERROR(VLOOKUP(ListLayout[[#This Row],[Relation 1]],RelationTable[[Display]:[RELID]],2,0),""))</f>
        <v/>
      </c>
      <c r="BB9" s="69" t="str">
        <f>IF(ListLayout[[#This Row],[List Name for Layout]]="","nest_relation2",IFERROR(VLOOKUP(ListLayout[[#This Row],[Relation 2]],RelationTable[[Display]:[RELID]],2,0),""))</f>
        <v/>
      </c>
      <c r="BC9" s="107" t="s">
        <v>1454</v>
      </c>
      <c r="BD9" s="107"/>
      <c r="BE9" s="107"/>
    </row>
    <row r="10" spans="1:57" hidden="1">
      <c r="A10" s="63" t="str">
        <f>'Table Seed Map'!$A$24&amp;"-"&amp;COUNTA($B$1:ResourceList[[#This Row],[Resource Name]])-1</f>
        <v>Resource Lists-8</v>
      </c>
      <c r="B10" s="62" t="s">
        <v>777</v>
      </c>
      <c r="C10" s="63" t="str">
        <f>ResourceList[[#This Row],[Resource Name]]&amp;"/"&amp;ResourceList[[#This Row],[Name]]</f>
        <v>Hub/HubList</v>
      </c>
      <c r="D10" s="69">
        <f>IF(ResourceList[[#This Row],[Resource Name]]="","id",COUNTA($B$2:ResourceList[[#This Row],[Resource Name]])+IF(ISNUMBER(VLOOKUP('Table Seed Map'!$A$24,SeedMap[],9,0)),VLOOKUP('Table Seed Map'!$A$24,SeedMap[],9,0),0))</f>
        <v>2123108</v>
      </c>
      <c r="E10" s="69">
        <f>IFERROR(VLOOKUP(ResourceList[[#This Row],[Resource Name]],ResourceTable[[RName]:[No]],3,0),"resource")</f>
        <v>2106107</v>
      </c>
      <c r="F10" s="107" t="s">
        <v>1404</v>
      </c>
      <c r="G10" s="107"/>
      <c r="H10" s="107" t="s">
        <v>777</v>
      </c>
      <c r="I10" s="107" t="s">
        <v>23</v>
      </c>
      <c r="J10" s="107">
        <v>10</v>
      </c>
      <c r="K10" s="67">
        <f>[No]</f>
        <v>2123108</v>
      </c>
      <c r="M10" s="62" t="s">
        <v>1461</v>
      </c>
      <c r="N10" s="63">
        <f>VLOOKUP(ListExtras[[#This Row],[List Name]],ResourceList[[ListDisplayName]:[No]],2,0)</f>
        <v>2123110</v>
      </c>
      <c r="O10" s="62"/>
      <c r="P10" s="62" t="s">
        <v>1205</v>
      </c>
      <c r="Q10" s="62"/>
      <c r="R10" s="62"/>
      <c r="S10" s="62"/>
      <c r="T10" s="63" t="str">
        <f>'Table Seed Map'!$A$25&amp;"-"&amp;COUNT($W$1:ListExtras[[#This Row],[Scope ID]])</f>
        <v>List Scopes-3</v>
      </c>
      <c r="U1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9">
        <f>IF(ListExtras[[#This Row],[LID]]=0,"resource_list",ListExtras[[#This Row],[LID]])</f>
        <v>2123110</v>
      </c>
      <c r="W10" s="69" t="str">
        <f>IFERROR(VLOOKUP(ListExtras[[#This Row],[Scope Name]],ResourceScopes[[ScopesDisplayNames]:[No]],2,0),IF(ListExtras[[#This Row],[LID]]=0,"scope",""))</f>
        <v/>
      </c>
      <c r="X10" s="63" t="str">
        <f>'Table Seed Map'!$A$26&amp;"-"&amp;COUNT($AA$1:ListExtras[[#This Row],[Relation]])</f>
        <v>List Relation-7</v>
      </c>
      <c r="Y1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2125107</v>
      </c>
      <c r="Z10" s="69">
        <f>IF(ListExtras[[#This Row],[LID]]=0,"resource_list",ListExtras[[#This Row],[LID]])</f>
        <v>2123110</v>
      </c>
      <c r="AA10" s="69">
        <f>IFERROR(VLOOKUP(ListExtras[[#This Row],[Relation Name]],RelationTable[[Display]:[RELID]],2,0),IF(ListExtras[[#This Row],[LID]]=0,"relation",""))</f>
        <v>2109191</v>
      </c>
      <c r="AB10" s="69" t="str">
        <f>IFERROR(VLOOKUP(ListExtras[[#This Row],[R1 Name]],RelationTable[[Display]:[RELID]],2,0),IF(ListExtras[[#This Row],[LID]]=0,"nest_relation1",""))</f>
        <v/>
      </c>
      <c r="AC10" s="69" t="str">
        <f>IFERROR(VLOOKUP(ListExtras[[#This Row],[R2 Name]],RelationTable[[Display]:[RELID]],2,0),IF(ListExtras[[#This Row],[LID]]=0,"nest_relation2",""))</f>
        <v/>
      </c>
      <c r="AD10" s="69" t="str">
        <f>IFERROR(VLOOKUP(ListExtras[[#This Row],[R3 Name]],RelationTable[[Display]:[RELID]],2,0),IF(ListExtras[[#This Row],[LID]]=0,"nest_relation3",""))</f>
        <v/>
      </c>
      <c r="AT10" s="69" t="str">
        <f>'Table Seed Map'!$A$27&amp;"-"&amp;COUNTA($AV$1:ListLayout[[#This Row],[No]])-2</f>
        <v>List Layout-8</v>
      </c>
      <c r="AU10" s="62" t="s">
        <v>1395</v>
      </c>
      <c r="AV10" s="69">
        <f>IF(ListLayout[[#This Row],[List Name for Layout]]="","id",COUNTA($AU$2:ListLayout[[#This Row],[List Name for Layout]])+IF(ISNUMBER(VLOOKUP('Table Seed Map'!$A$27,SeedMap[],9,0)),VLOOKUP('Table Seed Map'!$A$27,SeedMap[],9,0),0))</f>
        <v>2126108</v>
      </c>
      <c r="AW10" s="69">
        <f>IFERROR(VLOOKUP(ListLayout[[#This Row],[List Name for Layout]],ResourceList[[ListDisplayName]:[No]],2,0),"resource_list")</f>
        <v>2123104</v>
      </c>
      <c r="AX10" s="69" t="s">
        <v>307</v>
      </c>
      <c r="AY10" s="107" t="s">
        <v>21</v>
      </c>
      <c r="AZ10" s="69" t="str">
        <f>IF(ListLayout[[#This Row],[List Name for Layout]]="","relation",IFERROR(VLOOKUP(ListLayout[[#This Row],[Relation]],RelationTable[[Display]:[RELID]],2,0),""))</f>
        <v/>
      </c>
      <c r="BA10" s="69" t="str">
        <f>IF(ListLayout[[#This Row],[List Name for Layout]]="","nest_relation1",IFERROR(VLOOKUP(ListLayout[[#This Row],[Relation 1]],RelationTable[[Display]:[RELID]],2,0),""))</f>
        <v/>
      </c>
      <c r="BB10" s="69" t="str">
        <f>IF(ListLayout[[#This Row],[List Name for Layout]]="","nest_relation2",IFERROR(VLOOKUP(ListLayout[[#This Row],[Relation 2]],RelationTable[[Display]:[RELID]],2,0),""))</f>
        <v/>
      </c>
      <c r="BC10" s="107"/>
      <c r="BD10" s="107"/>
      <c r="BE10" s="107"/>
    </row>
    <row r="11" spans="1:57" hidden="1">
      <c r="A11" s="63" t="str">
        <f>'Table Seed Map'!$A$24&amp;"-"&amp;COUNTA($B$1:ResourceList[[#This Row],[Resource Name]])-1</f>
        <v>Resource Lists-9</v>
      </c>
      <c r="B11" s="62" t="s">
        <v>778</v>
      </c>
      <c r="C11" s="63" t="str">
        <f>ResourceList[[#This Row],[Resource Name]]&amp;"/"&amp;ResourceList[[#This Row],[Name]]</f>
        <v>Service/ServiceList</v>
      </c>
      <c r="D11" s="69">
        <f>IF(ResourceList[[#This Row],[Resource Name]]="","id",COUNTA($B$2:ResourceList[[#This Row],[Resource Name]])+IF(ISNUMBER(VLOOKUP('Table Seed Map'!$A$24,SeedMap[],9,0)),VLOOKUP('Table Seed Map'!$A$24,SeedMap[],9,0),0))</f>
        <v>2123109</v>
      </c>
      <c r="E11" s="69">
        <f>IFERROR(VLOOKUP(ResourceList[[#This Row],[Resource Name]],ResourceTable[[RName]:[No]],3,0),"resource")</f>
        <v>2106108</v>
      </c>
      <c r="F11" s="107" t="s">
        <v>1405</v>
      </c>
      <c r="G11" s="107"/>
      <c r="H11" s="107" t="s">
        <v>896</v>
      </c>
      <c r="I11" s="107" t="s">
        <v>23</v>
      </c>
      <c r="J11" s="107">
        <v>30</v>
      </c>
      <c r="K11" s="67">
        <f>[No]</f>
        <v>2123109</v>
      </c>
      <c r="M11" s="62" t="s">
        <v>1463</v>
      </c>
      <c r="N11" s="63">
        <f>VLOOKUP(ListExtras[[#This Row],[List Name]],ResourceList[[ListDisplayName]:[No]],2,0)</f>
        <v>2123111</v>
      </c>
      <c r="O11" s="62"/>
      <c r="P11" s="62" t="s">
        <v>1464</v>
      </c>
      <c r="Q11" s="62"/>
      <c r="R11" s="62"/>
      <c r="S11" s="62"/>
      <c r="T11" s="63" t="str">
        <f>'Table Seed Map'!$A$25&amp;"-"&amp;COUNT($W$1:ListExtras[[#This Row],[Scope ID]])</f>
        <v>List Scopes-3</v>
      </c>
      <c r="U1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9">
        <f>IF(ListExtras[[#This Row],[LID]]=0,"resource_list",ListExtras[[#This Row],[LID]])</f>
        <v>2123111</v>
      </c>
      <c r="W11" s="69" t="str">
        <f>IFERROR(VLOOKUP(ListExtras[[#This Row],[Scope Name]],ResourceScopes[[ScopesDisplayNames]:[No]],2,0),IF(ListExtras[[#This Row],[LID]]=0,"scope",""))</f>
        <v/>
      </c>
      <c r="X11" s="63" t="str">
        <f>'Table Seed Map'!$A$26&amp;"-"&amp;COUNT($AA$1:ListExtras[[#This Row],[Relation]])</f>
        <v>List Relation-8</v>
      </c>
      <c r="Y1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2125108</v>
      </c>
      <c r="Z11" s="69">
        <f>IF(ListExtras[[#This Row],[LID]]=0,"resource_list",ListExtras[[#This Row],[LID]])</f>
        <v>2123111</v>
      </c>
      <c r="AA11" s="69">
        <f>IFERROR(VLOOKUP(ListExtras[[#This Row],[Relation Name]],RelationTable[[Display]:[RELID]],2,0),IF(ListExtras[[#This Row],[LID]]=0,"relation",""))</f>
        <v>2109138</v>
      </c>
      <c r="AB11" s="69" t="str">
        <f>IFERROR(VLOOKUP(ListExtras[[#This Row],[R1 Name]],RelationTable[[Display]:[RELID]],2,0),IF(ListExtras[[#This Row],[LID]]=0,"nest_relation1",""))</f>
        <v/>
      </c>
      <c r="AC11" s="69" t="str">
        <f>IFERROR(VLOOKUP(ListExtras[[#This Row],[R2 Name]],RelationTable[[Display]:[RELID]],2,0),IF(ListExtras[[#This Row],[LID]]=0,"nest_relation2",""))</f>
        <v/>
      </c>
      <c r="AD11" s="69" t="str">
        <f>IFERROR(VLOOKUP(ListExtras[[#This Row],[R3 Name]],RelationTable[[Display]:[RELID]],2,0),IF(ListExtras[[#This Row],[LID]]=0,"nest_relation3",""))</f>
        <v/>
      </c>
      <c r="AT11" s="68" t="str">
        <f>'Table Seed Map'!$A$27&amp;"-"&amp;COUNTA($AV$1:ListLayout[[#This Row],[No]])-2</f>
        <v>List Layout-9</v>
      </c>
      <c r="AU11" s="62" t="s">
        <v>1395</v>
      </c>
      <c r="AV11" s="68">
        <f>IF(ListLayout[[#This Row],[List Name for Layout]]="","id",COUNTA($AU$2:ListLayout[[#This Row],[List Name for Layout]])+IF(ISNUMBER(VLOOKUP('Table Seed Map'!$A$27,SeedMap[],9,0)),VLOOKUP('Table Seed Map'!$A$27,SeedMap[],9,0),0))</f>
        <v>2126109</v>
      </c>
      <c r="AW11" s="68">
        <f>IFERROR(VLOOKUP(ListLayout[[#This Row],[List Name for Layout]],ResourceList[[ListDisplayName]:[No]],2,0),"resource_list")</f>
        <v>2123104</v>
      </c>
      <c r="AX11" s="69" t="s">
        <v>1</v>
      </c>
      <c r="AY11" s="107" t="s">
        <v>23</v>
      </c>
      <c r="AZ11" s="68" t="str">
        <f>IF(ListLayout[[#This Row],[List Name for Layout]]="","relation",IFERROR(VLOOKUP(ListLayout[[#This Row],[Relation]],RelationTable[[Display]:[RELID]],2,0),""))</f>
        <v/>
      </c>
      <c r="BA11" s="68" t="str">
        <f>IF(ListLayout[[#This Row],[List Name for Layout]]="","nest_relation1",IFERROR(VLOOKUP(ListLayout[[#This Row],[Relation 1]],RelationTable[[Display]:[RELID]],2,0),""))</f>
        <v/>
      </c>
      <c r="BB11" s="68" t="str">
        <f>IF(ListLayout[[#This Row],[List Name for Layout]]="","nest_relation2",IFERROR(VLOOKUP(ListLayout[[#This Row],[Relation 2]],RelationTable[[Display]:[RELID]],2,0),""))</f>
        <v/>
      </c>
      <c r="BC11" s="108"/>
      <c r="BD11" s="108"/>
      <c r="BE11" s="108"/>
    </row>
    <row r="12" spans="1:57" hidden="1">
      <c r="A12" s="63" t="str">
        <f>'Table Seed Map'!$A$24&amp;"-"&amp;COUNTA($B$1:ResourceList[[#This Row],[Resource Name]])-1</f>
        <v>Resource Lists-10</v>
      </c>
      <c r="B12" s="62" t="s">
        <v>779</v>
      </c>
      <c r="C12" s="63" t="str">
        <f>ResourceList[[#This Row],[Resource Name]]&amp;"/"&amp;ResourceList[[#This Row],[Name]]</f>
        <v>Item/ItemList</v>
      </c>
      <c r="D12" s="69">
        <f>IF(ResourceList[[#This Row],[Resource Name]]="","id",COUNTA($B$2:ResourceList[[#This Row],[Resource Name]])+IF(ISNUMBER(VLOOKUP('Table Seed Map'!$A$24,SeedMap[],9,0)),VLOOKUP('Table Seed Map'!$A$24,SeedMap[],9,0),0))</f>
        <v>2123110</v>
      </c>
      <c r="E12" s="69">
        <f>IFERROR(VLOOKUP(ResourceList[[#This Row],[Resource Name]],ResourceTable[[RName]:[No]],3,0),"resource")</f>
        <v>2106109</v>
      </c>
      <c r="F12" s="107" t="s">
        <v>1406</v>
      </c>
      <c r="G12" s="107"/>
      <c r="H12" s="107" t="s">
        <v>897</v>
      </c>
      <c r="I12" s="107" t="s">
        <v>23</v>
      </c>
      <c r="J12" s="107">
        <v>30</v>
      </c>
      <c r="K12" s="67">
        <f>[No]</f>
        <v>2123110</v>
      </c>
      <c r="M12" s="62" t="s">
        <v>1463</v>
      </c>
      <c r="N12" s="63">
        <f>VLOOKUP(ListExtras[[#This Row],[List Name]],ResourceList[[ListDisplayName]:[No]],2,0)</f>
        <v>2123111</v>
      </c>
      <c r="O12" s="62"/>
      <c r="P12" s="62" t="s">
        <v>1540</v>
      </c>
      <c r="Q12" s="62"/>
      <c r="R12" s="62"/>
      <c r="S12" s="62"/>
      <c r="T12" s="63" t="str">
        <f>'Table Seed Map'!$A$25&amp;"-"&amp;COUNT($W$1:ListExtras[[#This Row],[Scope ID]])</f>
        <v>List Scopes-3</v>
      </c>
      <c r="U1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9">
        <f>IF(ListExtras[[#This Row],[LID]]=0,"resource_list",ListExtras[[#This Row],[LID]])</f>
        <v>2123111</v>
      </c>
      <c r="W12" s="69" t="str">
        <f>IFERROR(VLOOKUP(ListExtras[[#This Row],[Scope Name]],ResourceScopes[[ScopesDisplayNames]:[No]],2,0),IF(ListExtras[[#This Row],[LID]]=0,"scope",""))</f>
        <v/>
      </c>
      <c r="X12" s="63" t="str">
        <f>'Table Seed Map'!$A$26&amp;"-"&amp;COUNT($AA$1:ListExtras[[#This Row],[Relation]])</f>
        <v>List Relation-9</v>
      </c>
      <c r="Y1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2125109</v>
      </c>
      <c r="Z12" s="69">
        <f>IF(ListExtras[[#This Row],[LID]]=0,"resource_list",ListExtras[[#This Row],[LID]])</f>
        <v>2123111</v>
      </c>
      <c r="AA12" s="69">
        <f>IFERROR(VLOOKUP(ListExtras[[#This Row],[Relation Name]],RelationTable[[Display]:[RELID]],2,0),IF(ListExtras[[#This Row],[LID]]=0,"relation",""))</f>
        <v>2109139</v>
      </c>
      <c r="AB12" s="69" t="str">
        <f>IFERROR(VLOOKUP(ListExtras[[#This Row],[R1 Name]],RelationTable[[Display]:[RELID]],2,0),IF(ListExtras[[#This Row],[LID]]=0,"nest_relation1",""))</f>
        <v/>
      </c>
      <c r="AC12" s="69" t="str">
        <f>IFERROR(VLOOKUP(ListExtras[[#This Row],[R2 Name]],RelationTable[[Display]:[RELID]],2,0),IF(ListExtras[[#This Row],[LID]]=0,"nest_relation2",""))</f>
        <v/>
      </c>
      <c r="AD12" s="69" t="str">
        <f>IFERROR(VLOOKUP(ListExtras[[#This Row],[R3 Name]],RelationTable[[Display]:[RELID]],2,0),IF(ListExtras[[#This Row],[LID]]=0,"nest_relation3",""))</f>
        <v/>
      </c>
      <c r="AT12" s="69" t="str">
        <f>'Table Seed Map'!$A$27&amp;"-"&amp;COUNTA($AV$1:ListLayout[[#This Row],[No]])-2</f>
        <v>List Layout-10</v>
      </c>
      <c r="AU12" s="62" t="s">
        <v>1395</v>
      </c>
      <c r="AV12" s="69">
        <f>IF(ListLayout[[#This Row],[List Name for Layout]]="","id",COUNTA($AU$2:ListLayout[[#This Row],[List Name for Layout]])+IF(ISNUMBER(VLOOKUP('Table Seed Map'!$A$27,SeedMap[],9,0)),VLOOKUP('Table Seed Map'!$A$27,SeedMap[],9,0),0))</f>
        <v>2126110</v>
      </c>
      <c r="AW12" s="69">
        <f>IFERROR(VLOOKUP(ListLayout[[#This Row],[List Name for Layout]],ResourceList[[ListDisplayName]:[No]],2,0),"resource_list")</f>
        <v>2123104</v>
      </c>
      <c r="AX12" s="69" t="s">
        <v>777</v>
      </c>
      <c r="AY12" s="107" t="s">
        <v>23</v>
      </c>
      <c r="AZ12" s="69">
        <f>IF(ListLayout[[#This Row],[List Name for Layout]]="","relation",IFERROR(VLOOKUP(ListLayout[[#This Row],[Relation]],RelationTable[[Display]:[RELID]],2,0),""))</f>
        <v>2109106</v>
      </c>
      <c r="BA12" s="69" t="str">
        <f>IF(ListLayout[[#This Row],[List Name for Layout]]="","nest_relation1",IFERROR(VLOOKUP(ListLayout[[#This Row],[Relation 1]],RelationTable[[Display]:[RELID]],2,0),""))</f>
        <v/>
      </c>
      <c r="BB12" s="69" t="str">
        <f>IF(ListLayout[[#This Row],[List Name for Layout]]="","nest_relation2",IFERROR(VLOOKUP(ListLayout[[#This Row],[Relation 2]],RelationTable[[Display]:[RELID]],2,0),""))</f>
        <v/>
      </c>
      <c r="BC12" s="107" t="s">
        <v>1454</v>
      </c>
      <c r="BD12" s="107"/>
      <c r="BE12" s="107"/>
    </row>
    <row r="13" spans="1:57" hidden="1">
      <c r="A13" s="63" t="str">
        <f>'Table Seed Map'!$A$24&amp;"-"&amp;COUNTA($B$1:ResourceList[[#This Row],[Resource Name]])-1</f>
        <v>Resource Lists-11</v>
      </c>
      <c r="B13" s="62" t="s">
        <v>1029</v>
      </c>
      <c r="C13" s="63" t="str">
        <f>ResourceList[[#This Row],[Resource Name]]&amp;"/"&amp;ResourceList[[#This Row],[Name]]</f>
        <v>Shelf/ShelveList</v>
      </c>
      <c r="D13" s="69">
        <f>IF(ResourceList[[#This Row],[Resource Name]]="","id",COUNTA($B$2:ResourceList[[#This Row],[Resource Name]])+IF(ISNUMBER(VLOOKUP('Table Seed Map'!$A$24,SeedMap[],9,0)),VLOOKUP('Table Seed Map'!$A$24,SeedMap[],9,0),0))</f>
        <v>2123111</v>
      </c>
      <c r="E13" s="69">
        <f>IFERROR(VLOOKUP(ResourceList[[#This Row],[Resource Name]],ResourceTable[[RName]:[No]],3,0),"resource")</f>
        <v>2106113</v>
      </c>
      <c r="F13" s="107" t="s">
        <v>1407</v>
      </c>
      <c r="G13" s="107"/>
      <c r="H13" s="107" t="s">
        <v>1037</v>
      </c>
      <c r="I13" s="107" t="s">
        <v>23</v>
      </c>
      <c r="J13" s="107">
        <v>30</v>
      </c>
      <c r="K13" s="67">
        <f>[No]</f>
        <v>2123111</v>
      </c>
      <c r="M13" s="62" t="s">
        <v>1470</v>
      </c>
      <c r="N13" s="63">
        <f>VLOOKUP(ListExtras[[#This Row],[List Name]],ResourceList[[ListDisplayName]:[No]],2,0)</f>
        <v>2123114</v>
      </c>
      <c r="O13" s="62"/>
      <c r="P13" s="62" t="s">
        <v>1472</v>
      </c>
      <c r="Q13" s="62"/>
      <c r="R13" s="62"/>
      <c r="S13" s="62"/>
      <c r="T13" s="63" t="str">
        <f>'Table Seed Map'!$A$25&amp;"-"&amp;COUNT($W$1:ListExtras[[#This Row],[Scope ID]])</f>
        <v>List Scopes-3</v>
      </c>
      <c r="U1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9">
        <f>IF(ListExtras[[#This Row],[LID]]=0,"resource_list",ListExtras[[#This Row],[LID]])</f>
        <v>2123114</v>
      </c>
      <c r="W13" s="69" t="str">
        <f>IFERROR(VLOOKUP(ListExtras[[#This Row],[Scope Name]],ResourceScopes[[ScopesDisplayNames]:[No]],2,0),IF(ListExtras[[#This Row],[LID]]=0,"scope",""))</f>
        <v/>
      </c>
      <c r="X13" s="63" t="str">
        <f>'Table Seed Map'!$A$26&amp;"-"&amp;COUNT($AA$1:ListExtras[[#This Row],[Relation]])</f>
        <v>List Relation-10</v>
      </c>
      <c r="Y1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2125110</v>
      </c>
      <c r="Z13" s="69">
        <f>IF(ListExtras[[#This Row],[LID]]=0,"resource_list",ListExtras[[#This Row],[LID]])</f>
        <v>2123114</v>
      </c>
      <c r="AA13" s="69">
        <f>IFERROR(VLOOKUP(ListExtras[[#This Row],[Relation Name]],RelationTable[[Display]:[RELID]],2,0),IF(ListExtras[[#This Row],[LID]]=0,"relation",""))</f>
        <v>2109147</v>
      </c>
      <c r="AB13" s="69" t="str">
        <f>IFERROR(VLOOKUP(ListExtras[[#This Row],[R1 Name]],RelationTable[[Display]:[RELID]],2,0),IF(ListExtras[[#This Row],[LID]]=0,"nest_relation1",""))</f>
        <v/>
      </c>
      <c r="AC13" s="69" t="str">
        <f>IFERROR(VLOOKUP(ListExtras[[#This Row],[R2 Name]],RelationTable[[Display]:[RELID]],2,0),IF(ListExtras[[#This Row],[LID]]=0,"nest_relation2",""))</f>
        <v/>
      </c>
      <c r="AD13" s="69" t="str">
        <f>IFERROR(VLOOKUP(ListExtras[[#This Row],[R3 Name]],RelationTable[[Display]:[RELID]],2,0),IF(ListExtras[[#This Row],[LID]]=0,"nest_relation3",""))</f>
        <v/>
      </c>
      <c r="AT13" s="69" t="str">
        <f>'Table Seed Map'!$A$27&amp;"-"&amp;COUNTA($AV$1:ListLayout[[#This Row],[No]])-2</f>
        <v>List Layout-11</v>
      </c>
      <c r="AU13" s="62" t="s">
        <v>1448</v>
      </c>
      <c r="AV13" s="69">
        <f>IF(ListLayout[[#This Row],[List Name for Layout]]="","id",COUNTA($AU$2:ListLayout[[#This Row],[List Name for Layout]])+IF(ISNUMBER(VLOOKUP('Table Seed Map'!$A$27,SeedMap[],9,0)),VLOOKUP('Table Seed Map'!$A$27,SeedMap[],9,0),0))</f>
        <v>2126111</v>
      </c>
      <c r="AW13" s="69">
        <f>IFERROR(VLOOKUP(ListLayout[[#This Row],[List Name for Layout]],ResourceList[[ListDisplayName]:[No]],2,0),"resource_list")</f>
        <v>2123105</v>
      </c>
      <c r="AX13" s="69" t="s">
        <v>307</v>
      </c>
      <c r="AY13" s="107" t="s">
        <v>21</v>
      </c>
      <c r="AZ13" s="69" t="str">
        <f>IF(ListLayout[[#This Row],[List Name for Layout]]="","relation",IFERROR(VLOOKUP(ListLayout[[#This Row],[Relation]],RelationTable[[Display]:[RELID]],2,0),""))</f>
        <v/>
      </c>
      <c r="BA13" s="69" t="str">
        <f>IF(ListLayout[[#This Row],[List Name for Layout]]="","nest_relation1",IFERROR(VLOOKUP(ListLayout[[#This Row],[Relation 1]],RelationTable[[Display]:[RELID]],2,0),""))</f>
        <v/>
      </c>
      <c r="BB13" s="69" t="str">
        <f>IF(ListLayout[[#This Row],[List Name for Layout]]="","nest_relation2",IFERROR(VLOOKUP(ListLayout[[#This Row],[Relation 2]],RelationTable[[Display]:[RELID]],2,0),""))</f>
        <v/>
      </c>
      <c r="BC13" s="107"/>
      <c r="BD13" s="107"/>
      <c r="BE13" s="107"/>
    </row>
    <row r="14" spans="1:57" hidden="1">
      <c r="A14" s="63" t="str">
        <f>'Table Seed Map'!$A$24&amp;"-"&amp;COUNTA($B$1:ResourceList[[#This Row],[Resource Name]])-1</f>
        <v>Resource Lists-12</v>
      </c>
      <c r="B14" s="62" t="s">
        <v>783</v>
      </c>
      <c r="C14" s="63" t="str">
        <f>ResourceList[[#This Row],[Resource Name]]&amp;"/"&amp;ResourceList[[#This Row],[Name]]</f>
        <v>Pricelist/PriceList</v>
      </c>
      <c r="D14" s="69">
        <f>IF(ResourceList[[#This Row],[Resource Name]]="","id",COUNTA($B$2:ResourceList[[#This Row],[Resource Name]])+IF(ISNUMBER(VLOOKUP('Table Seed Map'!$A$24,SeedMap[],9,0)),VLOOKUP('Table Seed Map'!$A$24,SeedMap[],9,0),0))</f>
        <v>2123112</v>
      </c>
      <c r="E14" s="69">
        <f>IFERROR(VLOOKUP(ResourceList[[#This Row],[Resource Name]],ResourceTable[[RName]:[No]],3,0),"resource")</f>
        <v>2106115</v>
      </c>
      <c r="F14" s="107" t="s">
        <v>1408</v>
      </c>
      <c r="G14" s="107"/>
      <c r="H14" s="107" t="s">
        <v>901</v>
      </c>
      <c r="I14" s="107" t="s">
        <v>23</v>
      </c>
      <c r="J14" s="107">
        <v>10</v>
      </c>
      <c r="K14" s="67">
        <f>[No]</f>
        <v>2123112</v>
      </c>
      <c r="M14" s="62" t="s">
        <v>1473</v>
      </c>
      <c r="N14" s="63">
        <f>VLOOKUP(ListExtras[[#This Row],[List Name]],ResourceList[[ListDisplayName]:[No]],2,0)</f>
        <v>2123115</v>
      </c>
      <c r="O14" s="62"/>
      <c r="P14" s="62" t="s">
        <v>1474</v>
      </c>
      <c r="Q14" s="62"/>
      <c r="R14" s="62"/>
      <c r="S14" s="62"/>
      <c r="T14" s="63" t="str">
        <f>'Table Seed Map'!$A$25&amp;"-"&amp;COUNT($W$1:ListExtras[[#This Row],[Scope ID]])</f>
        <v>List Scopes-3</v>
      </c>
      <c r="U1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4" s="69">
        <f>IF(ListExtras[[#This Row],[LID]]=0,"resource_list",ListExtras[[#This Row],[LID]])</f>
        <v>2123115</v>
      </c>
      <c r="W14" s="69" t="str">
        <f>IFERROR(VLOOKUP(ListExtras[[#This Row],[Scope Name]],ResourceScopes[[ScopesDisplayNames]:[No]],2,0),IF(ListExtras[[#This Row],[LID]]=0,"scope",""))</f>
        <v/>
      </c>
      <c r="X14" s="63" t="str">
        <f>'Table Seed Map'!$A$26&amp;"-"&amp;COUNT($AA$1:ListExtras[[#This Row],[Relation]])</f>
        <v>List Relation-11</v>
      </c>
      <c r="Y1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2125111</v>
      </c>
      <c r="Z14" s="69">
        <f>IF(ListExtras[[#This Row],[LID]]=0,"resource_list",ListExtras[[#This Row],[LID]])</f>
        <v>2123115</v>
      </c>
      <c r="AA14" s="69">
        <f>IFERROR(VLOOKUP(ListExtras[[#This Row],[Relation Name]],RelationTable[[Display]:[RELID]],2,0),IF(ListExtras[[#This Row],[LID]]=0,"relation",""))</f>
        <v>2109162</v>
      </c>
      <c r="AB14" s="69" t="str">
        <f>IFERROR(VLOOKUP(ListExtras[[#This Row],[R1 Name]],RelationTable[[Display]:[RELID]],2,0),IF(ListExtras[[#This Row],[LID]]=0,"nest_relation1",""))</f>
        <v/>
      </c>
      <c r="AC14" s="69" t="str">
        <f>IFERROR(VLOOKUP(ListExtras[[#This Row],[R2 Name]],RelationTable[[Display]:[RELID]],2,0),IF(ListExtras[[#This Row],[LID]]=0,"nest_relation2",""))</f>
        <v/>
      </c>
      <c r="AD14" s="69" t="str">
        <f>IFERROR(VLOOKUP(ListExtras[[#This Row],[R3 Name]],RelationTable[[Display]:[RELID]],2,0),IF(ListExtras[[#This Row],[LID]]=0,"nest_relation3",""))</f>
        <v/>
      </c>
      <c r="AT14" s="68" t="str">
        <f>'Table Seed Map'!$A$27&amp;"-"&amp;COUNTA($AV$1:ListLayout[[#This Row],[No]])-2</f>
        <v>List Layout-12</v>
      </c>
      <c r="AU14" s="62" t="s">
        <v>1448</v>
      </c>
      <c r="AV14" s="68">
        <f>IF(ListLayout[[#This Row],[List Name for Layout]]="","id",COUNTA($AU$2:ListLayout[[#This Row],[List Name for Layout]])+IF(ISNUMBER(VLOOKUP('Table Seed Map'!$A$27,SeedMap[],9,0)),VLOOKUP('Table Seed Map'!$A$27,SeedMap[],9,0),0))</f>
        <v>2126112</v>
      </c>
      <c r="AW14" s="68">
        <f>IFERROR(VLOOKUP(ListLayout[[#This Row],[List Name for Layout]],ResourceList[[ListDisplayName]:[No]],2,0),"resource_list")</f>
        <v>2123105</v>
      </c>
      <c r="AX14" s="69" t="s">
        <v>1</v>
      </c>
      <c r="AY14" s="107" t="s">
        <v>23</v>
      </c>
      <c r="AZ14" s="68" t="str">
        <f>IF(ListLayout[[#This Row],[List Name for Layout]]="","relation",IFERROR(VLOOKUP(ListLayout[[#This Row],[Relation]],RelationTable[[Display]:[RELID]],2,0),""))</f>
        <v/>
      </c>
      <c r="BA14" s="68" t="str">
        <f>IF(ListLayout[[#This Row],[List Name for Layout]]="","nest_relation1",IFERROR(VLOOKUP(ListLayout[[#This Row],[Relation 1]],RelationTable[[Display]:[RELID]],2,0),""))</f>
        <v/>
      </c>
      <c r="BB14" s="68" t="str">
        <f>IF(ListLayout[[#This Row],[List Name for Layout]]="","nest_relation2",IFERROR(VLOOKUP(ListLayout[[#This Row],[Relation 2]],RelationTable[[Display]:[RELID]],2,0),""))</f>
        <v/>
      </c>
      <c r="BC14" s="108"/>
      <c r="BD14" s="108"/>
      <c r="BE14" s="108"/>
    </row>
    <row r="15" spans="1:57" hidden="1">
      <c r="A15" s="63" t="str">
        <f>'Table Seed Map'!$A$24&amp;"-"&amp;COUNTA($B$1:ResourceList[[#This Row],[Resource Name]])-1</f>
        <v>Resource Lists-13</v>
      </c>
      <c r="B15" s="62" t="s">
        <v>786</v>
      </c>
      <c r="C15" s="63" t="str">
        <f>ResourceList[[#This Row],[Resource Name]]&amp;"/"&amp;ResourceList[[#This Row],[Name]]</f>
        <v>IdentityLabel/IdentityLabelList</v>
      </c>
      <c r="D15" s="69">
        <f>IF(ResourceList[[#This Row],[Resource Name]]="","id",COUNTA($B$2:ResourceList[[#This Row],[Resource Name]])+IF(ISNUMBER(VLOOKUP('Table Seed Map'!$A$24,SeedMap[],9,0)),VLOOKUP('Table Seed Map'!$A$24,SeedMap[],9,0),0))</f>
        <v>2123113</v>
      </c>
      <c r="E15" s="69">
        <f>IFERROR(VLOOKUP(ResourceList[[#This Row],[Resource Name]],ResourceTable[[RName]:[No]],3,0),"resource")</f>
        <v>2106117</v>
      </c>
      <c r="F15" s="107" t="s">
        <v>1409</v>
      </c>
      <c r="G15" s="107"/>
      <c r="H15" s="107" t="s">
        <v>904</v>
      </c>
      <c r="I15" s="107" t="s">
        <v>850</v>
      </c>
      <c r="J15" s="107">
        <v>50</v>
      </c>
      <c r="K15" s="67">
        <f>[No]</f>
        <v>2123113</v>
      </c>
      <c r="M15" s="62" t="s">
        <v>1473</v>
      </c>
      <c r="N15" s="63">
        <f>VLOOKUP(ListExtras[[#This Row],[List Name]],ResourceList[[ListDisplayName]:[No]],2,0)</f>
        <v>2123115</v>
      </c>
      <c r="O15" s="62"/>
      <c r="P15" s="62" t="s">
        <v>1475</v>
      </c>
      <c r="Q15" s="62"/>
      <c r="R15" s="62"/>
      <c r="S15" s="62"/>
      <c r="T15" s="63" t="str">
        <f>'Table Seed Map'!$A$25&amp;"-"&amp;COUNT($W$1:ListExtras[[#This Row],[Scope ID]])</f>
        <v>List Scopes-3</v>
      </c>
      <c r="U1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9">
        <f>IF(ListExtras[[#This Row],[LID]]=0,"resource_list",ListExtras[[#This Row],[LID]])</f>
        <v>2123115</v>
      </c>
      <c r="W15" s="69" t="str">
        <f>IFERROR(VLOOKUP(ListExtras[[#This Row],[Scope Name]],ResourceScopes[[ScopesDisplayNames]:[No]],2,0),IF(ListExtras[[#This Row],[LID]]=0,"scope",""))</f>
        <v/>
      </c>
      <c r="X15" s="63" t="str">
        <f>'Table Seed Map'!$A$26&amp;"-"&amp;COUNT($AA$1:ListExtras[[#This Row],[Relation]])</f>
        <v>List Relation-12</v>
      </c>
      <c r="Y1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2125112</v>
      </c>
      <c r="Z15" s="69">
        <f>IF(ListExtras[[#This Row],[LID]]=0,"resource_list",ListExtras[[#This Row],[LID]])</f>
        <v>2123115</v>
      </c>
      <c r="AA15" s="69">
        <f>IFERROR(VLOOKUP(ListExtras[[#This Row],[Relation Name]],RelationTable[[Display]:[RELID]],2,0),IF(ListExtras[[#This Row],[LID]]=0,"relation",""))</f>
        <v>2109161</v>
      </c>
      <c r="AB15" s="69" t="str">
        <f>IFERROR(VLOOKUP(ListExtras[[#This Row],[R1 Name]],RelationTable[[Display]:[RELID]],2,0),IF(ListExtras[[#This Row],[LID]]=0,"nest_relation1",""))</f>
        <v/>
      </c>
      <c r="AC15" s="69" t="str">
        <f>IFERROR(VLOOKUP(ListExtras[[#This Row],[R2 Name]],RelationTable[[Display]:[RELID]],2,0),IF(ListExtras[[#This Row],[LID]]=0,"nest_relation2",""))</f>
        <v/>
      </c>
      <c r="AD15" s="69" t="str">
        <f>IFERROR(VLOOKUP(ListExtras[[#This Row],[R3 Name]],RelationTable[[Display]:[RELID]],2,0),IF(ListExtras[[#This Row],[LID]]=0,"nest_relation3",""))</f>
        <v/>
      </c>
      <c r="AT15" s="68" t="str">
        <f>'Table Seed Map'!$A$27&amp;"-"&amp;COUNTA($AV$1:ListLayout[[#This Row],[No]])-2</f>
        <v>List Layout-13</v>
      </c>
      <c r="AU15" s="62" t="s">
        <v>1448</v>
      </c>
      <c r="AV15" s="68">
        <f>IF(ListLayout[[#This Row],[List Name for Layout]]="","id",COUNTA($AU$2:ListLayout[[#This Row],[List Name for Layout]])+IF(ISNUMBER(VLOOKUP('Table Seed Map'!$A$27,SeedMap[],9,0)),VLOOKUP('Table Seed Map'!$A$27,SeedMap[],9,0),0))</f>
        <v>2126113</v>
      </c>
      <c r="AW15" s="68">
        <f>IFERROR(VLOOKUP(ListLayout[[#This Row],[List Name for Layout]],ResourceList[[ListDisplayName]:[No]],2,0),"resource_list")</f>
        <v>2123105</v>
      </c>
      <c r="AX15" s="69" t="s">
        <v>896</v>
      </c>
      <c r="AY15" s="107" t="s">
        <v>23</v>
      </c>
      <c r="AZ15" s="68">
        <f>IF(ListLayout[[#This Row],[List Name for Layout]]="","relation",IFERROR(VLOOKUP(ListLayout[[#This Row],[Relation]],RelationTable[[Display]:[RELID]],2,0),""))</f>
        <v>2109104</v>
      </c>
      <c r="BA15" s="68" t="str">
        <f>IF(ListLayout[[#This Row],[List Name for Layout]]="","nest_relation1",IFERROR(VLOOKUP(ListLayout[[#This Row],[Relation 1]],RelationTable[[Display]:[RELID]],2,0),""))</f>
        <v/>
      </c>
      <c r="BB15" s="68" t="str">
        <f>IF(ListLayout[[#This Row],[List Name for Layout]]="","nest_relation2",IFERROR(VLOOKUP(ListLayout[[#This Row],[Relation 2]],RelationTable[[Display]:[RELID]],2,0),""))</f>
        <v/>
      </c>
      <c r="BC15" s="108" t="s">
        <v>1453</v>
      </c>
      <c r="BD15" s="108"/>
      <c r="BE15" s="108"/>
    </row>
    <row r="16" spans="1:57" hidden="1">
      <c r="A16" s="63" t="str">
        <f>'Table Seed Map'!$A$24&amp;"-"&amp;COUNTA($B$1:ResourceList[[#This Row],[Resource Name]])-1</f>
        <v>Resource Lists-14</v>
      </c>
      <c r="B16" s="62" t="s">
        <v>787</v>
      </c>
      <c r="C16" s="63" t="str">
        <f>ResourceList[[#This Row],[Resource Name]]&amp;"/"&amp;ResourceList[[#This Row],[Name]]</f>
        <v>Order/OrderList</v>
      </c>
      <c r="D16" s="69">
        <f>IF(ResourceList[[#This Row],[Resource Name]]="","id",COUNTA($B$2:ResourceList[[#This Row],[Resource Name]])+IF(ISNUMBER(VLOOKUP('Table Seed Map'!$A$24,SeedMap[],9,0)),VLOOKUP('Table Seed Map'!$A$24,SeedMap[],9,0),0))</f>
        <v>2123114</v>
      </c>
      <c r="E16" s="69">
        <f>IFERROR(VLOOKUP(ResourceList[[#This Row],[Resource Name]],ResourceTable[[RName]:[No]],3,0),"resource")</f>
        <v>2106118</v>
      </c>
      <c r="F16" s="107" t="s">
        <v>1410</v>
      </c>
      <c r="G16" s="107"/>
      <c r="H16" s="107" t="s">
        <v>905</v>
      </c>
      <c r="I16" s="107" t="s">
        <v>21</v>
      </c>
      <c r="J16" s="107">
        <v>30</v>
      </c>
      <c r="K16" s="67">
        <f>[No]</f>
        <v>2123114</v>
      </c>
      <c r="M16" s="62" t="s">
        <v>1476</v>
      </c>
      <c r="N16" s="63">
        <f>VLOOKUP(ListExtras[[#This Row],[List Name]],ResourceList[[ListDisplayName]:[No]],2,0)</f>
        <v>2123116</v>
      </c>
      <c r="O16" s="62"/>
      <c r="P16" s="62" t="s">
        <v>1477</v>
      </c>
      <c r="Q16" s="62" t="s">
        <v>1474</v>
      </c>
      <c r="R16" s="62"/>
      <c r="S16" s="62"/>
      <c r="T16" s="63" t="str">
        <f>'Table Seed Map'!$A$25&amp;"-"&amp;COUNT($W$1:ListExtras[[#This Row],[Scope ID]])</f>
        <v>List Scopes-3</v>
      </c>
      <c r="U1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9">
        <f>IF(ListExtras[[#This Row],[LID]]=0,"resource_list",ListExtras[[#This Row],[LID]])</f>
        <v>2123116</v>
      </c>
      <c r="W16" s="69" t="str">
        <f>IFERROR(VLOOKUP(ListExtras[[#This Row],[Scope Name]],ResourceScopes[[ScopesDisplayNames]:[No]],2,0),IF(ListExtras[[#This Row],[LID]]=0,"scope",""))</f>
        <v/>
      </c>
      <c r="X16" s="63" t="str">
        <f>'Table Seed Map'!$A$26&amp;"-"&amp;COUNT($AA$1:ListExtras[[#This Row],[Relation]])</f>
        <v>List Relation-13</v>
      </c>
      <c r="Y1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2125113</v>
      </c>
      <c r="Z16" s="69">
        <f>IF(ListExtras[[#This Row],[LID]]=0,"resource_list",ListExtras[[#This Row],[LID]])</f>
        <v>2123116</v>
      </c>
      <c r="AA16" s="69">
        <f>IFERROR(VLOOKUP(ListExtras[[#This Row],[Relation Name]],RelationTable[[Display]:[RELID]],2,0),IF(ListExtras[[#This Row],[LID]]=0,"relation",""))</f>
        <v>2109170</v>
      </c>
      <c r="AB16" s="69">
        <f>IFERROR(VLOOKUP(ListExtras[[#This Row],[R1 Name]],RelationTable[[Display]:[RELID]],2,0),IF(ListExtras[[#This Row],[LID]]=0,"nest_relation1",""))</f>
        <v>2109162</v>
      </c>
      <c r="AC16" s="69" t="str">
        <f>IFERROR(VLOOKUP(ListExtras[[#This Row],[R2 Name]],RelationTable[[Display]:[RELID]],2,0),IF(ListExtras[[#This Row],[LID]]=0,"nest_relation2",""))</f>
        <v/>
      </c>
      <c r="AD16" s="69" t="str">
        <f>IFERROR(VLOOKUP(ListExtras[[#This Row],[R3 Name]],RelationTable[[Display]:[RELID]],2,0),IF(ListExtras[[#This Row],[LID]]=0,"nest_relation3",""))</f>
        <v/>
      </c>
      <c r="AT16" s="69" t="str">
        <f>'Table Seed Map'!$A$27&amp;"-"&amp;COUNTA($AV$1:ListLayout[[#This Row],[No]])-2</f>
        <v>List Layout-14</v>
      </c>
      <c r="AU16" s="62" t="s">
        <v>1448</v>
      </c>
      <c r="AV16" s="69">
        <f>IF(ListLayout[[#This Row],[List Name for Layout]]="","id",COUNTA($AU$2:ListLayout[[#This Row],[List Name for Layout]])+IF(ISNUMBER(VLOOKUP('Table Seed Map'!$A$27,SeedMap[],9,0)),VLOOKUP('Table Seed Map'!$A$27,SeedMap[],9,0),0))</f>
        <v>2126114</v>
      </c>
      <c r="AW16" s="69">
        <f>IFERROR(VLOOKUP(ListLayout[[#This Row],[List Name for Layout]],ResourceList[[ListDisplayName]:[No]],2,0),"resource_list")</f>
        <v>2123105</v>
      </c>
      <c r="AX16" s="69" t="s">
        <v>777</v>
      </c>
      <c r="AY16" s="107" t="s">
        <v>23</v>
      </c>
      <c r="AZ16" s="69">
        <f>IF(ListLayout[[#This Row],[List Name for Layout]]="","relation",IFERROR(VLOOKUP(ListLayout[[#This Row],[Relation]],RelationTable[[Display]:[RELID]],2,0),""))</f>
        <v>2109106</v>
      </c>
      <c r="BA16" s="69" t="str">
        <f>IF(ListLayout[[#This Row],[List Name for Layout]]="","nest_relation1",IFERROR(VLOOKUP(ListLayout[[#This Row],[Relation 1]],RelationTable[[Display]:[RELID]],2,0),""))</f>
        <v/>
      </c>
      <c r="BB16" s="69" t="str">
        <f>IF(ListLayout[[#This Row],[List Name for Layout]]="","nest_relation2",IFERROR(VLOOKUP(ListLayout[[#This Row],[Relation 2]],RelationTable[[Display]:[RELID]],2,0),""))</f>
        <v/>
      </c>
      <c r="BC16" s="108" t="s">
        <v>1454</v>
      </c>
      <c r="BD16" s="107"/>
      <c r="BE16" s="107"/>
    </row>
    <row r="17" spans="1:57" hidden="1">
      <c r="A17" s="63" t="str">
        <f>'Table Seed Map'!$A$24&amp;"-"&amp;COUNTA($B$1:ResourceList[[#This Row],[Resource Name]])-1</f>
        <v>Resource Lists-15</v>
      </c>
      <c r="B17" s="62" t="s">
        <v>893</v>
      </c>
      <c r="C17" s="63" t="str">
        <f>ResourceList[[#This Row],[Resource Name]]&amp;"/"&amp;ResourceList[[#This Row],[Name]]</f>
        <v>Invoice/InvoiceList</v>
      </c>
      <c r="D17" s="69">
        <f>IF(ResourceList[[#This Row],[Resource Name]]="","id",COUNTA($B$2:ResourceList[[#This Row],[Resource Name]])+IF(ISNUMBER(VLOOKUP('Table Seed Map'!$A$24,SeedMap[],9,0)),VLOOKUP('Table Seed Map'!$A$24,SeedMap[],9,0),0))</f>
        <v>2123115</v>
      </c>
      <c r="E17" s="69">
        <f>IFERROR(VLOOKUP(ResourceList[[#This Row],[Resource Name]],ResourceTable[[RName]:[No]],3,0),"resource")</f>
        <v>2106121</v>
      </c>
      <c r="F17" s="107" t="s">
        <v>1411</v>
      </c>
      <c r="G17" s="107"/>
      <c r="H17" s="107" t="s">
        <v>908</v>
      </c>
      <c r="I17" s="107" t="s">
        <v>21</v>
      </c>
      <c r="J17" s="107">
        <v>30</v>
      </c>
      <c r="K17" s="67">
        <f>[No]</f>
        <v>2123115</v>
      </c>
      <c r="M17" s="62" t="s">
        <v>1479</v>
      </c>
      <c r="N17" s="63">
        <f>VLOOKUP(ListExtras[[#This Row],[List Name]],ResourceList[[ListDisplayName]:[No]],2,0)</f>
        <v>2123117</v>
      </c>
      <c r="O17" s="62"/>
      <c r="P17" s="62" t="s">
        <v>1486</v>
      </c>
      <c r="Q17" s="62"/>
      <c r="R17" s="62"/>
      <c r="S17" s="62"/>
      <c r="T17" s="63" t="str">
        <f>'Table Seed Map'!$A$25&amp;"-"&amp;COUNT($W$1:ListExtras[[#This Row],[Scope ID]])</f>
        <v>List Scopes-3</v>
      </c>
      <c r="U1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69">
        <f>IF(ListExtras[[#This Row],[LID]]=0,"resource_list",ListExtras[[#This Row],[LID]])</f>
        <v>2123117</v>
      </c>
      <c r="W17" s="69" t="str">
        <f>IFERROR(VLOOKUP(ListExtras[[#This Row],[Scope Name]],ResourceScopes[[ScopesDisplayNames]:[No]],2,0),IF(ListExtras[[#This Row],[LID]]=0,"scope",""))</f>
        <v/>
      </c>
      <c r="X17" s="63" t="str">
        <f>'Table Seed Map'!$A$26&amp;"-"&amp;COUNT($AA$1:ListExtras[[#This Row],[Relation]])</f>
        <v>List Relation-14</v>
      </c>
      <c r="Y1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2125114</v>
      </c>
      <c r="Z17" s="69">
        <f>IF(ListExtras[[#This Row],[LID]]=0,"resource_list",ListExtras[[#This Row],[LID]])</f>
        <v>2123117</v>
      </c>
      <c r="AA17" s="69">
        <f>IFERROR(VLOOKUP(ListExtras[[#This Row],[Relation Name]],RelationTable[[Display]:[RELID]],2,0),IF(ListExtras[[#This Row],[LID]]=0,"relation",""))</f>
        <v>2109171</v>
      </c>
      <c r="AB17" s="69" t="str">
        <f>IFERROR(VLOOKUP(ListExtras[[#This Row],[R1 Name]],RelationTable[[Display]:[RELID]],2,0),IF(ListExtras[[#This Row],[LID]]=0,"nest_relation1",""))</f>
        <v/>
      </c>
      <c r="AC17" s="69" t="str">
        <f>IFERROR(VLOOKUP(ListExtras[[#This Row],[R2 Name]],RelationTable[[Display]:[RELID]],2,0),IF(ListExtras[[#This Row],[LID]]=0,"nest_relation2",""))</f>
        <v/>
      </c>
      <c r="AD17" s="69" t="str">
        <f>IFERROR(VLOOKUP(ListExtras[[#This Row],[R3 Name]],RelationTable[[Display]:[RELID]],2,0),IF(ListExtras[[#This Row],[LID]]=0,"nest_relation3",""))</f>
        <v/>
      </c>
      <c r="AT17" s="69" t="str">
        <f>'Table Seed Map'!$A$27&amp;"-"&amp;COUNTA($AV$1:ListLayout[[#This Row],[No]])-2</f>
        <v>List Layout-15</v>
      </c>
      <c r="AU17" s="62" t="s">
        <v>1455</v>
      </c>
      <c r="AV17" s="69">
        <f>IF(ListLayout[[#This Row],[List Name for Layout]]="","id",COUNTA($AU$2:ListLayout[[#This Row],[List Name for Layout]])+IF(ISNUMBER(VLOOKUP('Table Seed Map'!$A$27,SeedMap[],9,0)),VLOOKUP('Table Seed Map'!$A$27,SeedMap[],9,0),0))</f>
        <v>2126115</v>
      </c>
      <c r="AW17" s="69">
        <f>IFERROR(VLOOKUP(ListLayout[[#This Row],[List Name for Layout]],ResourceList[[ListDisplayName]:[No]],2,0),"resource_list")</f>
        <v>2123107</v>
      </c>
      <c r="AX17" s="69" t="s">
        <v>307</v>
      </c>
      <c r="AY17" s="107" t="s">
        <v>21</v>
      </c>
      <c r="AZ17" s="69" t="str">
        <f>IF(ListLayout[[#This Row],[List Name for Layout]]="","relation",IFERROR(VLOOKUP(ListLayout[[#This Row],[Relation]],RelationTable[[Display]:[RELID]],2,0),""))</f>
        <v/>
      </c>
      <c r="BA17" s="69" t="str">
        <f>IF(ListLayout[[#This Row],[List Name for Layout]]="","nest_relation1",IFERROR(VLOOKUP(ListLayout[[#This Row],[Relation 1]],RelationTable[[Display]:[RELID]],2,0),""))</f>
        <v/>
      </c>
      <c r="BB17" s="69" t="str">
        <f>IF(ListLayout[[#This Row],[List Name for Layout]]="","nest_relation2",IFERROR(VLOOKUP(ListLayout[[#This Row],[Relation 2]],RelationTable[[Display]:[RELID]],2,0),""))</f>
        <v/>
      </c>
      <c r="BC17" s="107"/>
      <c r="BD17" s="107"/>
      <c r="BE17" s="107"/>
    </row>
    <row r="18" spans="1:57" hidden="1">
      <c r="A18" s="63" t="str">
        <f>'Table Seed Map'!$A$24&amp;"-"&amp;COUNTA($B$1:ResourceList[[#This Row],[Resource Name]])-1</f>
        <v>Resource Lists-16</v>
      </c>
      <c r="B18" s="62" t="s">
        <v>791</v>
      </c>
      <c r="C18" s="63" t="str">
        <f>ResourceList[[#This Row],[Resource Name]]&amp;"/"&amp;ResourceList[[#This Row],[Name]]</f>
        <v>Receipt/ReceiptList</v>
      </c>
      <c r="D18" s="69">
        <f>IF(ResourceList[[#This Row],[Resource Name]]="","id",COUNTA($B$2:ResourceList[[#This Row],[Resource Name]])+IF(ISNUMBER(VLOOKUP('Table Seed Map'!$A$24,SeedMap[],9,0)),VLOOKUP('Table Seed Map'!$A$24,SeedMap[],9,0),0))</f>
        <v>2123116</v>
      </c>
      <c r="E18" s="69">
        <f>IFERROR(VLOOKUP(ResourceList[[#This Row],[Resource Name]],ResourceTable[[RName]:[No]],3,0),"resource")</f>
        <v>2106124</v>
      </c>
      <c r="F18" s="107" t="s">
        <v>1412</v>
      </c>
      <c r="G18" s="107"/>
      <c r="H18" s="107" t="s">
        <v>911</v>
      </c>
      <c r="I18" s="107" t="s">
        <v>21</v>
      </c>
      <c r="J18" s="107">
        <v>30</v>
      </c>
      <c r="K18" s="67">
        <f>[No]</f>
        <v>2123116</v>
      </c>
      <c r="M18" s="62" t="s">
        <v>1479</v>
      </c>
      <c r="N18" s="63">
        <f>VLOOKUP(ListExtras[[#This Row],[List Name]],ResourceList[[ListDisplayName]:[No]],2,0)</f>
        <v>2123117</v>
      </c>
      <c r="O18" s="62"/>
      <c r="P18" s="62" t="s">
        <v>1480</v>
      </c>
      <c r="Q18" s="62"/>
      <c r="R18" s="62"/>
      <c r="S18" s="62"/>
      <c r="T18" s="63" t="str">
        <f>'Table Seed Map'!$A$25&amp;"-"&amp;COUNT($W$1:ListExtras[[#This Row],[Scope ID]])</f>
        <v>List Scopes-3</v>
      </c>
      <c r="U1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8" s="69">
        <f>IF(ListExtras[[#This Row],[LID]]=0,"resource_list",ListExtras[[#This Row],[LID]])</f>
        <v>2123117</v>
      </c>
      <c r="W18" s="69" t="str">
        <f>IFERROR(VLOOKUP(ListExtras[[#This Row],[Scope Name]],ResourceScopes[[ScopesDisplayNames]:[No]],2,0),IF(ListExtras[[#This Row],[LID]]=0,"scope",""))</f>
        <v/>
      </c>
      <c r="X18" s="63" t="str">
        <f>'Table Seed Map'!$A$26&amp;"-"&amp;COUNT($AA$1:ListExtras[[#This Row],[Relation]])</f>
        <v>List Relation-15</v>
      </c>
      <c r="Y1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2125115</v>
      </c>
      <c r="Z18" s="69">
        <f>IF(ListExtras[[#This Row],[LID]]=0,"resource_list",ListExtras[[#This Row],[LID]])</f>
        <v>2123117</v>
      </c>
      <c r="AA18" s="69">
        <f>IFERROR(VLOOKUP(ListExtras[[#This Row],[Relation Name]],RelationTable[[Display]:[RELID]],2,0),IF(ListExtras[[#This Row],[LID]]=0,"relation",""))</f>
        <v>2109172</v>
      </c>
      <c r="AB18" s="69" t="str">
        <f>IFERROR(VLOOKUP(ListExtras[[#This Row],[R1 Name]],RelationTable[[Display]:[RELID]],2,0),IF(ListExtras[[#This Row],[LID]]=0,"nest_relation1",""))</f>
        <v/>
      </c>
      <c r="AC18" s="69" t="str">
        <f>IFERROR(VLOOKUP(ListExtras[[#This Row],[R2 Name]],RelationTable[[Display]:[RELID]],2,0),IF(ListExtras[[#This Row],[LID]]=0,"nest_relation2",""))</f>
        <v/>
      </c>
      <c r="AD18" s="69" t="str">
        <f>IFERROR(VLOOKUP(ListExtras[[#This Row],[R3 Name]],RelationTable[[Display]:[RELID]],2,0),IF(ListExtras[[#This Row],[LID]]=0,"nest_relation3",""))</f>
        <v/>
      </c>
      <c r="AT18" s="69" t="str">
        <f>'Table Seed Map'!$A$27&amp;"-"&amp;COUNTA($AV$1:ListLayout[[#This Row],[No]])-2</f>
        <v>List Layout-16</v>
      </c>
      <c r="AU18" s="62" t="s">
        <v>1455</v>
      </c>
      <c r="AV18" s="69">
        <f>IF(ListLayout[[#This Row],[List Name for Layout]]="","id",COUNTA($AU$2:ListLayout[[#This Row],[List Name for Layout]])+IF(ISNUMBER(VLOOKUP('Table Seed Map'!$A$27,SeedMap[],9,0)),VLOOKUP('Table Seed Map'!$A$27,SeedMap[],9,0),0))</f>
        <v>2126116</v>
      </c>
      <c r="AW18" s="69">
        <f>IFERROR(VLOOKUP(ListLayout[[#This Row],[List Name for Layout]],ResourceList[[ListDisplayName]:[No]],2,0),"resource_list")</f>
        <v>2123107</v>
      </c>
      <c r="AX18" s="69" t="s">
        <v>1</v>
      </c>
      <c r="AY18" s="107" t="s">
        <v>23</v>
      </c>
      <c r="AZ18" s="69" t="str">
        <f>IF(ListLayout[[#This Row],[List Name for Layout]]="","relation",IFERROR(VLOOKUP(ListLayout[[#This Row],[Relation]],RelationTable[[Display]:[RELID]],2,0),""))</f>
        <v/>
      </c>
      <c r="BA18" s="69" t="str">
        <f>IF(ListLayout[[#This Row],[List Name for Layout]]="","nest_relation1",IFERROR(VLOOKUP(ListLayout[[#This Row],[Relation 1]],RelationTable[[Display]:[RELID]],2,0),""))</f>
        <v/>
      </c>
      <c r="BB18" s="69" t="str">
        <f>IF(ListLayout[[#This Row],[List Name for Layout]]="","nest_relation2",IFERROR(VLOOKUP(ListLayout[[#This Row],[Relation 2]],RelationTable[[Display]:[RELID]],2,0),""))</f>
        <v/>
      </c>
      <c r="BC18" s="107"/>
      <c r="BD18" s="107"/>
      <c r="BE18" s="107"/>
    </row>
    <row r="19" spans="1:57" hidden="1">
      <c r="A19" s="63" t="str">
        <f>'Table Seed Map'!$A$24&amp;"-"&amp;COUNTA($B$1:ResourceList[[#This Row],[Resource Name]])-1</f>
        <v>Resource Lists-17</v>
      </c>
      <c r="B19" s="62" t="s">
        <v>912</v>
      </c>
      <c r="C19" s="63" t="str">
        <f>ResourceList[[#This Row],[Resource Name]]&amp;"/"&amp;ResourceList[[#This Row],[Name]]</f>
        <v>Delivery/DeliveryList</v>
      </c>
      <c r="D19" s="69">
        <f>IF(ResourceList[[#This Row],[Resource Name]]="","id",COUNTA($B$2:ResourceList[[#This Row],[Resource Name]])+IF(ISNUMBER(VLOOKUP('Table Seed Map'!$A$24,SeedMap[],9,0)),VLOOKUP('Table Seed Map'!$A$24,SeedMap[],9,0),0))</f>
        <v>2123117</v>
      </c>
      <c r="E19" s="69">
        <f>IFERROR(VLOOKUP(ResourceList[[#This Row],[Resource Name]],ResourceTable[[RName]:[No]],3,0),"resource")</f>
        <v>2106125</v>
      </c>
      <c r="F19" s="107" t="s">
        <v>1413</v>
      </c>
      <c r="G19" s="107"/>
      <c r="H19" s="107" t="s">
        <v>952</v>
      </c>
      <c r="I19" s="107" t="s">
        <v>21</v>
      </c>
      <c r="J19" s="107">
        <v>20</v>
      </c>
      <c r="K19" s="67">
        <f>[No]</f>
        <v>2123117</v>
      </c>
      <c r="M19" s="62" t="s">
        <v>1481</v>
      </c>
      <c r="N19" s="63">
        <f>VLOOKUP(ListExtras[[#This Row],[List Name]],ResourceList[[ListDisplayName]:[No]],2,0)</f>
        <v>2123118</v>
      </c>
      <c r="O19" s="62"/>
      <c r="P19" s="62" t="s">
        <v>1484</v>
      </c>
      <c r="Q19" s="62"/>
      <c r="R19" s="62"/>
      <c r="S19" s="62"/>
      <c r="T19" s="63" t="str">
        <f>'Table Seed Map'!$A$25&amp;"-"&amp;COUNT($W$1:ListExtras[[#This Row],[Scope ID]])</f>
        <v>List Scopes-3</v>
      </c>
      <c r="U1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9">
        <f>IF(ListExtras[[#This Row],[LID]]=0,"resource_list",ListExtras[[#This Row],[LID]])</f>
        <v>2123118</v>
      </c>
      <c r="W19" s="69" t="str">
        <f>IFERROR(VLOOKUP(ListExtras[[#This Row],[Scope Name]],ResourceScopes[[ScopesDisplayNames]:[No]],2,0),IF(ListExtras[[#This Row],[LID]]=0,"scope",""))</f>
        <v/>
      </c>
      <c r="X19" s="63" t="str">
        <f>'Table Seed Map'!$A$26&amp;"-"&amp;COUNT($AA$1:ListExtras[[#This Row],[Relation]])</f>
        <v>List Relation-16</v>
      </c>
      <c r="Y1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2125116</v>
      </c>
      <c r="Z19" s="69">
        <f>IF(ListExtras[[#This Row],[LID]]=0,"resource_list",ListExtras[[#This Row],[LID]])</f>
        <v>2123118</v>
      </c>
      <c r="AA19" s="69">
        <f>IFERROR(VLOOKUP(ListExtras[[#This Row],[Relation Name]],RelationTable[[Display]:[RELID]],2,0),IF(ListExtras[[#This Row],[LID]]=0,"relation",""))</f>
        <v>2109177</v>
      </c>
      <c r="AB19" s="69" t="str">
        <f>IFERROR(VLOOKUP(ListExtras[[#This Row],[R1 Name]],RelationTable[[Display]:[RELID]],2,0),IF(ListExtras[[#This Row],[LID]]=0,"nest_relation1",""))</f>
        <v/>
      </c>
      <c r="AC19" s="69" t="str">
        <f>IFERROR(VLOOKUP(ListExtras[[#This Row],[R2 Name]],RelationTable[[Display]:[RELID]],2,0),IF(ListExtras[[#This Row],[LID]]=0,"nest_relation2",""))</f>
        <v/>
      </c>
      <c r="AD19" s="69" t="str">
        <f>IFERROR(VLOOKUP(ListExtras[[#This Row],[R3 Name]],RelationTable[[Display]:[RELID]],2,0),IF(ListExtras[[#This Row],[LID]]=0,"nest_relation3",""))</f>
        <v/>
      </c>
      <c r="AT19" s="69" t="str">
        <f>'Table Seed Map'!$A$27&amp;"-"&amp;COUNTA($AV$1:ListLayout[[#This Row],[No]])-2</f>
        <v>List Layout-17</v>
      </c>
      <c r="AU19" s="62" t="s">
        <v>1455</v>
      </c>
      <c r="AV19" s="69">
        <f>IF(ListLayout[[#This Row],[List Name for Layout]]="","id",COUNTA($AU$2:ListLayout[[#This Row],[List Name for Layout]])+IF(ISNUMBER(VLOOKUP('Table Seed Map'!$A$27,SeedMap[],9,0)),VLOOKUP('Table Seed Map'!$A$27,SeedMap[],9,0),0))</f>
        <v>2126117</v>
      </c>
      <c r="AW19" s="69">
        <f>IFERROR(VLOOKUP(ListLayout[[#This Row],[List Name for Layout]],ResourceList[[ListDisplayName]:[No]],2,0),"resource_list")</f>
        <v>2123107</v>
      </c>
      <c r="AX19" s="69" t="s">
        <v>1456</v>
      </c>
      <c r="AY19" s="107" t="s">
        <v>799</v>
      </c>
      <c r="AZ19" s="69">
        <f>IF(ListLayout[[#This Row],[List Name for Layout]]="","relation",IFERROR(VLOOKUP(ListLayout[[#This Row],[Relation]],RelationTable[[Display]:[RELID]],2,0),""))</f>
        <v>2109185</v>
      </c>
      <c r="BA19" s="69" t="str">
        <f>IF(ListLayout[[#This Row],[List Name for Layout]]="","nest_relation1",IFERROR(VLOOKUP(ListLayout[[#This Row],[Relation 1]],RelationTable[[Display]:[RELID]],2,0),""))</f>
        <v/>
      </c>
      <c r="BB19" s="69" t="str">
        <f>IF(ListLayout[[#This Row],[List Name for Layout]]="","nest_relation2",IFERROR(VLOOKUP(ListLayout[[#This Row],[Relation 2]],RelationTable[[Display]:[RELID]],2,0),""))</f>
        <v/>
      </c>
      <c r="BC19" s="107" t="s">
        <v>1162</v>
      </c>
      <c r="BD19" s="107"/>
      <c r="BE19" s="107"/>
    </row>
    <row r="20" spans="1:57" hidden="1">
      <c r="A20" s="63" t="str">
        <f>'Table Seed Map'!$A$24&amp;"-"&amp;COUNTA($B$1:ResourceList[[#This Row],[Resource Name]])-1</f>
        <v>Resource Lists-18</v>
      </c>
      <c r="B20" s="62" t="s">
        <v>792</v>
      </c>
      <c r="C20" s="63" t="str">
        <f>ResourceList[[#This Row],[Resource Name]]&amp;"/"&amp;ResourceList[[#This Row],[Name]]</f>
        <v>HubShift/HubShiftList</v>
      </c>
      <c r="D20" s="69">
        <f>IF(ResourceList[[#This Row],[Resource Name]]="","id",COUNTA($B$2:ResourceList[[#This Row],[Resource Name]])+IF(ISNUMBER(VLOOKUP('Table Seed Map'!$A$24,SeedMap[],9,0)),VLOOKUP('Table Seed Map'!$A$24,SeedMap[],9,0),0))</f>
        <v>2123118</v>
      </c>
      <c r="E20" s="69">
        <f>IFERROR(VLOOKUP(ResourceList[[#This Row],[Resource Name]],ResourceTable[[RName]:[No]],3,0),"resource")</f>
        <v>2106127</v>
      </c>
      <c r="F20" s="107" t="s">
        <v>1414</v>
      </c>
      <c r="G20" s="107"/>
      <c r="H20" s="107" t="s">
        <v>1415</v>
      </c>
      <c r="I20" s="107" t="s">
        <v>21</v>
      </c>
      <c r="J20" s="107">
        <v>30</v>
      </c>
      <c r="K20" s="67">
        <f>[No]</f>
        <v>2123118</v>
      </c>
      <c r="M20" s="62" t="s">
        <v>1481</v>
      </c>
      <c r="N20" s="63">
        <f>VLOOKUP(ListExtras[[#This Row],[List Name]],ResourceList[[ListDisplayName]:[No]],2,0)</f>
        <v>2123118</v>
      </c>
      <c r="O20" s="62"/>
      <c r="P20" s="62" t="s">
        <v>1485</v>
      </c>
      <c r="Q20" s="62"/>
      <c r="R20" s="62"/>
      <c r="S20" s="62"/>
      <c r="T20" s="63" t="str">
        <f>'Table Seed Map'!$A$25&amp;"-"&amp;COUNT($W$1:ListExtras[[#This Row],[Scope ID]])</f>
        <v>List Scopes-3</v>
      </c>
      <c r="U2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0" s="69">
        <f>IF(ListExtras[[#This Row],[LID]]=0,"resource_list",ListExtras[[#This Row],[LID]])</f>
        <v>2123118</v>
      </c>
      <c r="W20" s="69" t="str">
        <f>IFERROR(VLOOKUP(ListExtras[[#This Row],[Scope Name]],ResourceScopes[[ScopesDisplayNames]:[No]],2,0),IF(ListExtras[[#This Row],[LID]]=0,"scope",""))</f>
        <v/>
      </c>
      <c r="X20" s="63" t="str">
        <f>'Table Seed Map'!$A$26&amp;"-"&amp;COUNT($AA$1:ListExtras[[#This Row],[Relation]])</f>
        <v>List Relation-17</v>
      </c>
      <c r="Y2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2125117</v>
      </c>
      <c r="Z20" s="69">
        <f>IF(ListExtras[[#This Row],[LID]]=0,"resource_list",ListExtras[[#This Row],[LID]])</f>
        <v>2123118</v>
      </c>
      <c r="AA20" s="69">
        <f>IFERROR(VLOOKUP(ListExtras[[#This Row],[Relation Name]],RelationTable[[Display]:[RELID]],2,0),IF(ListExtras[[#This Row],[LID]]=0,"relation",""))</f>
        <v>2109178</v>
      </c>
      <c r="AB20" s="69" t="str">
        <f>IFERROR(VLOOKUP(ListExtras[[#This Row],[R1 Name]],RelationTable[[Display]:[RELID]],2,0),IF(ListExtras[[#This Row],[LID]]=0,"nest_relation1",""))</f>
        <v/>
      </c>
      <c r="AC20" s="69" t="str">
        <f>IFERROR(VLOOKUP(ListExtras[[#This Row],[R2 Name]],RelationTable[[Display]:[RELID]],2,0),IF(ListExtras[[#This Row],[LID]]=0,"nest_relation2",""))</f>
        <v/>
      </c>
      <c r="AD20" s="69" t="str">
        <f>IFERROR(VLOOKUP(ListExtras[[#This Row],[R3 Name]],RelationTable[[Display]:[RELID]],2,0),IF(ListExtras[[#This Row],[LID]]=0,"nest_relation3",""))</f>
        <v/>
      </c>
      <c r="AT20" s="69" t="str">
        <f>'Table Seed Map'!$A$27&amp;"-"&amp;COUNTA($AV$1:ListLayout[[#This Row],[No]])-2</f>
        <v>List Layout-18</v>
      </c>
      <c r="AU20" s="62" t="s">
        <v>1457</v>
      </c>
      <c r="AV20" s="69">
        <f>IF(ListLayout[[#This Row],[List Name for Layout]]="","id",COUNTA($AU$2:ListLayout[[#This Row],[List Name for Layout]])+IF(ISNUMBER(VLOOKUP('Table Seed Map'!$A$27,SeedMap[],9,0)),VLOOKUP('Table Seed Map'!$A$27,SeedMap[],9,0),0))</f>
        <v>2126118</v>
      </c>
      <c r="AW20" s="69">
        <f>IFERROR(VLOOKUP(ListLayout[[#This Row],[List Name for Layout]],ResourceList[[ListDisplayName]:[No]],2,0),"resource_list")</f>
        <v>2123108</v>
      </c>
      <c r="AX20" s="69" t="s">
        <v>307</v>
      </c>
      <c r="AY20" s="107" t="s">
        <v>21</v>
      </c>
      <c r="AZ20" s="69" t="str">
        <f>IF(ListLayout[[#This Row],[List Name for Layout]]="","relation",IFERROR(VLOOKUP(ListLayout[[#This Row],[Relation]],RelationTable[[Display]:[RELID]],2,0),""))</f>
        <v/>
      </c>
      <c r="BA20" s="69" t="str">
        <f>IF(ListLayout[[#This Row],[List Name for Layout]]="","nest_relation1",IFERROR(VLOOKUP(ListLayout[[#This Row],[Relation 1]],RelationTable[[Display]:[RELID]],2,0),""))</f>
        <v/>
      </c>
      <c r="BB20" s="69" t="str">
        <f>IF(ListLayout[[#This Row],[List Name for Layout]]="","nest_relation2",IFERROR(VLOOKUP(ListLayout[[#This Row],[Relation 2]],RelationTable[[Display]:[RELID]],2,0),""))</f>
        <v/>
      </c>
      <c r="BC20" s="107"/>
      <c r="BD20" s="107"/>
      <c r="BE20" s="107"/>
    </row>
    <row r="21" spans="1:57" hidden="1">
      <c r="A21" s="63" t="str">
        <f>'Table Seed Map'!$A$24&amp;"-"&amp;COUNTA($B$1:ResourceList[[#This Row],[Resource Name]])-1</f>
        <v>Resource Lists-19</v>
      </c>
      <c r="B21" s="62" t="s">
        <v>784</v>
      </c>
      <c r="C21" s="63" t="str">
        <f>ResourceList[[#This Row],[Resource Name]]&amp;"/"&amp;ResourceList[[#This Row],[Name]]</f>
        <v>PricelistContent/PLContentsList</v>
      </c>
      <c r="D21" s="69">
        <f>IF(ResourceList[[#This Row],[Resource Name]]="","id",COUNTA($B$2:ResourceList[[#This Row],[Resource Name]])+IF(ISNUMBER(VLOOKUP('Table Seed Map'!$A$24,SeedMap[],9,0)),VLOOKUP('Table Seed Map'!$A$24,SeedMap[],9,0),0))</f>
        <v>2123119</v>
      </c>
      <c r="E21" s="69">
        <f>IFERROR(VLOOKUP(ResourceList[[#This Row],[Resource Name]],ResourceTable[[RName]:[No]],3,0),"resource")</f>
        <v>2106116</v>
      </c>
      <c r="F21" s="107" t="s">
        <v>1601</v>
      </c>
      <c r="G21" s="107"/>
      <c r="H21" s="107" t="s">
        <v>902</v>
      </c>
      <c r="I21" s="107" t="s">
        <v>21</v>
      </c>
      <c r="J21" s="107">
        <v>30</v>
      </c>
      <c r="K21" s="67">
        <f>[No]</f>
        <v>2123119</v>
      </c>
      <c r="M21" s="62" t="s">
        <v>1602</v>
      </c>
      <c r="N21" s="63">
        <f>VLOOKUP(ListExtras[[#This Row],[List Name]],ResourceList[[ListDisplayName]:[No]],2,0)</f>
        <v>2123119</v>
      </c>
      <c r="O21" s="62"/>
      <c r="P21" s="62" t="s">
        <v>1603</v>
      </c>
      <c r="Q21" s="62"/>
      <c r="R21" s="62"/>
      <c r="S21" s="62"/>
      <c r="T21" s="63" t="str">
        <f>'Table Seed Map'!$A$25&amp;"-"&amp;COUNT($W$1:ListExtras[[#This Row],[Scope ID]])</f>
        <v>List Scopes-3</v>
      </c>
      <c r="U2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1" s="69">
        <f>IF(ListExtras[[#This Row],[LID]]=0,"resource_list",ListExtras[[#This Row],[LID]])</f>
        <v>2123119</v>
      </c>
      <c r="W21" s="69" t="str">
        <f>IFERROR(VLOOKUP(ListExtras[[#This Row],[Scope Name]],ResourceScopes[[ScopesDisplayNames]:[No]],2,0),IF(ListExtras[[#This Row],[LID]]=0,"scope",""))</f>
        <v/>
      </c>
      <c r="X21" s="63" t="str">
        <f>'Table Seed Map'!$A$26&amp;"-"&amp;COUNT($AA$1:ListExtras[[#This Row],[Relation]])</f>
        <v>List Relation-18</v>
      </c>
      <c r="Y2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2125118</v>
      </c>
      <c r="Z21" s="69">
        <f>IF(ListExtras[[#This Row],[LID]]=0,"resource_list",ListExtras[[#This Row],[LID]])</f>
        <v>2123119</v>
      </c>
      <c r="AA21" s="69">
        <f>IFERROR(VLOOKUP(ListExtras[[#This Row],[Relation Name]],RelationTable[[Display]:[RELID]],2,0),IF(ListExtras[[#This Row],[LID]]=0,"relation",""))</f>
        <v>2109144</v>
      </c>
      <c r="AB21" s="69" t="str">
        <f>IFERROR(VLOOKUP(ListExtras[[#This Row],[R1 Name]],RelationTable[[Display]:[RELID]],2,0),IF(ListExtras[[#This Row],[LID]]=0,"nest_relation1",""))</f>
        <v/>
      </c>
      <c r="AC21" s="69" t="str">
        <f>IFERROR(VLOOKUP(ListExtras[[#This Row],[R2 Name]],RelationTable[[Display]:[RELID]],2,0),IF(ListExtras[[#This Row],[LID]]=0,"nest_relation2",""))</f>
        <v/>
      </c>
      <c r="AD21" s="69" t="str">
        <f>IFERROR(VLOOKUP(ListExtras[[#This Row],[R3 Name]],RelationTable[[Display]:[RELID]],2,0),IF(ListExtras[[#This Row],[LID]]=0,"nest_relation3",""))</f>
        <v/>
      </c>
      <c r="AT21" s="69" t="str">
        <f>'Table Seed Map'!$A$27&amp;"-"&amp;COUNTA($AV$1:ListLayout[[#This Row],[No]])-2</f>
        <v>List Layout-19</v>
      </c>
      <c r="AU21" s="62" t="s">
        <v>1457</v>
      </c>
      <c r="AV21" s="69">
        <f>IF(ListLayout[[#This Row],[List Name for Layout]]="","id",COUNTA($AU$2:ListLayout[[#This Row],[List Name for Layout]])+IF(ISNUMBER(VLOOKUP('Table Seed Map'!$A$27,SeedMap[],9,0)),VLOOKUP('Table Seed Map'!$A$27,SeedMap[],9,0),0))</f>
        <v>2126119</v>
      </c>
      <c r="AW21" s="69">
        <f>IFERROR(VLOOKUP(ListLayout[[#This Row],[List Name for Layout]],ResourceList[[ListDisplayName]:[No]],2,0),"resource_list")</f>
        <v>2123108</v>
      </c>
      <c r="AX21" s="69" t="s">
        <v>1</v>
      </c>
      <c r="AY21" s="107" t="s">
        <v>23</v>
      </c>
      <c r="AZ21" s="69" t="str">
        <f>IF(ListLayout[[#This Row],[List Name for Layout]]="","relation",IFERROR(VLOOKUP(ListLayout[[#This Row],[Relation]],RelationTable[[Display]:[RELID]],2,0),""))</f>
        <v/>
      </c>
      <c r="BA21" s="69" t="str">
        <f>IF(ListLayout[[#This Row],[List Name for Layout]]="","nest_relation1",IFERROR(VLOOKUP(ListLayout[[#This Row],[Relation 1]],RelationTable[[Display]:[RELID]],2,0),""))</f>
        <v/>
      </c>
      <c r="BB21" s="69" t="str">
        <f>IF(ListLayout[[#This Row],[List Name for Layout]]="","nest_relation2",IFERROR(VLOOKUP(ListLayout[[#This Row],[Relation 2]],RelationTable[[Display]:[RELID]],2,0),""))</f>
        <v/>
      </c>
      <c r="BC21" s="107"/>
      <c r="BD21" s="107"/>
      <c r="BE21" s="107"/>
    </row>
    <row r="22" spans="1:57" hidden="1">
      <c r="A22" s="63" t="str">
        <f>'Table Seed Map'!$A$24&amp;"-"&amp;COUNTA($B$1:ResourceList[[#This Row],[Resource Name]])-1</f>
        <v>Resource Lists-20</v>
      </c>
      <c r="B22" s="62" t="s">
        <v>780</v>
      </c>
      <c r="C22" s="63" t="str">
        <f>ResourceList[[#This Row],[Resource Name]]&amp;"/"&amp;ResourceList[[#This Row],[Name]]</f>
        <v>ItemService/ItemServiceList</v>
      </c>
      <c r="D22" s="69">
        <f>IF(ResourceList[[#This Row],[Resource Name]]="","id",COUNTA($B$2:ResourceList[[#This Row],[Resource Name]])+IF(ISNUMBER(VLOOKUP('Table Seed Map'!$A$24,SeedMap[],9,0)),VLOOKUP('Table Seed Map'!$A$24,SeedMap[],9,0),0))</f>
        <v>2123120</v>
      </c>
      <c r="E22" s="69">
        <f>IFERROR(VLOOKUP(ResourceList[[#This Row],[Resource Name]],ResourceTable[[RName]:[No]],3,0),"resource")</f>
        <v>2106110</v>
      </c>
      <c r="F22" s="107" t="s">
        <v>1612</v>
      </c>
      <c r="G22" s="107"/>
      <c r="H22" s="107" t="s">
        <v>898</v>
      </c>
      <c r="I22" s="107" t="s">
        <v>23</v>
      </c>
      <c r="J22" s="107">
        <v>30</v>
      </c>
      <c r="K22" s="67">
        <f>[No]</f>
        <v>2123120</v>
      </c>
      <c r="M22" s="62" t="s">
        <v>1602</v>
      </c>
      <c r="N22" s="63">
        <f>VLOOKUP(ListExtras[[#This Row],[List Name]],ResourceList[[ListDisplayName]:[No]],2,0)</f>
        <v>2123119</v>
      </c>
      <c r="O22" s="62"/>
      <c r="P22" s="62" t="s">
        <v>1580</v>
      </c>
      <c r="Q22" s="62"/>
      <c r="R22" s="62"/>
      <c r="S22" s="62"/>
      <c r="T22" s="63" t="str">
        <f>'Table Seed Map'!$A$25&amp;"-"&amp;COUNT($W$1:ListExtras[[#This Row],[Scope ID]])</f>
        <v>List Scopes-3</v>
      </c>
      <c r="U2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9">
        <f>IF(ListExtras[[#This Row],[LID]]=0,"resource_list",ListExtras[[#This Row],[LID]])</f>
        <v>2123119</v>
      </c>
      <c r="W22" s="69" t="str">
        <f>IFERROR(VLOOKUP(ListExtras[[#This Row],[Scope Name]],ResourceScopes[[ScopesDisplayNames]:[No]],2,0),IF(ListExtras[[#This Row],[LID]]=0,"scope",""))</f>
        <v/>
      </c>
      <c r="X22" s="63" t="str">
        <f>'Table Seed Map'!$A$26&amp;"-"&amp;COUNT($AA$1:ListExtras[[#This Row],[Relation]])</f>
        <v>List Relation-19</v>
      </c>
      <c r="Y2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2125119</v>
      </c>
      <c r="Z22" s="69">
        <f>IF(ListExtras[[#This Row],[LID]]=0,"resource_list",ListExtras[[#This Row],[LID]])</f>
        <v>2123119</v>
      </c>
      <c r="AA22" s="69">
        <f>IFERROR(VLOOKUP(ListExtras[[#This Row],[Relation Name]],RelationTable[[Display]:[RELID]],2,0),IF(ListExtras[[#This Row],[LID]]=0,"relation",""))</f>
        <v>2109143</v>
      </c>
      <c r="AB22" s="69" t="str">
        <f>IFERROR(VLOOKUP(ListExtras[[#This Row],[R1 Name]],RelationTable[[Display]:[RELID]],2,0),IF(ListExtras[[#This Row],[LID]]=0,"nest_relation1",""))</f>
        <v/>
      </c>
      <c r="AC22" s="69" t="str">
        <f>IFERROR(VLOOKUP(ListExtras[[#This Row],[R2 Name]],RelationTable[[Display]:[RELID]],2,0),IF(ListExtras[[#This Row],[LID]]=0,"nest_relation2",""))</f>
        <v/>
      </c>
      <c r="AD22" s="69" t="str">
        <f>IFERROR(VLOOKUP(ListExtras[[#This Row],[R3 Name]],RelationTable[[Display]:[RELID]],2,0),IF(ListExtras[[#This Row],[LID]]=0,"nest_relation3",""))</f>
        <v/>
      </c>
      <c r="AT22" s="69" t="str">
        <f>'Table Seed Map'!$A$27&amp;"-"&amp;COUNTA($AV$1:ListLayout[[#This Row],[No]])-2</f>
        <v>List Layout-20</v>
      </c>
      <c r="AU22" s="62" t="s">
        <v>1457</v>
      </c>
      <c r="AV22" s="69">
        <f>IF(ListLayout[[#This Row],[List Name for Layout]]="","id",COUNTA($AU$2:ListLayout[[#This Row],[List Name for Layout]])+IF(ISNUMBER(VLOOKUP('Table Seed Map'!$A$27,SeedMap[],9,0)),VLOOKUP('Table Seed Map'!$A$27,SeedMap[],9,0),0))</f>
        <v>2126120</v>
      </c>
      <c r="AW22" s="69">
        <f>IFERROR(VLOOKUP(ListLayout[[#This Row],[List Name for Layout]],ResourceList[[ListDisplayName]:[No]],2,0),"resource_list")</f>
        <v>2123108</v>
      </c>
      <c r="AX22" s="69" t="s">
        <v>1456</v>
      </c>
      <c r="AY22" s="107" t="s">
        <v>799</v>
      </c>
      <c r="AZ22" s="69" t="str">
        <f>IF(ListLayout[[#This Row],[List Name for Layout]]="","relation",IFERROR(VLOOKUP(ListLayout[[#This Row],[Relation]],RelationTable[[Display]:[RELID]],2,0),""))</f>
        <v/>
      </c>
      <c r="BA22" s="69" t="str">
        <f>IF(ListLayout[[#This Row],[List Name for Layout]]="","nest_relation1",IFERROR(VLOOKUP(ListLayout[[#This Row],[Relation 1]],RelationTable[[Display]:[RELID]],2,0),""))</f>
        <v/>
      </c>
      <c r="BB22" s="69" t="str">
        <f>IF(ListLayout[[#This Row],[List Name for Layout]]="","nest_relation2",IFERROR(VLOOKUP(ListLayout[[#This Row],[Relation 2]],RelationTable[[Display]:[RELID]],2,0),""))</f>
        <v/>
      </c>
      <c r="BC22" s="107"/>
      <c r="BD22" s="107"/>
      <c r="BE22" s="107"/>
    </row>
    <row r="23" spans="1:57" hidden="1">
      <c r="A23" s="63" t="str">
        <f>'Table Seed Map'!$A$24&amp;"-"&amp;COUNTA($B$1:ResourceList[[#This Row],[Resource Name]])-1</f>
        <v>Resource Lists-21</v>
      </c>
      <c r="B23" s="62" t="s">
        <v>788</v>
      </c>
      <c r="C23" s="63" t="str">
        <f>ResourceList[[#This Row],[Resource Name]]&amp;"/"&amp;ResourceList[[#This Row],[Name]]</f>
        <v>OrderItem/OrderItemsList</v>
      </c>
      <c r="D23" s="69">
        <f>IF(ResourceList[[#This Row],[Resource Name]]="","id",COUNTA($B$2:ResourceList[[#This Row],[Resource Name]])+IF(ISNUMBER(VLOOKUP('Table Seed Map'!$A$24,SeedMap[],9,0)),VLOOKUP('Table Seed Map'!$A$24,SeedMap[],9,0),0))</f>
        <v>2123121</v>
      </c>
      <c r="E23" s="69">
        <f>IFERROR(VLOOKUP(ResourceList[[#This Row],[Resource Name]],ResourceTable[[RName]:[No]],3,0),"resource")</f>
        <v>2106119</v>
      </c>
      <c r="F23" s="107" t="s">
        <v>1626</v>
      </c>
      <c r="G23" s="107"/>
      <c r="H23" s="107" t="s">
        <v>906</v>
      </c>
      <c r="I23" s="107" t="s">
        <v>23</v>
      </c>
      <c r="J23" s="107">
        <v>30</v>
      </c>
      <c r="K23" s="67">
        <f>[No]</f>
        <v>2123121</v>
      </c>
      <c r="M23" s="62" t="s">
        <v>1613</v>
      </c>
      <c r="N23" s="63">
        <f>VLOOKUP(ListExtras[[#This Row],[List Name]],ResourceList[[ListDisplayName]:[No]],2,0)</f>
        <v>2123120</v>
      </c>
      <c r="O23" s="62"/>
      <c r="P23" s="62" t="s">
        <v>1614</v>
      </c>
      <c r="Q23" s="62"/>
      <c r="R23" s="62"/>
      <c r="S23" s="62"/>
      <c r="T23" s="63" t="str">
        <f>'Table Seed Map'!$A$25&amp;"-"&amp;COUNT($W$1:ListExtras[[#This Row],[Scope ID]])</f>
        <v>List Scopes-3</v>
      </c>
      <c r="U2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3" s="69">
        <f>IF(ListExtras[[#This Row],[LID]]=0,"resource_list",ListExtras[[#This Row],[LID]])</f>
        <v>2123120</v>
      </c>
      <c r="W23" s="69" t="str">
        <f>IFERROR(VLOOKUP(ListExtras[[#This Row],[Scope Name]],ResourceScopes[[ScopesDisplayNames]:[No]],2,0),IF(ListExtras[[#This Row],[LID]]=0,"scope",""))</f>
        <v/>
      </c>
      <c r="X23" s="63" t="str">
        <f>'Table Seed Map'!$A$26&amp;"-"&amp;COUNT($AA$1:ListExtras[[#This Row],[Relation]])</f>
        <v>List Relation-20</v>
      </c>
      <c r="Y2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2125120</v>
      </c>
      <c r="Z23" s="69">
        <f>IF(ListExtras[[#This Row],[LID]]=0,"resource_list",ListExtras[[#This Row],[LID]])</f>
        <v>2123120</v>
      </c>
      <c r="AA23" s="69">
        <f>IFERROR(VLOOKUP(ListExtras[[#This Row],[Relation Name]],RelationTable[[Display]:[RELID]],2,0),IF(ListExtras[[#This Row],[LID]]=0,"relation",""))</f>
        <v>2109131</v>
      </c>
      <c r="AB23" s="69" t="str">
        <f>IFERROR(VLOOKUP(ListExtras[[#This Row],[R1 Name]],RelationTable[[Display]:[RELID]],2,0),IF(ListExtras[[#This Row],[LID]]=0,"nest_relation1",""))</f>
        <v/>
      </c>
      <c r="AC23" s="69" t="str">
        <f>IFERROR(VLOOKUP(ListExtras[[#This Row],[R2 Name]],RelationTable[[Display]:[RELID]],2,0),IF(ListExtras[[#This Row],[LID]]=0,"nest_relation2",""))</f>
        <v/>
      </c>
      <c r="AD23" s="69" t="str">
        <f>IFERROR(VLOOKUP(ListExtras[[#This Row],[R3 Name]],RelationTable[[Display]:[RELID]],2,0),IF(ListExtras[[#This Row],[LID]]=0,"nest_relation3",""))</f>
        <v/>
      </c>
      <c r="AT23" s="69" t="str">
        <f>'Table Seed Map'!$A$27&amp;"-"&amp;COUNTA($AV$1:ListLayout[[#This Row],[No]])-2</f>
        <v>List Layout-21</v>
      </c>
      <c r="AU23" s="62" t="s">
        <v>1457</v>
      </c>
      <c r="AV23" s="69">
        <f>IF(ListLayout[[#This Row],[List Name for Layout]]="","id",COUNTA($AU$2:ListLayout[[#This Row],[List Name for Layout]])+IF(ISNUMBER(VLOOKUP('Table Seed Map'!$A$27,SeedMap[],9,0)),VLOOKUP('Table Seed Map'!$A$27,SeedMap[],9,0),0))</f>
        <v>2126121</v>
      </c>
      <c r="AW23" s="69">
        <f>IFERROR(VLOOKUP(ListLayout[[#This Row],[List Name for Layout]],ResourceList[[ListDisplayName]:[No]],2,0),"resource_list")</f>
        <v>2123108</v>
      </c>
      <c r="AX23" s="69" t="s">
        <v>1190</v>
      </c>
      <c r="AY23" s="107" t="s">
        <v>804</v>
      </c>
      <c r="AZ23" s="69" t="str">
        <f>IF(ListLayout[[#This Row],[List Name for Layout]]="","relation",IFERROR(VLOOKUP(ListLayout[[#This Row],[Relation]],RelationTable[[Display]:[RELID]],2,0),""))</f>
        <v/>
      </c>
      <c r="BA23" s="69" t="str">
        <f>IF(ListLayout[[#This Row],[List Name for Layout]]="","nest_relation1",IFERROR(VLOOKUP(ListLayout[[#This Row],[Relation 1]],RelationTable[[Display]:[RELID]],2,0),""))</f>
        <v/>
      </c>
      <c r="BB23" s="69" t="str">
        <f>IF(ListLayout[[#This Row],[List Name for Layout]]="","nest_relation2",IFERROR(VLOOKUP(ListLayout[[#This Row],[Relation 2]],RelationTable[[Display]:[RELID]],2,0),""))</f>
        <v/>
      </c>
      <c r="BC23" s="107"/>
      <c r="BD23" s="107"/>
      <c r="BE23" s="107"/>
    </row>
    <row r="24" spans="1:57" hidden="1">
      <c r="A24" s="63" t="str">
        <f>'Table Seed Map'!$A$24&amp;"-"&amp;COUNTA($B$1:ResourceList[[#This Row],[Resource Name]])-1</f>
        <v>Resource Lists-22</v>
      </c>
      <c r="B24" s="62" t="s">
        <v>789</v>
      </c>
      <c r="C24" s="63" t="str">
        <f>ResourceList[[#This Row],[Resource Name]]&amp;"/"&amp;ResourceList[[#This Row],[Name]]</f>
        <v>OrderItemService/OISList</v>
      </c>
      <c r="D24" s="69">
        <f>IF(ResourceList[[#This Row],[Resource Name]]="","id",COUNTA($B$2:ResourceList[[#This Row],[Resource Name]])+IF(ISNUMBER(VLOOKUP('Table Seed Map'!$A$24,SeedMap[],9,0)),VLOOKUP('Table Seed Map'!$A$24,SeedMap[],9,0),0))</f>
        <v>2123122</v>
      </c>
      <c r="E24" s="69">
        <f>IFERROR(VLOOKUP(ResourceList[[#This Row],[Resource Name]],ResourceTable[[RName]:[No]],3,0),"resource")</f>
        <v>2106120</v>
      </c>
      <c r="F24" s="107" t="s">
        <v>1639</v>
      </c>
      <c r="G24" s="107"/>
      <c r="H24" s="107" t="s">
        <v>1640</v>
      </c>
      <c r="I24" s="107" t="s">
        <v>23</v>
      </c>
      <c r="J24" s="107">
        <v>30</v>
      </c>
      <c r="K24" s="67">
        <f>[No]</f>
        <v>2123122</v>
      </c>
      <c r="M24" s="62" t="s">
        <v>1613</v>
      </c>
      <c r="N24" s="63">
        <f>VLOOKUP(ListExtras[[#This Row],[List Name]],ResourceList[[ListDisplayName]:[No]],2,0)</f>
        <v>2123120</v>
      </c>
      <c r="O24" s="62"/>
      <c r="P24" s="62" t="s">
        <v>1462</v>
      </c>
      <c r="Q24" s="62"/>
      <c r="R24" s="62"/>
      <c r="S24" s="62"/>
      <c r="T24" s="63" t="str">
        <f>'Table Seed Map'!$A$25&amp;"-"&amp;COUNT($W$1:ListExtras[[#This Row],[Scope ID]])</f>
        <v>List Scopes-3</v>
      </c>
      <c r="U2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4" s="69">
        <f>IF(ListExtras[[#This Row],[LID]]=0,"resource_list",ListExtras[[#This Row],[LID]])</f>
        <v>2123120</v>
      </c>
      <c r="W24" s="69" t="str">
        <f>IFERROR(VLOOKUP(ListExtras[[#This Row],[Scope Name]],ResourceScopes[[ScopesDisplayNames]:[No]],2,0),IF(ListExtras[[#This Row],[LID]]=0,"scope",""))</f>
        <v/>
      </c>
      <c r="X24" s="63" t="str">
        <f>'Table Seed Map'!$A$26&amp;"-"&amp;COUNT($AA$1:ListExtras[[#This Row],[Relation]])</f>
        <v>List Relation-21</v>
      </c>
      <c r="Y2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2125121</v>
      </c>
      <c r="Z24" s="69">
        <f>IF(ListExtras[[#This Row],[LID]]=0,"resource_list",ListExtras[[#This Row],[LID]])</f>
        <v>2123120</v>
      </c>
      <c r="AA24" s="69">
        <f>IFERROR(VLOOKUP(ListExtras[[#This Row],[Relation Name]],RelationTable[[Display]:[RELID]],2,0),IF(ListExtras[[#This Row],[LID]]=0,"relation",""))</f>
        <v>2109132</v>
      </c>
      <c r="AB24" s="69" t="str">
        <f>IFERROR(VLOOKUP(ListExtras[[#This Row],[R1 Name]],RelationTable[[Display]:[RELID]],2,0),IF(ListExtras[[#This Row],[LID]]=0,"nest_relation1",""))</f>
        <v/>
      </c>
      <c r="AC24" s="69" t="str">
        <f>IFERROR(VLOOKUP(ListExtras[[#This Row],[R2 Name]],RelationTable[[Display]:[RELID]],2,0),IF(ListExtras[[#This Row],[LID]]=0,"nest_relation2",""))</f>
        <v/>
      </c>
      <c r="AD24" s="69" t="str">
        <f>IFERROR(VLOOKUP(ListExtras[[#This Row],[R3 Name]],RelationTable[[Display]:[RELID]],2,0),IF(ListExtras[[#This Row],[LID]]=0,"nest_relation3",""))</f>
        <v/>
      </c>
      <c r="AT24" s="69" t="str">
        <f>'Table Seed Map'!$A$27&amp;"-"&amp;COUNTA($AV$1:ListLayout[[#This Row],[No]])-2</f>
        <v>List Layout-22</v>
      </c>
      <c r="AU24" s="62" t="s">
        <v>1458</v>
      </c>
      <c r="AV24" s="69">
        <f>IF(ListLayout[[#This Row],[List Name for Layout]]="","id",COUNTA($AU$2:ListLayout[[#This Row],[List Name for Layout]])+IF(ISNUMBER(VLOOKUP('Table Seed Map'!$A$27,SeedMap[],9,0)),VLOOKUP('Table Seed Map'!$A$27,SeedMap[],9,0),0))</f>
        <v>2126122</v>
      </c>
      <c r="AW24" s="69">
        <f>IFERROR(VLOOKUP(ListLayout[[#This Row],[List Name for Layout]],ResourceList[[ListDisplayName]:[No]],2,0),"resource_list")</f>
        <v>2123109</v>
      </c>
      <c r="AX24" s="69" t="s">
        <v>307</v>
      </c>
      <c r="AY24" s="107" t="s">
        <v>21</v>
      </c>
      <c r="AZ24" s="69" t="str">
        <f>IF(ListLayout[[#This Row],[List Name for Layout]]="","relation",IFERROR(VLOOKUP(ListLayout[[#This Row],[Relation]],RelationTable[[Display]:[RELID]],2,0),""))</f>
        <v/>
      </c>
      <c r="BA24" s="69" t="str">
        <f>IF(ListLayout[[#This Row],[List Name for Layout]]="","nest_relation1",IFERROR(VLOOKUP(ListLayout[[#This Row],[Relation 1]],RelationTable[[Display]:[RELID]],2,0),""))</f>
        <v/>
      </c>
      <c r="BB24" s="69" t="str">
        <f>IF(ListLayout[[#This Row],[List Name for Layout]]="","nest_relation2",IFERROR(VLOOKUP(ListLayout[[#This Row],[Relation 2]],RelationTable[[Display]:[RELID]],2,0),""))</f>
        <v/>
      </c>
      <c r="BC24" s="107"/>
      <c r="BD24" s="107"/>
      <c r="BE24" s="107"/>
    </row>
    <row r="25" spans="1:57">
      <c r="A25" s="63" t="str">
        <f>'Table Seed Map'!$A$24&amp;"-"&amp;COUNTA($B$1:ResourceList[[#This Row],[Resource Name]])-1</f>
        <v>Resource Lists-23</v>
      </c>
      <c r="B25" s="62" t="s">
        <v>790</v>
      </c>
      <c r="C25" s="63" t="str">
        <f>ResourceList[[#This Row],[Resource Name]]&amp;"/"&amp;ResourceList[[#This Row],[Name]]</f>
        <v>OrderItemServiceUser/OISUList</v>
      </c>
      <c r="D25" s="69">
        <f>IF(ResourceList[[#This Row],[Resource Name]]="","id",COUNTA($B$2:ResourceList[[#This Row],[Resource Name]])+IF(ISNUMBER(VLOOKUP('Table Seed Map'!$A$24,SeedMap[],9,0)),VLOOKUP('Table Seed Map'!$A$24,SeedMap[],9,0),0))</f>
        <v>2123123</v>
      </c>
      <c r="E25" s="69">
        <f>IFERROR(VLOOKUP(ResourceList[[#This Row],[Resource Name]],ResourceTable[[RName]:[No]],3,0),"resource")</f>
        <v>2106123</v>
      </c>
      <c r="F25" s="107" t="s">
        <v>1654</v>
      </c>
      <c r="G25" s="107"/>
      <c r="H25" s="107" t="s">
        <v>1672</v>
      </c>
      <c r="I25" s="107" t="s">
        <v>23</v>
      </c>
      <c r="J25" s="107">
        <v>30</v>
      </c>
      <c r="K25" s="67">
        <f>[No]</f>
        <v>2123123</v>
      </c>
      <c r="M25" s="62" t="s">
        <v>1613</v>
      </c>
      <c r="N25" s="63">
        <f>VLOOKUP(ListExtras[[#This Row],[List Name]],ResourceList[[ListDisplayName]:[No]],2,0)</f>
        <v>2123120</v>
      </c>
      <c r="O25" s="62"/>
      <c r="P25" s="62" t="s">
        <v>1615</v>
      </c>
      <c r="Q25" s="62"/>
      <c r="R25" s="62"/>
      <c r="S25" s="62"/>
      <c r="T25" s="63" t="str">
        <f>'Table Seed Map'!$A$25&amp;"-"&amp;COUNT($W$1:ListExtras[[#This Row],[Scope ID]])</f>
        <v>List Scopes-3</v>
      </c>
      <c r="U2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5" s="69">
        <f>IF(ListExtras[[#This Row],[LID]]=0,"resource_list",ListExtras[[#This Row],[LID]])</f>
        <v>2123120</v>
      </c>
      <c r="W25" s="69" t="str">
        <f>IFERROR(VLOOKUP(ListExtras[[#This Row],[Scope Name]],ResourceScopes[[ScopesDisplayNames]:[No]],2,0),IF(ListExtras[[#This Row],[LID]]=0,"scope",""))</f>
        <v/>
      </c>
      <c r="X25" s="63" t="str">
        <f>'Table Seed Map'!$A$26&amp;"-"&amp;COUNT($AA$1:ListExtras[[#This Row],[Relation]])</f>
        <v>List Relation-22</v>
      </c>
      <c r="Y2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2125122</v>
      </c>
      <c r="Z25" s="69">
        <f>IF(ListExtras[[#This Row],[LID]]=0,"resource_list",ListExtras[[#This Row],[LID]])</f>
        <v>2123120</v>
      </c>
      <c r="AA25" s="69">
        <f>IFERROR(VLOOKUP(ListExtras[[#This Row],[Relation Name]],RelationTable[[Display]:[RELID]],2,0),IF(ListExtras[[#This Row],[LID]]=0,"relation",""))</f>
        <v>2109133</v>
      </c>
      <c r="AB25" s="69" t="str">
        <f>IFERROR(VLOOKUP(ListExtras[[#This Row],[R1 Name]],RelationTable[[Display]:[RELID]],2,0),IF(ListExtras[[#This Row],[LID]]=0,"nest_relation1",""))</f>
        <v/>
      </c>
      <c r="AC25" s="69" t="str">
        <f>IFERROR(VLOOKUP(ListExtras[[#This Row],[R2 Name]],RelationTable[[Display]:[RELID]],2,0),IF(ListExtras[[#This Row],[LID]]=0,"nest_relation2",""))</f>
        <v/>
      </c>
      <c r="AD25" s="69" t="str">
        <f>IFERROR(VLOOKUP(ListExtras[[#This Row],[R3 Name]],RelationTable[[Display]:[RELID]],2,0),IF(ListExtras[[#This Row],[LID]]=0,"nest_relation3",""))</f>
        <v/>
      </c>
      <c r="AT25" s="69" t="str">
        <f>'Table Seed Map'!$A$27&amp;"-"&amp;COUNTA($AV$1:ListLayout[[#This Row],[No]])-2</f>
        <v>List Layout-23</v>
      </c>
      <c r="AU25" s="62" t="s">
        <v>1458</v>
      </c>
      <c r="AV25" s="69">
        <f>IF(ListLayout[[#This Row],[List Name for Layout]]="","id",COUNTA($AU$2:ListLayout[[#This Row],[List Name for Layout]])+IF(ISNUMBER(VLOOKUP('Table Seed Map'!$A$27,SeedMap[],9,0)),VLOOKUP('Table Seed Map'!$A$27,SeedMap[],9,0),0))</f>
        <v>2126123</v>
      </c>
      <c r="AW25" s="69">
        <f>IFERROR(VLOOKUP(ListLayout[[#This Row],[List Name for Layout]],ResourceList[[ListDisplayName]:[No]],2,0),"resource_list")</f>
        <v>2123109</v>
      </c>
      <c r="AX25" s="69" t="s">
        <v>1</v>
      </c>
      <c r="AY25" s="107" t="s">
        <v>23</v>
      </c>
      <c r="AZ25" s="69" t="str">
        <f>IF(ListLayout[[#This Row],[List Name for Layout]]="","relation",IFERROR(VLOOKUP(ListLayout[[#This Row],[Relation]],RelationTable[[Display]:[RELID]],2,0),""))</f>
        <v/>
      </c>
      <c r="BA25" s="69" t="str">
        <f>IF(ListLayout[[#This Row],[List Name for Layout]]="","nest_relation1",IFERROR(VLOOKUP(ListLayout[[#This Row],[Relation 1]],RelationTable[[Display]:[RELID]],2,0),""))</f>
        <v/>
      </c>
      <c r="BB25" s="69" t="str">
        <f>IF(ListLayout[[#This Row],[List Name for Layout]]="","nest_relation2",IFERROR(VLOOKUP(ListLayout[[#This Row],[Relation 2]],RelationTable[[Display]:[RELID]],2,0),""))</f>
        <v/>
      </c>
      <c r="BC25" s="107"/>
      <c r="BD25" s="107"/>
      <c r="BE25" s="107"/>
    </row>
    <row r="26" spans="1:57" hidden="1">
      <c r="A26" s="63" t="str">
        <f>'Table Seed Map'!$A$24&amp;"-"&amp;COUNTA($B$1:ResourceList[[#This Row],[Resource Name]])-1</f>
        <v>Resource Lists-24</v>
      </c>
      <c r="B26" s="62" t="s">
        <v>786</v>
      </c>
      <c r="C26" s="63" t="str">
        <f>ResourceList[[#This Row],[Resource Name]]&amp;"/"&amp;ResourceList[[#This Row],[Name]]</f>
        <v>IdentityLabel/AvailableLabelsList</v>
      </c>
      <c r="D26" s="69">
        <f>IF(ResourceList[[#This Row],[Resource Name]]="","id",COUNTA($B$2:ResourceList[[#This Row],[Resource Name]])+IF(ISNUMBER(VLOOKUP('Table Seed Map'!$A$24,SeedMap[],9,0)),VLOOKUP('Table Seed Map'!$A$24,SeedMap[],9,0),0))</f>
        <v>2123124</v>
      </c>
      <c r="E26" s="69">
        <f>IFERROR(VLOOKUP(ResourceList[[#This Row],[Resource Name]],ResourceTable[[RName]:[No]],3,0),"resource")</f>
        <v>2106117</v>
      </c>
      <c r="F26" s="107" t="s">
        <v>1680</v>
      </c>
      <c r="G26" s="107"/>
      <c r="H26" s="107" t="s">
        <v>1679</v>
      </c>
      <c r="I26" s="107" t="s">
        <v>850</v>
      </c>
      <c r="J26" s="107">
        <v>30</v>
      </c>
      <c r="K26" s="67">
        <f>[No]</f>
        <v>2123124</v>
      </c>
      <c r="M26" s="62" t="s">
        <v>1466</v>
      </c>
      <c r="N26" s="63">
        <f>VLOOKUP(ListExtras[[#This Row],[List Name]],ResourceList[[ListDisplayName]:[No]],2,0)</f>
        <v>2123113</v>
      </c>
      <c r="O26" s="62"/>
      <c r="P26" s="62" t="s">
        <v>1469</v>
      </c>
      <c r="Q26" s="62"/>
      <c r="R26" s="62"/>
      <c r="S26" s="62"/>
      <c r="T26" s="63" t="str">
        <f>'Table Seed Map'!$A$25&amp;"-"&amp;COUNT($W$1:ListExtras[[#This Row],[Scope ID]])</f>
        <v>List Scopes-3</v>
      </c>
      <c r="U2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6" s="69">
        <f>IF(ListExtras[[#This Row],[LID]]=0,"resource_list",ListExtras[[#This Row],[LID]])</f>
        <v>2123113</v>
      </c>
      <c r="W26" s="69" t="str">
        <f>IFERROR(VLOOKUP(ListExtras[[#This Row],[Scope Name]],ResourceScopes[[ScopesDisplayNames]:[No]],2,0),IF(ListExtras[[#This Row],[LID]]=0,"scope",""))</f>
        <v/>
      </c>
      <c r="X26" s="63" t="str">
        <f>'Table Seed Map'!$A$26&amp;"-"&amp;COUNT($AA$1:ListExtras[[#This Row],[Relation]])</f>
        <v>List Relation-23</v>
      </c>
      <c r="Y2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2125123</v>
      </c>
      <c r="Z26" s="69">
        <f>IF(ListExtras[[#This Row],[LID]]=0,"resource_list",ListExtras[[#This Row],[LID]])</f>
        <v>2123113</v>
      </c>
      <c r="AA26" s="69">
        <f>IFERROR(VLOOKUP(ListExtras[[#This Row],[Relation Name]],RelationTable[[Display]:[RELID]],2,0),IF(ListExtras[[#This Row],[LID]]=0,"relation",""))</f>
        <v>2109145</v>
      </c>
      <c r="AB26" s="69" t="str">
        <f>IFERROR(VLOOKUP(ListExtras[[#This Row],[R1 Name]],RelationTable[[Display]:[RELID]],2,0),IF(ListExtras[[#This Row],[LID]]=0,"nest_relation1",""))</f>
        <v/>
      </c>
      <c r="AC26" s="69" t="str">
        <f>IFERROR(VLOOKUP(ListExtras[[#This Row],[R2 Name]],RelationTable[[Display]:[RELID]],2,0),IF(ListExtras[[#This Row],[LID]]=0,"nest_relation2",""))</f>
        <v/>
      </c>
      <c r="AD26" s="69" t="str">
        <f>IFERROR(VLOOKUP(ListExtras[[#This Row],[R3 Name]],RelationTable[[Display]:[RELID]],2,0),IF(ListExtras[[#This Row],[LID]]=0,"nest_relation3",""))</f>
        <v/>
      </c>
      <c r="AT26" s="69" t="str">
        <f>'Table Seed Map'!$A$27&amp;"-"&amp;COUNTA($AV$1:ListLayout[[#This Row],[No]])-2</f>
        <v>List Layout-24</v>
      </c>
      <c r="AU26" s="62" t="s">
        <v>1458</v>
      </c>
      <c r="AV26" s="69">
        <f>IF(ListLayout[[#This Row],[List Name for Layout]]="","id",COUNTA($AU$2:ListLayout[[#This Row],[List Name for Layout]])+IF(ISNUMBER(VLOOKUP('Table Seed Map'!$A$27,SeedMap[],9,0)),VLOOKUP('Table Seed Map'!$A$27,SeedMap[],9,0),0))</f>
        <v>2126124</v>
      </c>
      <c r="AW26" s="69">
        <f>IFERROR(VLOOKUP(ListLayout[[#This Row],[List Name for Layout]],ResourceList[[ListDisplayName]:[No]],2,0),"resource_list")</f>
        <v>2123109</v>
      </c>
      <c r="AX26" s="69" t="s">
        <v>1459</v>
      </c>
      <c r="AY26" s="107" t="s">
        <v>847</v>
      </c>
      <c r="AZ26" s="69">
        <f>IF(ListLayout[[#This Row],[List Name for Layout]]="","relation",IFERROR(VLOOKUP(ListLayout[[#This Row],[Relation]],RelationTable[[Display]:[RELID]],2,0),""))</f>
        <v>2109119</v>
      </c>
      <c r="BA26" s="69" t="str">
        <f>IF(ListLayout[[#This Row],[List Name for Layout]]="","nest_relation1",IFERROR(VLOOKUP(ListLayout[[#This Row],[Relation 1]],RelationTable[[Display]:[RELID]],2,0),""))</f>
        <v/>
      </c>
      <c r="BB26" s="69" t="str">
        <f>IF(ListLayout[[#This Row],[List Name for Layout]]="","nest_relation2",IFERROR(VLOOKUP(ListLayout[[#This Row],[Relation 2]],RelationTable[[Display]:[RELID]],2,0),""))</f>
        <v/>
      </c>
      <c r="BC26" s="107" t="s">
        <v>1460</v>
      </c>
      <c r="BD26" s="107"/>
      <c r="BE26" s="107"/>
    </row>
    <row r="27" spans="1:57" hidden="1">
      <c r="A27" s="63" t="str">
        <f>'Table Seed Map'!$A$24&amp;"-"&amp;COUNTA($B$1:ResourceList[[#This Row],[Resource Name]])-1</f>
        <v>Resource Lists-25</v>
      </c>
      <c r="B27" s="62" t="s">
        <v>787</v>
      </c>
      <c r="C27" s="63" t="str">
        <f>ResourceList[[#This Row],[Resource Name]]&amp;"/"&amp;ResourceList[[#This Row],[Name]]</f>
        <v>Order/RecentOrderList</v>
      </c>
      <c r="D27" s="69">
        <f>IF(ResourceList[[#This Row],[Resource Name]]="","id",COUNTA($B$2:ResourceList[[#This Row],[Resource Name]])+IF(ISNUMBER(VLOOKUP('Table Seed Map'!$A$24,SeedMap[],9,0)),VLOOKUP('Table Seed Map'!$A$24,SeedMap[],9,0),0))</f>
        <v>2123125</v>
      </c>
      <c r="E27" s="69">
        <f>IFERROR(VLOOKUP(ResourceList[[#This Row],[Resource Name]],ResourceTable[[RName]:[No]],3,0),"resource")</f>
        <v>2106118</v>
      </c>
      <c r="F27" s="107" t="s">
        <v>1690</v>
      </c>
      <c r="G27" s="107"/>
      <c r="H27" s="107" t="s">
        <v>1699</v>
      </c>
      <c r="I27" s="107" t="s">
        <v>21</v>
      </c>
      <c r="J27" s="107">
        <v>30</v>
      </c>
      <c r="K27" s="67">
        <f>[No]</f>
        <v>2123125</v>
      </c>
      <c r="M27" s="62" t="s">
        <v>1627</v>
      </c>
      <c r="N27" s="63">
        <f>VLOOKUP(ListExtras[[#This Row],[List Name]],ResourceList[[ListDisplayName]:[No]],2,0)</f>
        <v>2123121</v>
      </c>
      <c r="O27" s="62"/>
      <c r="P27" s="62" t="s">
        <v>1628</v>
      </c>
      <c r="Q27" s="62"/>
      <c r="R27" s="62"/>
      <c r="S27" s="62"/>
      <c r="T27" s="63" t="str">
        <f>'Table Seed Map'!$A$25&amp;"-"&amp;COUNT($W$1:ListExtras[[#This Row],[Scope ID]])</f>
        <v>List Scopes-3</v>
      </c>
      <c r="U2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7" s="69">
        <f>IF(ListExtras[[#This Row],[LID]]=0,"resource_list",ListExtras[[#This Row],[LID]])</f>
        <v>2123121</v>
      </c>
      <c r="W27" s="69" t="str">
        <f>IFERROR(VLOOKUP(ListExtras[[#This Row],[Scope Name]],ResourceScopes[[ScopesDisplayNames]:[No]],2,0),IF(ListExtras[[#This Row],[LID]]=0,"scope",""))</f>
        <v/>
      </c>
      <c r="X27" s="63" t="str">
        <f>'Table Seed Map'!$A$26&amp;"-"&amp;COUNT($AA$1:ListExtras[[#This Row],[Relation]])</f>
        <v>List Relation-24</v>
      </c>
      <c r="Y2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2125124</v>
      </c>
      <c r="Z27" s="69">
        <f>IF(ListExtras[[#This Row],[LID]]=0,"resource_list",ListExtras[[#This Row],[LID]])</f>
        <v>2123121</v>
      </c>
      <c r="AA27" s="69">
        <f>IFERROR(VLOOKUP(ListExtras[[#This Row],[Relation Name]],RelationTable[[Display]:[RELID]],2,0),IF(ListExtras[[#This Row],[LID]]=0,"relation",""))</f>
        <v>2109153</v>
      </c>
      <c r="AB27" s="69" t="str">
        <f>IFERROR(VLOOKUP(ListExtras[[#This Row],[R1 Name]],RelationTable[[Display]:[RELID]],2,0),IF(ListExtras[[#This Row],[LID]]=0,"nest_relation1",""))</f>
        <v/>
      </c>
      <c r="AC27" s="69" t="str">
        <f>IFERROR(VLOOKUP(ListExtras[[#This Row],[R2 Name]],RelationTable[[Display]:[RELID]],2,0),IF(ListExtras[[#This Row],[LID]]=0,"nest_relation2",""))</f>
        <v/>
      </c>
      <c r="AD27" s="69" t="str">
        <f>IFERROR(VLOOKUP(ListExtras[[#This Row],[R3 Name]],RelationTable[[Display]:[RELID]],2,0),IF(ListExtras[[#This Row],[LID]]=0,"nest_relation3",""))</f>
        <v/>
      </c>
      <c r="AT27" s="69" t="str">
        <f>'Table Seed Map'!$A$27&amp;"-"&amp;COUNTA($AV$1:ListLayout[[#This Row],[No]])-2</f>
        <v>List Layout-25</v>
      </c>
      <c r="AU27" s="62" t="s">
        <v>1458</v>
      </c>
      <c r="AV27" s="69">
        <f>IF(ListLayout[[#This Row],[List Name for Layout]]="","id",COUNTA($AU$2:ListLayout[[#This Row],[List Name for Layout]])+IF(ISNUMBER(VLOOKUP('Table Seed Map'!$A$27,SeedMap[],9,0)),VLOOKUP('Table Seed Map'!$A$27,SeedMap[],9,0),0))</f>
        <v>2126125</v>
      </c>
      <c r="AW27" s="69">
        <f>IFERROR(VLOOKUP(ListLayout[[#This Row],[List Name for Layout]],ResourceList[[ListDisplayName]:[No]],2,0),"resource_list")</f>
        <v>2123109</v>
      </c>
      <c r="AX27" s="69" t="s">
        <v>1190</v>
      </c>
      <c r="AY27" s="107" t="s">
        <v>804</v>
      </c>
      <c r="AZ27" s="69" t="str">
        <f>IF(ListLayout[[#This Row],[List Name for Layout]]="","relation",IFERROR(VLOOKUP(ListLayout[[#This Row],[Relation]],RelationTable[[Display]:[RELID]],2,0),""))</f>
        <v/>
      </c>
      <c r="BA27" s="69" t="str">
        <f>IF(ListLayout[[#This Row],[List Name for Layout]]="","nest_relation1",IFERROR(VLOOKUP(ListLayout[[#This Row],[Relation 1]],RelationTable[[Display]:[RELID]],2,0),""))</f>
        <v/>
      </c>
      <c r="BB27" s="69" t="str">
        <f>IF(ListLayout[[#This Row],[List Name for Layout]]="","nest_relation2",IFERROR(VLOOKUP(ListLayout[[#This Row],[Relation 2]],RelationTable[[Display]:[RELID]],2,0),""))</f>
        <v/>
      </c>
      <c r="BC27" s="107"/>
      <c r="BD27" s="107"/>
      <c r="BE27" s="107"/>
    </row>
    <row r="28" spans="1:57" hidden="1">
      <c r="A28" s="63" t="str">
        <f>'Table Seed Map'!$A$24&amp;"-"&amp;COUNTA($B$1:ResourceList[[#This Row],[Resource Name]])-1</f>
        <v>Resource Lists-26</v>
      </c>
      <c r="B28" s="62" t="s">
        <v>894</v>
      </c>
      <c r="C28" s="63" t="str">
        <f>ResourceList[[#This Row],[Resource Name]]&amp;"/"&amp;ResourceList[[#This Row],[Name]]</f>
        <v>InvoiceItem/InvoiceItemsList</v>
      </c>
      <c r="D28" s="69">
        <f>IF(ResourceList[[#This Row],[Resource Name]]="","id",COUNTA($B$2:ResourceList[[#This Row],[Resource Name]])+IF(ISNUMBER(VLOOKUP('Table Seed Map'!$A$24,SeedMap[],9,0)),VLOOKUP('Table Seed Map'!$A$24,SeedMap[],9,0),0))</f>
        <v>2123126</v>
      </c>
      <c r="E28" s="69">
        <f>IFERROR(VLOOKUP(ResourceList[[#This Row],[Resource Name]],ResourceTable[[RName]:[No]],3,0),"resource")</f>
        <v>2106122</v>
      </c>
      <c r="F28" s="107" t="s">
        <v>1792</v>
      </c>
      <c r="G28" s="107"/>
      <c r="H28" s="107" t="s">
        <v>909</v>
      </c>
      <c r="I28" s="107" t="s">
        <v>846</v>
      </c>
      <c r="J28" s="107">
        <v>30</v>
      </c>
      <c r="K28" s="67">
        <f>[No]</f>
        <v>2123126</v>
      </c>
      <c r="M28" s="62" t="s">
        <v>1627</v>
      </c>
      <c r="N28" s="63">
        <f>VLOOKUP(ListExtras[[#This Row],[List Name]],ResourceList[[ListDisplayName]:[No]],2,0)</f>
        <v>2123121</v>
      </c>
      <c r="O28" s="62"/>
      <c r="P28" s="62" t="s">
        <v>1629</v>
      </c>
      <c r="Q28" s="62"/>
      <c r="R28" s="62"/>
      <c r="S28" s="62"/>
      <c r="T28" s="63" t="str">
        <f>'Table Seed Map'!$A$25&amp;"-"&amp;COUNT($W$1:ListExtras[[#This Row],[Scope ID]])</f>
        <v>List Scopes-3</v>
      </c>
      <c r="U2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8" s="69">
        <f>IF(ListExtras[[#This Row],[LID]]=0,"resource_list",ListExtras[[#This Row],[LID]])</f>
        <v>2123121</v>
      </c>
      <c r="W28" s="69" t="str">
        <f>IFERROR(VLOOKUP(ListExtras[[#This Row],[Scope Name]],ResourceScopes[[ScopesDisplayNames]:[No]],2,0),IF(ListExtras[[#This Row],[LID]]=0,"scope",""))</f>
        <v/>
      </c>
      <c r="X28" s="63" t="str">
        <f>'Table Seed Map'!$A$26&amp;"-"&amp;COUNT($AA$1:ListExtras[[#This Row],[Relation]])</f>
        <v>List Relation-25</v>
      </c>
      <c r="Y2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2125125</v>
      </c>
      <c r="Z28" s="69">
        <f>IF(ListExtras[[#This Row],[LID]]=0,"resource_list",ListExtras[[#This Row],[LID]])</f>
        <v>2123121</v>
      </c>
      <c r="AA28" s="69">
        <f>IFERROR(VLOOKUP(ListExtras[[#This Row],[Relation Name]],RelationTable[[Display]:[RELID]],2,0),IF(ListExtras[[#This Row],[LID]]=0,"relation",""))</f>
        <v>2109154</v>
      </c>
      <c r="AB28" s="69" t="str">
        <f>IFERROR(VLOOKUP(ListExtras[[#This Row],[R1 Name]],RelationTable[[Display]:[RELID]],2,0),IF(ListExtras[[#This Row],[LID]]=0,"nest_relation1",""))</f>
        <v/>
      </c>
      <c r="AC28" s="69" t="str">
        <f>IFERROR(VLOOKUP(ListExtras[[#This Row],[R2 Name]],RelationTable[[Display]:[RELID]],2,0),IF(ListExtras[[#This Row],[LID]]=0,"nest_relation2",""))</f>
        <v/>
      </c>
      <c r="AD28" s="69" t="str">
        <f>IFERROR(VLOOKUP(ListExtras[[#This Row],[R3 Name]],RelationTable[[Display]:[RELID]],2,0),IF(ListExtras[[#This Row],[LID]]=0,"nest_relation3",""))</f>
        <v/>
      </c>
      <c r="AT28" s="69" t="str">
        <f>'Table Seed Map'!$A$27&amp;"-"&amp;COUNTA($AV$1:ListLayout[[#This Row],[No]])-2</f>
        <v>List Layout-26</v>
      </c>
      <c r="AU28" s="62" t="s">
        <v>1461</v>
      </c>
      <c r="AV28" s="69">
        <f>IF(ListLayout[[#This Row],[List Name for Layout]]="","id",COUNTA($AU$2:ListLayout[[#This Row],[List Name for Layout]])+IF(ISNUMBER(VLOOKUP('Table Seed Map'!$A$27,SeedMap[],9,0)),VLOOKUP('Table Seed Map'!$A$27,SeedMap[],9,0),0))</f>
        <v>2126126</v>
      </c>
      <c r="AW28" s="69">
        <f>IFERROR(VLOOKUP(ListLayout[[#This Row],[List Name for Layout]],ResourceList[[ListDisplayName]:[No]],2,0),"resource_list")</f>
        <v>2123110</v>
      </c>
      <c r="AX28" s="69" t="s">
        <v>307</v>
      </c>
      <c r="AY28" s="107" t="s">
        <v>21</v>
      </c>
      <c r="AZ28" s="69" t="str">
        <f>IF(ListLayout[[#This Row],[List Name for Layout]]="","relation",IFERROR(VLOOKUP(ListLayout[[#This Row],[Relation]],RelationTable[[Display]:[RELID]],2,0),""))</f>
        <v/>
      </c>
      <c r="BA28" s="69" t="str">
        <f>IF(ListLayout[[#This Row],[List Name for Layout]]="","nest_relation1",IFERROR(VLOOKUP(ListLayout[[#This Row],[Relation 1]],RelationTable[[Display]:[RELID]],2,0),""))</f>
        <v/>
      </c>
      <c r="BB28" s="69" t="str">
        <f>IF(ListLayout[[#This Row],[List Name for Layout]]="","nest_relation2",IFERROR(VLOOKUP(ListLayout[[#This Row],[Relation 2]],RelationTable[[Display]:[RELID]],2,0),""))</f>
        <v/>
      </c>
      <c r="BC28" s="107"/>
      <c r="BD28" s="107"/>
      <c r="BE28" s="107"/>
    </row>
    <row r="29" spans="1:57" hidden="1">
      <c r="A29" s="63" t="str">
        <f>'Table Seed Map'!$A$24&amp;"-"&amp;COUNTA($B$1:ResourceList[[#This Row],[Resource Name]])-1</f>
        <v>Resource Lists-27</v>
      </c>
      <c r="B29" s="62" t="s">
        <v>893</v>
      </c>
      <c r="C29" s="63" t="str">
        <f>ResourceList[[#This Row],[Resource Name]]&amp;"/"&amp;ResourceList[[#This Row],[Name]]</f>
        <v>Invoice/PendingInvoiceList</v>
      </c>
      <c r="D29" s="69">
        <f>IF(ResourceList[[#This Row],[Resource Name]]="","id",COUNTA($B$2:ResourceList[[#This Row],[Resource Name]])+IF(ISNUMBER(VLOOKUP('Table Seed Map'!$A$24,SeedMap[],9,0)),VLOOKUP('Table Seed Map'!$A$24,SeedMap[],9,0),0))</f>
        <v>2123127</v>
      </c>
      <c r="E29" s="69">
        <f>IFERROR(VLOOKUP(ResourceList[[#This Row],[Resource Name]],ResourceTable[[RName]:[No]],3,0),"resource")</f>
        <v>2106121</v>
      </c>
      <c r="F29" s="107" t="s">
        <v>1804</v>
      </c>
      <c r="G29" s="107"/>
      <c r="H29" s="107" t="s">
        <v>1808</v>
      </c>
      <c r="I29" s="107" t="s">
        <v>21</v>
      </c>
      <c r="J29" s="107">
        <v>30</v>
      </c>
      <c r="K29" s="67">
        <f>[No]</f>
        <v>2123127</v>
      </c>
      <c r="M29" s="62" t="s">
        <v>1627</v>
      </c>
      <c r="N29" s="63">
        <f>VLOOKUP(ListExtras[[#This Row],[List Name]],ResourceList[[ListDisplayName]:[No]],2,0)</f>
        <v>2123121</v>
      </c>
      <c r="O29" s="62"/>
      <c r="P29" s="62" t="s">
        <v>1630</v>
      </c>
      <c r="Q29" s="62"/>
      <c r="R29" s="62"/>
      <c r="S29" s="62"/>
      <c r="T29" s="63" t="str">
        <f>'Table Seed Map'!$A$25&amp;"-"&amp;COUNT($W$1:ListExtras[[#This Row],[Scope ID]])</f>
        <v>List Scopes-3</v>
      </c>
      <c r="U2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9" s="69">
        <f>IF(ListExtras[[#This Row],[LID]]=0,"resource_list",ListExtras[[#This Row],[LID]])</f>
        <v>2123121</v>
      </c>
      <c r="W29" s="69" t="str">
        <f>IFERROR(VLOOKUP(ListExtras[[#This Row],[Scope Name]],ResourceScopes[[ScopesDisplayNames]:[No]],2,0),IF(ListExtras[[#This Row],[LID]]=0,"scope",""))</f>
        <v/>
      </c>
      <c r="X29" s="63" t="str">
        <f>'Table Seed Map'!$A$26&amp;"-"&amp;COUNT($AA$1:ListExtras[[#This Row],[Relation]])</f>
        <v>List Relation-26</v>
      </c>
      <c r="Y2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2125126</v>
      </c>
      <c r="Z29" s="69">
        <f>IF(ListExtras[[#This Row],[LID]]=0,"resource_list",ListExtras[[#This Row],[LID]])</f>
        <v>2123121</v>
      </c>
      <c r="AA29" s="69">
        <f>IFERROR(VLOOKUP(ListExtras[[#This Row],[Relation Name]],RelationTable[[Display]:[RELID]],2,0),IF(ListExtras[[#This Row],[LID]]=0,"relation",""))</f>
        <v>2109155</v>
      </c>
      <c r="AB29" s="69" t="str">
        <f>IFERROR(VLOOKUP(ListExtras[[#This Row],[R1 Name]],RelationTable[[Display]:[RELID]],2,0),IF(ListExtras[[#This Row],[LID]]=0,"nest_relation1",""))</f>
        <v/>
      </c>
      <c r="AC29" s="69" t="str">
        <f>IFERROR(VLOOKUP(ListExtras[[#This Row],[R2 Name]],RelationTable[[Display]:[RELID]],2,0),IF(ListExtras[[#This Row],[LID]]=0,"nest_relation2",""))</f>
        <v/>
      </c>
      <c r="AD29" s="69" t="str">
        <f>IFERROR(VLOOKUP(ListExtras[[#This Row],[R3 Name]],RelationTable[[Display]:[RELID]],2,0),IF(ListExtras[[#This Row],[LID]]=0,"nest_relation3",""))</f>
        <v/>
      </c>
      <c r="AT29" s="69" t="str">
        <f>'Table Seed Map'!$A$27&amp;"-"&amp;COUNTA($AV$1:ListLayout[[#This Row],[No]])-2</f>
        <v>List Layout-27</v>
      </c>
      <c r="AU29" s="62" t="s">
        <v>1461</v>
      </c>
      <c r="AV29" s="69">
        <f>IF(ListLayout[[#This Row],[List Name for Layout]]="","id",COUNTA($AU$2:ListLayout[[#This Row],[List Name for Layout]])+IF(ISNUMBER(VLOOKUP('Table Seed Map'!$A$27,SeedMap[],9,0)),VLOOKUP('Table Seed Map'!$A$27,SeedMap[],9,0),0))</f>
        <v>2126127</v>
      </c>
      <c r="AW29" s="69">
        <f>IFERROR(VLOOKUP(ListLayout[[#This Row],[List Name for Layout]],ResourceList[[ListDisplayName]:[No]],2,0),"resource_list")</f>
        <v>2123110</v>
      </c>
      <c r="AX29" s="69" t="s">
        <v>1</v>
      </c>
      <c r="AY29" s="107" t="s">
        <v>23</v>
      </c>
      <c r="AZ29" s="69" t="str">
        <f>IF(ListLayout[[#This Row],[List Name for Layout]]="","relation",IFERROR(VLOOKUP(ListLayout[[#This Row],[Relation]],RelationTable[[Display]:[RELID]],2,0),""))</f>
        <v/>
      </c>
      <c r="BA29" s="69" t="str">
        <f>IF(ListLayout[[#This Row],[List Name for Layout]]="","nest_relation1",IFERROR(VLOOKUP(ListLayout[[#This Row],[Relation 1]],RelationTable[[Display]:[RELID]],2,0),""))</f>
        <v/>
      </c>
      <c r="BB29" s="69" t="str">
        <f>IF(ListLayout[[#This Row],[List Name for Layout]]="","nest_relation2",IFERROR(VLOOKUP(ListLayout[[#This Row],[Relation 2]],RelationTable[[Display]:[RELID]],2,0),""))</f>
        <v/>
      </c>
      <c r="BC29" s="107"/>
      <c r="BD29" s="107"/>
      <c r="BE29" s="107"/>
    </row>
    <row r="30" spans="1:57" hidden="1">
      <c r="A30" s="63" t="str">
        <f>'Table Seed Map'!$A$24&amp;"-"&amp;COUNTA($B$1:ResourceList[[#This Row],[Resource Name]])-1</f>
        <v>Resource Lists-28</v>
      </c>
      <c r="B30" s="62" t="s">
        <v>893</v>
      </c>
      <c r="C30" s="63" t="str">
        <f>ResourceList[[#This Row],[Resource Name]]&amp;"/"&amp;ResourceList[[#This Row],[Name]]</f>
        <v>Invoice/PaidInvoiceList</v>
      </c>
      <c r="D30" s="69">
        <f>IF(ResourceList[[#This Row],[Resource Name]]="","id",COUNTA($B$2:ResourceList[[#This Row],[Resource Name]])+IF(ISNUMBER(VLOOKUP('Table Seed Map'!$A$24,SeedMap[],9,0)),VLOOKUP('Table Seed Map'!$A$24,SeedMap[],9,0),0))</f>
        <v>2123128</v>
      </c>
      <c r="E30" s="69">
        <f>IFERROR(VLOOKUP(ResourceList[[#This Row],[Resource Name]],ResourceTable[[RName]:[No]],3,0),"resource")</f>
        <v>2106121</v>
      </c>
      <c r="F30" s="107" t="s">
        <v>1828</v>
      </c>
      <c r="G30" s="107"/>
      <c r="H30" s="107" t="s">
        <v>1829</v>
      </c>
      <c r="I30" s="107" t="s">
        <v>21</v>
      </c>
      <c r="J30" s="107">
        <v>30</v>
      </c>
      <c r="K30" s="67">
        <f>[No]</f>
        <v>2123128</v>
      </c>
      <c r="M30" s="62" t="s">
        <v>1641</v>
      </c>
      <c r="N30" s="63">
        <f>VLOOKUP(ListExtras[[#This Row],[List Name]],ResourceList[[ListDisplayName]:[No]],2,0)</f>
        <v>2123122</v>
      </c>
      <c r="O30" s="62"/>
      <c r="P30" s="62" t="s">
        <v>1642</v>
      </c>
      <c r="Q30" s="62" t="s">
        <v>1848</v>
      </c>
      <c r="R30" s="62"/>
      <c r="S30" s="62"/>
      <c r="T30" s="63" t="str">
        <f>'Table Seed Map'!$A$25&amp;"-"&amp;COUNT($W$1:ListExtras[[#This Row],[Scope ID]])</f>
        <v>List Scopes-3</v>
      </c>
      <c r="U3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0" s="69">
        <f>IF(ListExtras[[#This Row],[LID]]=0,"resource_list",ListExtras[[#This Row],[LID]])</f>
        <v>2123122</v>
      </c>
      <c r="W30" s="69" t="str">
        <f>IFERROR(VLOOKUP(ListExtras[[#This Row],[Scope Name]],ResourceScopes[[ScopesDisplayNames]:[No]],2,0),IF(ListExtras[[#This Row],[LID]]=0,"scope",""))</f>
        <v/>
      </c>
      <c r="X30" s="63" t="str">
        <f>'Table Seed Map'!$A$26&amp;"-"&amp;COUNT($AA$1:ListExtras[[#This Row],[Relation]])</f>
        <v>List Relation-27</v>
      </c>
      <c r="Y3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2125127</v>
      </c>
      <c r="Z30" s="69">
        <f>IF(ListExtras[[#This Row],[LID]]=0,"resource_list",ListExtras[[#This Row],[LID]])</f>
        <v>2123122</v>
      </c>
      <c r="AA30" s="69">
        <f>IFERROR(VLOOKUP(ListExtras[[#This Row],[Relation Name]],RelationTable[[Display]:[RELID]],2,0),IF(ListExtras[[#This Row],[LID]]=0,"relation",""))</f>
        <v>2109158</v>
      </c>
      <c r="AB30" s="69">
        <f>IFERROR(VLOOKUP(ListExtras[[#This Row],[R1 Name]],RelationTable[[Display]:[RELID]],2,0),IF(ListExtras[[#This Row],[LID]]=0,"nest_relation1",""))</f>
        <v>2109194</v>
      </c>
      <c r="AC30" s="69" t="str">
        <f>IFERROR(VLOOKUP(ListExtras[[#This Row],[R2 Name]],RelationTable[[Display]:[RELID]],2,0),IF(ListExtras[[#This Row],[LID]]=0,"nest_relation2",""))</f>
        <v/>
      </c>
      <c r="AD30" s="69" t="str">
        <f>IFERROR(VLOOKUP(ListExtras[[#This Row],[R3 Name]],RelationTable[[Display]:[RELID]],2,0),IF(ListExtras[[#This Row],[LID]]=0,"nest_relation3",""))</f>
        <v/>
      </c>
      <c r="AT30" s="69" t="str">
        <f>'Table Seed Map'!$A$27&amp;"-"&amp;COUNTA($AV$1:ListLayout[[#This Row],[No]])-2</f>
        <v>List Layout-28</v>
      </c>
      <c r="AU30" s="62" t="s">
        <v>1461</v>
      </c>
      <c r="AV30" s="69">
        <f>IF(ListLayout[[#This Row],[List Name for Layout]]="","id",COUNTA($AU$2:ListLayout[[#This Row],[List Name for Layout]])+IF(ISNUMBER(VLOOKUP('Table Seed Map'!$A$27,SeedMap[],9,0)),VLOOKUP('Table Seed Map'!$A$27,SeedMap[],9,0),0))</f>
        <v>2126128</v>
      </c>
      <c r="AW30" s="69">
        <f>IFERROR(VLOOKUP(ListLayout[[#This Row],[List Name for Layout]],ResourceList[[ListDisplayName]:[No]],2,0),"resource_list")</f>
        <v>2123110</v>
      </c>
      <c r="AX30" s="69" t="s">
        <v>1190</v>
      </c>
      <c r="AY30" s="107" t="s">
        <v>804</v>
      </c>
      <c r="AZ30" s="69" t="str">
        <f>IF(ListLayout[[#This Row],[List Name for Layout]]="","relation",IFERROR(VLOOKUP(ListLayout[[#This Row],[Relation]],RelationTable[[Display]:[RELID]],2,0),""))</f>
        <v/>
      </c>
      <c r="BA30" s="69" t="str">
        <f>IF(ListLayout[[#This Row],[List Name for Layout]]="","nest_relation1",IFERROR(VLOOKUP(ListLayout[[#This Row],[Relation 1]],RelationTable[[Display]:[RELID]],2,0),""))</f>
        <v/>
      </c>
      <c r="BB30" s="69" t="str">
        <f>IF(ListLayout[[#This Row],[List Name for Layout]]="","nest_relation2",IFERROR(VLOOKUP(ListLayout[[#This Row],[Relation 2]],RelationTable[[Display]:[RELID]],2,0),""))</f>
        <v/>
      </c>
      <c r="BC30" s="107"/>
      <c r="BD30" s="107"/>
      <c r="BE30" s="107"/>
    </row>
    <row r="31" spans="1:57" hidden="1">
      <c r="A31" s="63" t="str">
        <f>'Table Seed Map'!$A$24&amp;"-"&amp;COUNTA($B$1:ResourceList[[#This Row],[Resource Name]])-1</f>
        <v>Resource Lists-29</v>
      </c>
      <c r="B31" s="62" t="s">
        <v>777</v>
      </c>
      <c r="C31" s="63" t="str">
        <f>ResourceList[[#This Row],[Resource Name]]&amp;"/"&amp;ResourceList[[#This Row],[Name]]</f>
        <v>Hub/OwnHubList</v>
      </c>
      <c r="D31" s="69">
        <f>IF(ResourceList[[#This Row],[Resource Name]]="","id",COUNTA($B$2:ResourceList[[#This Row],[Resource Name]])+IF(ISNUMBER(VLOOKUP('Table Seed Map'!$A$24,SeedMap[],9,0)),VLOOKUP('Table Seed Map'!$A$24,SeedMap[],9,0),0))</f>
        <v>2123129</v>
      </c>
      <c r="E31" s="69">
        <f>IFERROR(VLOOKUP(ResourceList[[#This Row],[Resource Name]],ResourceTable[[RName]:[No]],3,0),"resource")</f>
        <v>2106107</v>
      </c>
      <c r="F31" s="107" t="s">
        <v>1858</v>
      </c>
      <c r="G31" s="107"/>
      <c r="H31" s="107" t="s">
        <v>895</v>
      </c>
      <c r="I31" s="107" t="s">
        <v>23</v>
      </c>
      <c r="J31" s="107">
        <v>30</v>
      </c>
      <c r="K31" s="67">
        <f>[No]</f>
        <v>2123129</v>
      </c>
      <c r="M31" s="62" t="s">
        <v>1641</v>
      </c>
      <c r="N31" s="63">
        <f>VLOOKUP(ListExtras[[#This Row],[List Name]],ResourceList[[ListDisplayName]:[No]],2,0)</f>
        <v>2123122</v>
      </c>
      <c r="O31" s="62"/>
      <c r="P31" s="62" t="s">
        <v>1644</v>
      </c>
      <c r="Q31" s="62"/>
      <c r="R31" s="62"/>
      <c r="S31" s="62"/>
      <c r="T31" s="63" t="str">
        <f>'Table Seed Map'!$A$25&amp;"-"&amp;COUNT($W$1:ListExtras[[#This Row],[Scope ID]])</f>
        <v>List Scopes-3</v>
      </c>
      <c r="U3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1" s="69">
        <f>IF(ListExtras[[#This Row],[LID]]=0,"resource_list",ListExtras[[#This Row],[LID]])</f>
        <v>2123122</v>
      </c>
      <c r="W31" s="69" t="str">
        <f>IFERROR(VLOOKUP(ListExtras[[#This Row],[Scope Name]],ResourceScopes[[ScopesDisplayNames]:[No]],2,0),IF(ListExtras[[#This Row],[LID]]=0,"scope",""))</f>
        <v/>
      </c>
      <c r="X31" s="63" t="str">
        <f>'Table Seed Map'!$A$26&amp;"-"&amp;COUNT($AA$1:ListExtras[[#This Row],[Relation]])</f>
        <v>List Relation-28</v>
      </c>
      <c r="Y3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2125128</v>
      </c>
      <c r="Z31" s="69">
        <f>IF(ListExtras[[#This Row],[LID]]=0,"resource_list",ListExtras[[#This Row],[LID]])</f>
        <v>2123122</v>
      </c>
      <c r="AA31" s="69">
        <f>IFERROR(VLOOKUP(ListExtras[[#This Row],[Relation Name]],RelationTable[[Display]:[RELID]],2,0),IF(ListExtras[[#This Row],[LID]]=0,"relation",""))</f>
        <v>2109159</v>
      </c>
      <c r="AB31" s="69" t="str">
        <f>IFERROR(VLOOKUP(ListExtras[[#This Row],[R1 Name]],RelationTable[[Display]:[RELID]],2,0),IF(ListExtras[[#This Row],[LID]]=0,"nest_relation1",""))</f>
        <v/>
      </c>
      <c r="AC31" s="69" t="str">
        <f>IFERROR(VLOOKUP(ListExtras[[#This Row],[R2 Name]],RelationTable[[Display]:[RELID]],2,0),IF(ListExtras[[#This Row],[LID]]=0,"nest_relation2",""))</f>
        <v/>
      </c>
      <c r="AD31" s="69" t="str">
        <f>IFERROR(VLOOKUP(ListExtras[[#This Row],[R3 Name]],RelationTable[[Display]:[RELID]],2,0),IF(ListExtras[[#This Row],[LID]]=0,"nest_relation3",""))</f>
        <v/>
      </c>
      <c r="AT31" s="69" t="str">
        <f>'Table Seed Map'!$A$27&amp;"-"&amp;COUNTA($AV$1:ListLayout[[#This Row],[No]])-2</f>
        <v>List Layout-29</v>
      </c>
      <c r="AU31" s="62" t="s">
        <v>1463</v>
      </c>
      <c r="AV31" s="69">
        <f>IF(ListLayout[[#This Row],[List Name for Layout]]="","id",COUNTA($AU$2:ListLayout[[#This Row],[List Name for Layout]])+IF(ISNUMBER(VLOOKUP('Table Seed Map'!$A$27,SeedMap[],9,0)),VLOOKUP('Table Seed Map'!$A$27,SeedMap[],9,0),0))</f>
        <v>2126129</v>
      </c>
      <c r="AW31" s="69">
        <f>IFERROR(VLOOKUP(ListLayout[[#This Row],[List Name for Layout]],ResourceList[[ListDisplayName]:[No]],2,0),"resource_list")</f>
        <v>2123111</v>
      </c>
      <c r="AX31" s="69" t="s">
        <v>307</v>
      </c>
      <c r="AY31" s="107" t="s">
        <v>21</v>
      </c>
      <c r="AZ31" s="69" t="str">
        <f>IF(ListLayout[[#This Row],[List Name for Layout]]="","relation",IFERROR(VLOOKUP(ListLayout[[#This Row],[Relation]],RelationTable[[Display]:[RELID]],2,0),""))</f>
        <v/>
      </c>
      <c r="BA31" s="69" t="str">
        <f>IF(ListLayout[[#This Row],[List Name for Layout]]="","nest_relation1",IFERROR(VLOOKUP(ListLayout[[#This Row],[Relation 1]],RelationTable[[Display]:[RELID]],2,0),""))</f>
        <v/>
      </c>
      <c r="BB31" s="69" t="str">
        <f>IF(ListLayout[[#This Row],[List Name for Layout]]="","nest_relation2",IFERROR(VLOOKUP(ListLayout[[#This Row],[Relation 2]],RelationTable[[Display]:[RELID]],2,0),""))</f>
        <v/>
      </c>
      <c r="BC31" s="107"/>
      <c r="BD31" s="107"/>
      <c r="BE31" s="107"/>
    </row>
    <row r="32" spans="1:57" hidden="1">
      <c r="A32" s="63" t="str">
        <f>'Table Seed Map'!$A$24&amp;"-"&amp;COUNTA($B$1:ResourceList[[#This Row],[Resource Name]])-1</f>
        <v>Resource Lists-30</v>
      </c>
      <c r="B32" s="62" t="s">
        <v>788</v>
      </c>
      <c r="C32" s="63" t="str">
        <f>ResourceList[[#This Row],[Resource Name]]&amp;"/"&amp;ResourceList[[#This Row],[Name]]</f>
        <v>OrderItem/OwnHubOrderItems</v>
      </c>
      <c r="D32" s="69">
        <f>IF(ResourceList[[#This Row],[Resource Name]]="","id",COUNTA($B$2:ResourceList[[#This Row],[Resource Name]])+IF(ISNUMBER(VLOOKUP('Table Seed Map'!$A$24,SeedMap[],9,0)),VLOOKUP('Table Seed Map'!$A$24,SeedMap[],9,0),0))</f>
        <v>2123130</v>
      </c>
      <c r="E32" s="69">
        <f>IFERROR(VLOOKUP(ResourceList[[#This Row],[Resource Name]],ResourceTable[[RName]:[No]],3,0),"resource")</f>
        <v>2106119</v>
      </c>
      <c r="F32" s="107" t="s">
        <v>1868</v>
      </c>
      <c r="G32" s="107"/>
      <c r="H32" s="107" t="s">
        <v>906</v>
      </c>
      <c r="I32" s="107" t="s">
        <v>23</v>
      </c>
      <c r="J32" s="107">
        <v>100</v>
      </c>
      <c r="K32" s="67">
        <f>[No]</f>
        <v>2123130</v>
      </c>
      <c r="M32" s="62" t="s">
        <v>1641</v>
      </c>
      <c r="N32" s="63">
        <f>VLOOKUP(ListExtras[[#This Row],[List Name]],ResourceList[[ListDisplayName]:[No]],2,0)</f>
        <v>2123122</v>
      </c>
      <c r="O32" s="62"/>
      <c r="P32" s="62" t="s">
        <v>1645</v>
      </c>
      <c r="Q32" s="62"/>
      <c r="R32" s="62"/>
      <c r="S32" s="62"/>
      <c r="T32" s="63" t="str">
        <f>'Table Seed Map'!$A$25&amp;"-"&amp;COUNT($W$1:ListExtras[[#This Row],[Scope ID]])</f>
        <v>List Scopes-3</v>
      </c>
      <c r="U3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2" s="69">
        <f>IF(ListExtras[[#This Row],[LID]]=0,"resource_list",ListExtras[[#This Row],[LID]])</f>
        <v>2123122</v>
      </c>
      <c r="W32" s="69" t="str">
        <f>IFERROR(VLOOKUP(ListExtras[[#This Row],[Scope Name]],ResourceScopes[[ScopesDisplayNames]:[No]],2,0),IF(ListExtras[[#This Row],[LID]]=0,"scope",""))</f>
        <v/>
      </c>
      <c r="X32" s="63" t="str">
        <f>'Table Seed Map'!$A$26&amp;"-"&amp;COUNT($AA$1:ListExtras[[#This Row],[Relation]])</f>
        <v>List Relation-29</v>
      </c>
      <c r="Y3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2125129</v>
      </c>
      <c r="Z32" s="69">
        <f>IF(ListExtras[[#This Row],[LID]]=0,"resource_list",ListExtras[[#This Row],[LID]])</f>
        <v>2123122</v>
      </c>
      <c r="AA32" s="69">
        <f>IFERROR(VLOOKUP(ListExtras[[#This Row],[Relation Name]],RelationTable[[Display]:[RELID]],2,0),IF(ListExtras[[#This Row],[LID]]=0,"relation",""))</f>
        <v>2109189</v>
      </c>
      <c r="AB32" s="69" t="str">
        <f>IFERROR(VLOOKUP(ListExtras[[#This Row],[R1 Name]],RelationTable[[Display]:[RELID]],2,0),IF(ListExtras[[#This Row],[LID]]=0,"nest_relation1",""))</f>
        <v/>
      </c>
      <c r="AC32" s="69" t="str">
        <f>IFERROR(VLOOKUP(ListExtras[[#This Row],[R2 Name]],RelationTable[[Display]:[RELID]],2,0),IF(ListExtras[[#This Row],[LID]]=0,"nest_relation2",""))</f>
        <v/>
      </c>
      <c r="AD32" s="69" t="str">
        <f>IFERROR(VLOOKUP(ListExtras[[#This Row],[R3 Name]],RelationTable[[Display]:[RELID]],2,0),IF(ListExtras[[#This Row],[LID]]=0,"nest_relation3",""))</f>
        <v/>
      </c>
      <c r="AT32" s="69" t="str">
        <f>'Table Seed Map'!$A$27&amp;"-"&amp;COUNTA($AV$1:ListLayout[[#This Row],[No]])-2</f>
        <v>List Layout-30</v>
      </c>
      <c r="AU32" s="62" t="s">
        <v>1463</v>
      </c>
      <c r="AV32" s="69">
        <f>IF(ListLayout[[#This Row],[List Name for Layout]]="","id",COUNTA($AU$2:ListLayout[[#This Row],[List Name for Layout]])+IF(ISNUMBER(VLOOKUP('Table Seed Map'!$A$27,SeedMap[],9,0)),VLOOKUP('Table Seed Map'!$A$27,SeedMap[],9,0),0))</f>
        <v>2126130</v>
      </c>
      <c r="AW32" s="69">
        <f>IFERROR(VLOOKUP(ListLayout[[#This Row],[List Name for Layout]],ResourceList[[ListDisplayName]:[No]],2,0),"resource_list")</f>
        <v>2123111</v>
      </c>
      <c r="AX32" s="69" t="s">
        <v>777</v>
      </c>
      <c r="AY32" s="107" t="s">
        <v>23</v>
      </c>
      <c r="AZ32" s="69">
        <f>IF(ListLayout[[#This Row],[List Name for Layout]]="","relation",IFERROR(VLOOKUP(ListLayout[[#This Row],[Relation]],RelationTable[[Display]:[RELID]],2,0),""))</f>
        <v>2109138</v>
      </c>
      <c r="BA32" s="69" t="str">
        <f>IF(ListLayout[[#This Row],[List Name for Layout]]="","nest_relation1",IFERROR(VLOOKUP(ListLayout[[#This Row],[Relation 1]],RelationTable[[Display]:[RELID]],2,0),""))</f>
        <v/>
      </c>
      <c r="BB32" s="69" t="str">
        <f>IF(ListLayout[[#This Row],[List Name for Layout]]="","nest_relation2",IFERROR(VLOOKUP(ListLayout[[#This Row],[Relation 2]],RelationTable[[Display]:[RELID]],2,0),""))</f>
        <v/>
      </c>
      <c r="BC32" s="107" t="s">
        <v>1464</v>
      </c>
      <c r="BD32" s="107"/>
      <c r="BE32" s="107"/>
    </row>
    <row r="33" spans="1:57" hidden="1">
      <c r="A33" s="63" t="str">
        <f>'Table Seed Map'!$A$24&amp;"-"&amp;COUNTA($B$1:ResourceList[[#This Row],[Resource Name]])-1</f>
        <v>Resource Lists-31</v>
      </c>
      <c r="B33" s="62" t="s">
        <v>787</v>
      </c>
      <c r="C33" s="63" t="str">
        <f>ResourceList[[#This Row],[Resource Name]]&amp;"/"&amp;ResourceList[[#This Row],[Name]]</f>
        <v>Order/OwnHubOrders</v>
      </c>
      <c r="D33" s="69">
        <f>IF(ResourceList[[#This Row],[Resource Name]]="","id",COUNTA($B$2:ResourceList[[#This Row],[Resource Name]])+IF(ISNUMBER(VLOOKUP('Table Seed Map'!$A$24,SeedMap[],9,0)),VLOOKUP('Table Seed Map'!$A$24,SeedMap[],9,0),0))</f>
        <v>2123131</v>
      </c>
      <c r="E33" s="69">
        <f>IFERROR(VLOOKUP(ResourceList[[#This Row],[Resource Name]],ResourceTable[[RName]:[No]],3,0),"resource")</f>
        <v>2106118</v>
      </c>
      <c r="F33" s="107" t="s">
        <v>1891</v>
      </c>
      <c r="G33" s="107"/>
      <c r="H33" s="107" t="s">
        <v>905</v>
      </c>
      <c r="I33" s="107" t="s">
        <v>21</v>
      </c>
      <c r="J33" s="107">
        <v>30</v>
      </c>
      <c r="K33" s="67">
        <f>[No]</f>
        <v>2123131</v>
      </c>
      <c r="M33" s="62" t="s">
        <v>1655</v>
      </c>
      <c r="N33" s="63">
        <f>VLOOKUP(ListExtras[[#This Row],[List Name]],ResourceList[[ListDisplayName]:[No]],2,0)</f>
        <v>2123123</v>
      </c>
      <c r="O33" s="62"/>
      <c r="P33" s="62" t="s">
        <v>1656</v>
      </c>
      <c r="Q33" s="62"/>
      <c r="R33" s="62"/>
      <c r="S33" s="62"/>
      <c r="T33" s="63" t="str">
        <f>'Table Seed Map'!$A$25&amp;"-"&amp;COUNT($W$1:ListExtras[[#This Row],[Scope ID]])</f>
        <v>List Scopes-3</v>
      </c>
      <c r="U3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3" s="69">
        <f>IF(ListExtras[[#This Row],[LID]]=0,"resource_list",ListExtras[[#This Row],[LID]])</f>
        <v>2123123</v>
      </c>
      <c r="W33" s="69" t="str">
        <f>IFERROR(VLOOKUP(ListExtras[[#This Row],[Scope Name]],ResourceScopes[[ScopesDisplayNames]:[No]],2,0),IF(ListExtras[[#This Row],[LID]]=0,"scope",""))</f>
        <v/>
      </c>
      <c r="X33" s="63" t="str">
        <f>'Table Seed Map'!$A$26&amp;"-"&amp;COUNT($AA$1:ListExtras[[#This Row],[Relation]])</f>
        <v>List Relation-30</v>
      </c>
      <c r="Y3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2125130</v>
      </c>
      <c r="Z33" s="69">
        <f>IF(ListExtras[[#This Row],[LID]]=0,"resource_list",ListExtras[[#This Row],[LID]])</f>
        <v>2123123</v>
      </c>
      <c r="AA33" s="69">
        <f>IFERROR(VLOOKUP(ListExtras[[#This Row],[Relation Name]],RelationTable[[Display]:[RELID]],2,0),IF(ListExtras[[#This Row],[LID]]=0,"relation",""))</f>
        <v>2109168</v>
      </c>
      <c r="AB33" s="69" t="str">
        <f>IFERROR(VLOOKUP(ListExtras[[#This Row],[R1 Name]],RelationTable[[Display]:[RELID]],2,0),IF(ListExtras[[#This Row],[LID]]=0,"nest_relation1",""))</f>
        <v/>
      </c>
      <c r="AC33" s="69" t="str">
        <f>IFERROR(VLOOKUP(ListExtras[[#This Row],[R2 Name]],RelationTable[[Display]:[RELID]],2,0),IF(ListExtras[[#This Row],[LID]]=0,"nest_relation2",""))</f>
        <v/>
      </c>
      <c r="AD33" s="69" t="str">
        <f>IFERROR(VLOOKUP(ListExtras[[#This Row],[R3 Name]],RelationTable[[Display]:[RELID]],2,0),IF(ListExtras[[#This Row],[LID]]=0,"nest_relation3",""))</f>
        <v/>
      </c>
      <c r="AT33" s="69" t="str">
        <f>'Table Seed Map'!$A$27&amp;"-"&amp;COUNTA($AV$1:ListLayout[[#This Row],[No]])-2</f>
        <v>List Layout-31</v>
      </c>
      <c r="AU33" s="62" t="s">
        <v>1463</v>
      </c>
      <c r="AV33" s="69">
        <f>IF(ListLayout[[#This Row],[List Name for Layout]]="","id",COUNTA($AU$2:ListLayout[[#This Row],[List Name for Layout]])+IF(ISNUMBER(VLOOKUP('Table Seed Map'!$A$27,SeedMap[],9,0)),VLOOKUP('Table Seed Map'!$A$27,SeedMap[],9,0),0))</f>
        <v>2126131</v>
      </c>
      <c r="AW33" s="69">
        <f>IFERROR(VLOOKUP(ListLayout[[#This Row],[List Name for Layout]],ResourceList[[ListDisplayName]:[No]],2,0),"resource_list")</f>
        <v>2123111</v>
      </c>
      <c r="AX33" s="69" t="s">
        <v>1</v>
      </c>
      <c r="AY33" s="107" t="s">
        <v>23</v>
      </c>
      <c r="AZ33" s="69" t="str">
        <f>IF(ListLayout[[#This Row],[List Name for Layout]]="","relation",IFERROR(VLOOKUP(ListLayout[[#This Row],[Relation]],RelationTable[[Display]:[RELID]],2,0),""))</f>
        <v/>
      </c>
      <c r="BA33" s="69" t="str">
        <f>IF(ListLayout[[#This Row],[List Name for Layout]]="","nest_relation1",IFERROR(VLOOKUP(ListLayout[[#This Row],[Relation 1]],RelationTable[[Display]:[RELID]],2,0),""))</f>
        <v/>
      </c>
      <c r="BB33" s="69" t="str">
        <f>IF(ListLayout[[#This Row],[List Name for Layout]]="","nest_relation2",IFERROR(VLOOKUP(ListLayout[[#This Row],[Relation 2]],RelationTable[[Display]:[RELID]],2,0),""))</f>
        <v/>
      </c>
      <c r="BC33" s="107"/>
      <c r="BD33" s="107"/>
      <c r="BE33" s="107"/>
    </row>
    <row r="34" spans="1:57" hidden="1">
      <c r="A34" s="63" t="str">
        <f>'Table Seed Map'!$A$24&amp;"-"&amp;COUNTA($B$1:ResourceList[[#This Row],[Resource Name]])-1</f>
        <v>Resource Lists-32</v>
      </c>
      <c r="B34" s="62" t="s">
        <v>789</v>
      </c>
      <c r="C34" s="63" t="str">
        <f>ResourceList[[#This Row],[Resource Name]]&amp;"/"&amp;ResourceList[[#This Row],[Name]]</f>
        <v>OrderItemService/OwnHubOISList</v>
      </c>
      <c r="D34" s="69">
        <f>IF(ResourceList[[#This Row],[Resource Name]]="","id",COUNTA($B$2:ResourceList[[#This Row],[Resource Name]])+IF(ISNUMBER(VLOOKUP('Table Seed Map'!$A$24,SeedMap[],9,0)),VLOOKUP('Table Seed Map'!$A$24,SeedMap[],9,0),0))</f>
        <v>2123132</v>
      </c>
      <c r="E34" s="69">
        <f>IFERROR(VLOOKUP(ResourceList[[#This Row],[Resource Name]],ResourceTable[[RName]:[No]],3,0),"resource")</f>
        <v>2106120</v>
      </c>
      <c r="F34" s="107" t="s">
        <v>1899</v>
      </c>
      <c r="G34" s="107"/>
      <c r="H34" s="107" t="s">
        <v>898</v>
      </c>
      <c r="I34" s="107" t="s">
        <v>23</v>
      </c>
      <c r="J34" s="107">
        <v>30</v>
      </c>
      <c r="K34" s="67">
        <f>[No]</f>
        <v>2123132</v>
      </c>
      <c r="M34" s="62" t="s">
        <v>1655</v>
      </c>
      <c r="N34" s="63">
        <f>VLOOKUP(ListExtras[[#This Row],[List Name]],ResourceList[[ListDisplayName]:[No]],2,0)</f>
        <v>2123123</v>
      </c>
      <c r="O34" s="62"/>
      <c r="P34" s="62" t="s">
        <v>1657</v>
      </c>
      <c r="Q34" s="62"/>
      <c r="R34" s="62"/>
      <c r="S34" s="62"/>
      <c r="T34" s="63" t="str">
        <f>'Table Seed Map'!$A$25&amp;"-"&amp;COUNT($W$1:ListExtras[[#This Row],[Scope ID]])</f>
        <v>List Scopes-3</v>
      </c>
      <c r="U3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4" s="69">
        <f>IF(ListExtras[[#This Row],[LID]]=0,"resource_list",ListExtras[[#This Row],[LID]])</f>
        <v>2123123</v>
      </c>
      <c r="W34" s="69" t="str">
        <f>IFERROR(VLOOKUP(ListExtras[[#This Row],[Scope Name]],ResourceScopes[[ScopesDisplayNames]:[No]],2,0),IF(ListExtras[[#This Row],[LID]]=0,"scope",""))</f>
        <v/>
      </c>
      <c r="X34" s="63" t="str">
        <f>'Table Seed Map'!$A$26&amp;"-"&amp;COUNT($AA$1:ListExtras[[#This Row],[Relation]])</f>
        <v>List Relation-31</v>
      </c>
      <c r="Y3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2125131</v>
      </c>
      <c r="Z34" s="69">
        <f>IF(ListExtras[[#This Row],[LID]]=0,"resource_list",ListExtras[[#This Row],[LID]])</f>
        <v>2123123</v>
      </c>
      <c r="AA34" s="69">
        <f>IFERROR(VLOOKUP(ListExtras[[#This Row],[Relation Name]],RelationTable[[Display]:[RELID]],2,0),IF(ListExtras[[#This Row],[LID]]=0,"relation",""))</f>
        <v>2109169</v>
      </c>
      <c r="AB34" s="69" t="str">
        <f>IFERROR(VLOOKUP(ListExtras[[#This Row],[R1 Name]],RelationTable[[Display]:[RELID]],2,0),IF(ListExtras[[#This Row],[LID]]=0,"nest_relation1",""))</f>
        <v/>
      </c>
      <c r="AC34" s="69" t="str">
        <f>IFERROR(VLOOKUP(ListExtras[[#This Row],[R2 Name]],RelationTable[[Display]:[RELID]],2,0),IF(ListExtras[[#This Row],[LID]]=0,"nest_relation2",""))</f>
        <v/>
      </c>
      <c r="AD34" s="69" t="str">
        <f>IFERROR(VLOOKUP(ListExtras[[#This Row],[R3 Name]],RelationTable[[Display]:[RELID]],2,0),IF(ListExtras[[#This Row],[LID]]=0,"nest_relation3",""))</f>
        <v/>
      </c>
      <c r="AT34" s="69" t="str">
        <f>'Table Seed Map'!$A$27&amp;"-"&amp;COUNTA($AV$1:ListLayout[[#This Row],[No]])-2</f>
        <v>List Layout-32</v>
      </c>
      <c r="AU34" s="62" t="s">
        <v>1463</v>
      </c>
      <c r="AV34" s="69">
        <f>IF(ListLayout[[#This Row],[List Name for Layout]]="","id",COUNTA($AU$2:ListLayout[[#This Row],[List Name for Layout]])+IF(ISNUMBER(VLOOKUP('Table Seed Map'!$A$27,SeedMap[],9,0)),VLOOKUP('Table Seed Map'!$A$27,SeedMap[],9,0),0))</f>
        <v>2126132</v>
      </c>
      <c r="AW34" s="69">
        <f>IFERROR(VLOOKUP(ListLayout[[#This Row],[List Name for Layout]],ResourceList[[ListDisplayName]:[No]],2,0),"resource_list")</f>
        <v>2123111</v>
      </c>
      <c r="AX34" s="69" t="s">
        <v>1190</v>
      </c>
      <c r="AY34" s="107" t="s">
        <v>804</v>
      </c>
      <c r="AZ34" s="69" t="str">
        <f>IF(ListLayout[[#This Row],[List Name for Layout]]="","relation",IFERROR(VLOOKUP(ListLayout[[#This Row],[Relation]],RelationTable[[Display]:[RELID]],2,0),""))</f>
        <v/>
      </c>
      <c r="BA34" s="69" t="str">
        <f>IF(ListLayout[[#This Row],[List Name for Layout]]="","nest_relation1",IFERROR(VLOOKUP(ListLayout[[#This Row],[Relation 1]],RelationTable[[Display]:[RELID]],2,0),""))</f>
        <v/>
      </c>
      <c r="BB34" s="69" t="str">
        <f>IF(ListLayout[[#This Row],[List Name for Layout]]="","nest_relation2",IFERROR(VLOOKUP(ListLayout[[#This Row],[Relation 2]],RelationTable[[Display]:[RELID]],2,0),""))</f>
        <v/>
      </c>
      <c r="BC34" s="107"/>
      <c r="BD34" s="107"/>
      <c r="BE34" s="107"/>
    </row>
    <row r="35" spans="1:57">
      <c r="A35" s="63" t="str">
        <f>'Table Seed Map'!$A$24&amp;"-"&amp;COUNTA($B$1:ResourceList[[#This Row],[Resource Name]])-1</f>
        <v>Resource Lists-33</v>
      </c>
      <c r="B35" s="62" t="s">
        <v>790</v>
      </c>
      <c r="C35" s="63" t="str">
        <f>ResourceList[[#This Row],[Resource Name]]&amp;"/"&amp;ResourceList[[#This Row],[Name]]</f>
        <v>OrderItemServiceUser/OwnHubOISUList</v>
      </c>
      <c r="D35" s="69">
        <f>IF(ResourceList[[#This Row],[Resource Name]]="","id",COUNTA($B$2:ResourceList[[#This Row],[Resource Name]])+IF(ISNUMBER(VLOOKUP('Table Seed Map'!$A$24,SeedMap[],9,0)),VLOOKUP('Table Seed Map'!$A$24,SeedMap[],9,0),0))</f>
        <v>2123133</v>
      </c>
      <c r="E35" s="69">
        <f>IFERROR(VLOOKUP(ResourceList[[#This Row],[Resource Name]],ResourceTable[[RName]:[No]],3,0),"resource")</f>
        <v>2106123</v>
      </c>
      <c r="F35" s="107" t="s">
        <v>1910</v>
      </c>
      <c r="G35" s="107"/>
      <c r="H35" s="107" t="s">
        <v>1904</v>
      </c>
      <c r="I35" s="107" t="s">
        <v>23</v>
      </c>
      <c r="J35" s="107">
        <v>100</v>
      </c>
      <c r="K35" s="67">
        <f>[No]</f>
        <v>2123133</v>
      </c>
      <c r="M35" s="62" t="s">
        <v>1681</v>
      </c>
      <c r="N35" s="63">
        <f>VLOOKUP(ListExtras[[#This Row],[List Name]],ResourceList[[ListDisplayName]:[No]],2,0)</f>
        <v>2123124</v>
      </c>
      <c r="O35" s="62" t="s">
        <v>1682</v>
      </c>
      <c r="P35" s="62"/>
      <c r="Q35" s="62"/>
      <c r="R35" s="62"/>
      <c r="S35" s="62"/>
      <c r="T35" s="63" t="str">
        <f>'Table Seed Map'!$A$25&amp;"-"&amp;COUNT($W$1:ListExtras[[#This Row],[Scope ID]])</f>
        <v>List Scopes-4</v>
      </c>
      <c r="U35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2124104</v>
      </c>
      <c r="V35" s="69">
        <f>IF(ListExtras[[#This Row],[LID]]=0,"resource_list",ListExtras[[#This Row],[LID]])</f>
        <v>2123124</v>
      </c>
      <c r="W35" s="69">
        <f>IFERROR(VLOOKUP(ListExtras[[#This Row],[Scope Name]],ResourceScopes[[ScopesDisplayNames]:[No]],2,0),IF(ListExtras[[#This Row],[LID]]=0,"scope",""))</f>
        <v>2108105</v>
      </c>
      <c r="X35" s="63" t="str">
        <f>'Table Seed Map'!$A$26&amp;"-"&amp;COUNT($AA$1:ListExtras[[#This Row],[Relation]])</f>
        <v>List Relation-31</v>
      </c>
      <c r="Y35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5" s="69">
        <f>IF(ListExtras[[#This Row],[LID]]=0,"resource_list",ListExtras[[#This Row],[LID]])</f>
        <v>2123124</v>
      </c>
      <c r="AA35" s="69" t="str">
        <f>IFERROR(VLOOKUP(ListExtras[[#This Row],[Relation Name]],RelationTable[[Display]:[RELID]],2,0),IF(ListExtras[[#This Row],[LID]]=0,"relation",""))</f>
        <v/>
      </c>
      <c r="AB35" s="69" t="str">
        <f>IFERROR(VLOOKUP(ListExtras[[#This Row],[R1 Name]],RelationTable[[Display]:[RELID]],2,0),IF(ListExtras[[#This Row],[LID]]=0,"nest_relation1",""))</f>
        <v/>
      </c>
      <c r="AC35" s="69" t="str">
        <f>IFERROR(VLOOKUP(ListExtras[[#This Row],[R2 Name]],RelationTable[[Display]:[RELID]],2,0),IF(ListExtras[[#This Row],[LID]]=0,"nest_relation2",""))</f>
        <v/>
      </c>
      <c r="AD35" s="69" t="str">
        <f>IFERROR(VLOOKUP(ListExtras[[#This Row],[R3 Name]],RelationTable[[Display]:[RELID]],2,0),IF(ListExtras[[#This Row],[LID]]=0,"nest_relation3",""))</f>
        <v/>
      </c>
      <c r="AT35" s="69" t="str">
        <f>'Table Seed Map'!$A$27&amp;"-"&amp;COUNTA($AV$1:ListLayout[[#This Row],[No]])-2</f>
        <v>List Layout-33</v>
      </c>
      <c r="AU35" s="62" t="s">
        <v>1463</v>
      </c>
      <c r="AV35" s="69">
        <f>IF(ListLayout[[#This Row],[List Name for Layout]]="","id",COUNTA($AU$2:ListLayout[[#This Row],[List Name for Layout]])+IF(ISNUMBER(VLOOKUP('Table Seed Map'!$A$27,SeedMap[],9,0)),VLOOKUP('Table Seed Map'!$A$27,SeedMap[],9,0),0))</f>
        <v>2126133</v>
      </c>
      <c r="AW35" s="69">
        <f>IFERROR(VLOOKUP(ListLayout[[#This Row],[List Name for Layout]],ResourceList[[ListDisplayName]:[No]],2,0),"resource_list")</f>
        <v>2123111</v>
      </c>
      <c r="AX35" s="69" t="s">
        <v>1709</v>
      </c>
      <c r="AY35" s="107" t="s">
        <v>23</v>
      </c>
      <c r="AZ35" s="69">
        <f>IF(ListLayout[[#This Row],[List Name for Layout]]="","relation",IFERROR(VLOOKUP(ListLayout[[#This Row],[Relation]],RelationTable[[Display]:[RELID]],2,0),""))</f>
        <v>2109139</v>
      </c>
      <c r="BA35" s="69" t="str">
        <f>IF(ListLayout[[#This Row],[List Name for Layout]]="","nest_relation1",IFERROR(VLOOKUP(ListLayout[[#This Row],[Relation 1]],RelationTable[[Display]:[RELID]],2,0),""))</f>
        <v/>
      </c>
      <c r="BB35" s="69" t="str">
        <f>IF(ListLayout[[#This Row],[List Name for Layout]]="","nest_relation2",IFERROR(VLOOKUP(ListLayout[[#This Row],[Relation 2]],RelationTable[[Display]:[RELID]],2,0),""))</f>
        <v/>
      </c>
      <c r="BC35" s="107" t="s">
        <v>1540</v>
      </c>
      <c r="BD35" s="107"/>
      <c r="BE35" s="107"/>
    </row>
    <row r="36" spans="1:57">
      <c r="A36" s="63" t="str">
        <f>'Table Seed Map'!$A$24&amp;"-"&amp;COUNTA($B$1:ResourceList[[#This Row],[Resource Name]])-1</f>
        <v>Resource Lists-34</v>
      </c>
      <c r="B36" s="62" t="s">
        <v>790</v>
      </c>
      <c r="C36" s="63" t="str">
        <f>ResourceList[[#This Row],[Resource Name]]&amp;"/"&amp;ResourceList[[#This Row],[Name]]</f>
        <v>OrderItemServiceUser/MyJobs</v>
      </c>
      <c r="D36" s="69">
        <f>IF(ResourceList[[#This Row],[Resource Name]]="","id",COUNTA($B$2:ResourceList[[#This Row],[Resource Name]])+IF(ISNUMBER(VLOOKUP('Table Seed Map'!$A$24,SeedMap[],9,0)),VLOOKUP('Table Seed Map'!$A$24,SeedMap[],9,0),0))</f>
        <v>2123134</v>
      </c>
      <c r="E36" s="69">
        <f>IFERROR(VLOOKUP(ResourceList[[#This Row],[Resource Name]],ResourceTable[[RName]:[No]],3,0),"resource")</f>
        <v>2106123</v>
      </c>
      <c r="F36" s="107" t="s">
        <v>1919</v>
      </c>
      <c r="G36" s="107"/>
      <c r="H36" s="107" t="s">
        <v>1918</v>
      </c>
      <c r="I36" s="107" t="s">
        <v>23</v>
      </c>
      <c r="J36" s="107">
        <v>100</v>
      </c>
      <c r="K36" s="67">
        <f>[No]</f>
        <v>2123134</v>
      </c>
      <c r="M36" s="62" t="s">
        <v>1681</v>
      </c>
      <c r="N36" s="63">
        <f>VLOOKUP(ListExtras[[#This Row],[List Name]],ResourceList[[ListDisplayName]:[No]],2,0)</f>
        <v>2123124</v>
      </c>
      <c r="O36" s="62" t="s">
        <v>1683</v>
      </c>
      <c r="P36" s="62"/>
      <c r="Q36" s="62"/>
      <c r="R36" s="62"/>
      <c r="S36" s="62"/>
      <c r="T36" s="63" t="str">
        <f>'Table Seed Map'!$A$25&amp;"-"&amp;COUNT($W$1:ListExtras[[#This Row],[Scope ID]])</f>
        <v>List Scopes-5</v>
      </c>
      <c r="U3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2124105</v>
      </c>
      <c r="V36" s="69">
        <f>IF(ListExtras[[#This Row],[LID]]=0,"resource_list",ListExtras[[#This Row],[LID]])</f>
        <v>2123124</v>
      </c>
      <c r="W36" s="69">
        <f>IFERROR(VLOOKUP(ListExtras[[#This Row],[Scope Name]],ResourceScopes[[ScopesDisplayNames]:[No]],2,0),IF(ListExtras[[#This Row],[LID]]=0,"scope",""))</f>
        <v>2108106</v>
      </c>
      <c r="X36" s="63" t="str">
        <f>'Table Seed Map'!$A$26&amp;"-"&amp;COUNT($AA$1:ListExtras[[#This Row],[Relation]])</f>
        <v>List Relation-31</v>
      </c>
      <c r="Y36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6" s="69">
        <f>IF(ListExtras[[#This Row],[LID]]=0,"resource_list",ListExtras[[#This Row],[LID]])</f>
        <v>2123124</v>
      </c>
      <c r="AA36" s="69" t="str">
        <f>IFERROR(VLOOKUP(ListExtras[[#This Row],[Relation Name]],RelationTable[[Display]:[RELID]],2,0),IF(ListExtras[[#This Row],[LID]]=0,"relation",""))</f>
        <v/>
      </c>
      <c r="AB36" s="69" t="str">
        <f>IFERROR(VLOOKUP(ListExtras[[#This Row],[R1 Name]],RelationTable[[Display]:[RELID]],2,0),IF(ListExtras[[#This Row],[LID]]=0,"nest_relation1",""))</f>
        <v/>
      </c>
      <c r="AC36" s="69" t="str">
        <f>IFERROR(VLOOKUP(ListExtras[[#This Row],[R2 Name]],RelationTable[[Display]:[RELID]],2,0),IF(ListExtras[[#This Row],[LID]]=0,"nest_relation2",""))</f>
        <v/>
      </c>
      <c r="AD36" s="69" t="str">
        <f>IFERROR(VLOOKUP(ListExtras[[#This Row],[R3 Name]],RelationTable[[Display]:[RELID]],2,0),IF(ListExtras[[#This Row],[LID]]=0,"nest_relation3",""))</f>
        <v/>
      </c>
      <c r="AT36" s="69" t="str">
        <f>'Table Seed Map'!$A$27&amp;"-"&amp;COUNTA($AV$1:ListLayout[[#This Row],[No]])-2</f>
        <v>List Layout-34</v>
      </c>
      <c r="AU36" s="62" t="s">
        <v>1465</v>
      </c>
      <c r="AV36" s="69">
        <f>IF(ListLayout[[#This Row],[List Name for Layout]]="","id",COUNTA($AU$2:ListLayout[[#This Row],[List Name for Layout]])+IF(ISNUMBER(VLOOKUP('Table Seed Map'!$A$27,SeedMap[],9,0)),VLOOKUP('Table Seed Map'!$A$27,SeedMap[],9,0),0))</f>
        <v>2126134</v>
      </c>
      <c r="AW36" s="69">
        <f>IFERROR(VLOOKUP(ListLayout[[#This Row],[List Name for Layout]],ResourceList[[ListDisplayName]:[No]],2,0),"resource_list")</f>
        <v>2123112</v>
      </c>
      <c r="AX36" s="69" t="s">
        <v>307</v>
      </c>
      <c r="AY36" s="107" t="s">
        <v>21</v>
      </c>
      <c r="AZ36" s="69" t="str">
        <f>IF(ListLayout[[#This Row],[List Name for Layout]]="","relation",IFERROR(VLOOKUP(ListLayout[[#This Row],[Relation]],RelationTable[[Display]:[RELID]],2,0),""))</f>
        <v/>
      </c>
      <c r="BA36" s="69" t="str">
        <f>IF(ListLayout[[#This Row],[List Name for Layout]]="","nest_relation1",IFERROR(VLOOKUP(ListLayout[[#This Row],[Relation 1]],RelationTable[[Display]:[RELID]],2,0),""))</f>
        <v/>
      </c>
      <c r="BB36" s="69" t="str">
        <f>IF(ListLayout[[#This Row],[List Name for Layout]]="","nest_relation2",IFERROR(VLOOKUP(ListLayout[[#This Row],[Relation 2]],RelationTable[[Display]:[RELID]],2,0),""))</f>
        <v/>
      </c>
      <c r="BC36" s="107"/>
      <c r="BD36" s="107"/>
      <c r="BE36" s="107"/>
    </row>
    <row r="37" spans="1:57">
      <c r="A37" s="63" t="str">
        <f>'Table Seed Map'!$A$24&amp;"-"&amp;COUNTA($B$1:ResourceList[[#This Row],[Resource Name]])-1</f>
        <v>Resource Lists-35</v>
      </c>
      <c r="B37" s="62" t="s">
        <v>790</v>
      </c>
      <c r="C37" s="63" t="str">
        <f>ResourceList[[#This Row],[Resource Name]]&amp;"/"&amp;ResourceList[[#This Row],[Name]]</f>
        <v>OrderItemServiceUser/NewJobsList</v>
      </c>
      <c r="D37" s="69">
        <f>IF(ResourceList[[#This Row],[Resource Name]]="","id",COUNTA($B$2:ResourceList[[#This Row],[Resource Name]])+IF(ISNUMBER(VLOOKUP('Table Seed Map'!$A$24,SeedMap[],9,0)),VLOOKUP('Table Seed Map'!$A$24,SeedMap[],9,0),0))</f>
        <v>2123135</v>
      </c>
      <c r="E37" s="69">
        <f>IFERROR(VLOOKUP(ResourceList[[#This Row],[Resource Name]],ResourceTable[[RName]:[No]],3,0),"resource")</f>
        <v>2106123</v>
      </c>
      <c r="F37" s="14" t="s">
        <v>1955</v>
      </c>
      <c r="G37" s="107"/>
      <c r="H37" s="107" t="s">
        <v>1934</v>
      </c>
      <c r="I37" s="107" t="s">
        <v>23</v>
      </c>
      <c r="J37" s="107">
        <v>100</v>
      </c>
      <c r="K37" s="67">
        <f>[No]</f>
        <v>2123135</v>
      </c>
      <c r="M37" s="62" t="s">
        <v>1700</v>
      </c>
      <c r="N37" s="63">
        <f>VLOOKUP(ListExtras[[#This Row],[List Name]],ResourceList[[ListDisplayName]:[No]],2,0)</f>
        <v>2123125</v>
      </c>
      <c r="O37" s="62" t="s">
        <v>1701</v>
      </c>
      <c r="P37" s="62" t="s">
        <v>1472</v>
      </c>
      <c r="Q37" s="62"/>
      <c r="R37" s="62"/>
      <c r="S37" s="62"/>
      <c r="T37" s="63" t="str">
        <f>'Table Seed Map'!$A$25&amp;"-"&amp;COUNT($W$1:ListExtras[[#This Row],[Scope ID]])</f>
        <v>List Scopes-6</v>
      </c>
      <c r="U3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2124106</v>
      </c>
      <c r="V37" s="69">
        <f>IF(ListExtras[[#This Row],[LID]]=0,"resource_list",ListExtras[[#This Row],[LID]])</f>
        <v>2123125</v>
      </c>
      <c r="W37" s="69">
        <f>IFERROR(VLOOKUP(ListExtras[[#This Row],[Scope Name]],ResourceScopes[[ScopesDisplayNames]:[No]],2,0),IF(ListExtras[[#This Row],[LID]]=0,"scope",""))</f>
        <v>2108107</v>
      </c>
      <c r="X37" s="63" t="str">
        <f>'Table Seed Map'!$A$26&amp;"-"&amp;COUNT($AA$1:ListExtras[[#This Row],[Relation]])</f>
        <v>List Relation-32</v>
      </c>
      <c r="Y3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2125132</v>
      </c>
      <c r="Z37" s="69">
        <f>IF(ListExtras[[#This Row],[LID]]=0,"resource_list",ListExtras[[#This Row],[LID]])</f>
        <v>2123125</v>
      </c>
      <c r="AA37" s="69">
        <f>IFERROR(VLOOKUP(ListExtras[[#This Row],[Relation Name]],RelationTable[[Display]:[RELID]],2,0),IF(ListExtras[[#This Row],[LID]]=0,"relation",""))</f>
        <v>2109147</v>
      </c>
      <c r="AB37" s="69" t="str">
        <f>IFERROR(VLOOKUP(ListExtras[[#This Row],[R1 Name]],RelationTable[[Display]:[RELID]],2,0),IF(ListExtras[[#This Row],[LID]]=0,"nest_relation1",""))</f>
        <v/>
      </c>
      <c r="AC37" s="69" t="str">
        <f>IFERROR(VLOOKUP(ListExtras[[#This Row],[R2 Name]],RelationTable[[Display]:[RELID]],2,0),IF(ListExtras[[#This Row],[LID]]=0,"nest_relation2",""))</f>
        <v/>
      </c>
      <c r="AD37" s="69" t="str">
        <f>IFERROR(VLOOKUP(ListExtras[[#This Row],[R3 Name]],RelationTable[[Display]:[RELID]],2,0),IF(ListExtras[[#This Row],[LID]]=0,"nest_relation3",""))</f>
        <v/>
      </c>
      <c r="AT37" s="69" t="str">
        <f>'Table Seed Map'!$A$27&amp;"-"&amp;COUNTA($AV$1:ListLayout[[#This Row],[No]])-2</f>
        <v>List Layout-35</v>
      </c>
      <c r="AU37" s="62" t="s">
        <v>1465</v>
      </c>
      <c r="AV37" s="69">
        <f>IF(ListLayout[[#This Row],[List Name for Layout]]="","id",COUNTA($AU$2:ListLayout[[#This Row],[List Name for Layout]])+IF(ISNUMBER(VLOOKUP('Table Seed Map'!$A$27,SeedMap[],9,0)),VLOOKUP('Table Seed Map'!$A$27,SeedMap[],9,0),0))</f>
        <v>2126135</v>
      </c>
      <c r="AW37" s="69">
        <f>IFERROR(VLOOKUP(ListLayout[[#This Row],[List Name for Layout]],ResourceList[[ListDisplayName]:[No]],2,0),"resource_list")</f>
        <v>2123112</v>
      </c>
      <c r="AX37" s="69" t="s">
        <v>1</v>
      </c>
      <c r="AY37" s="107" t="s">
        <v>23</v>
      </c>
      <c r="AZ37" s="69" t="str">
        <f>IF(ListLayout[[#This Row],[List Name for Layout]]="","relation",IFERROR(VLOOKUP(ListLayout[[#This Row],[Relation]],RelationTable[[Display]:[RELID]],2,0),""))</f>
        <v/>
      </c>
      <c r="BA37" s="69" t="str">
        <f>IF(ListLayout[[#This Row],[List Name for Layout]]="","nest_relation1",IFERROR(VLOOKUP(ListLayout[[#This Row],[Relation 1]],RelationTable[[Display]:[RELID]],2,0),""))</f>
        <v/>
      </c>
      <c r="BB37" s="69" t="str">
        <f>IF(ListLayout[[#This Row],[List Name for Layout]]="","nest_relation2",IFERROR(VLOOKUP(ListLayout[[#This Row],[Relation 2]],RelationTable[[Display]:[RELID]],2,0),""))</f>
        <v/>
      </c>
      <c r="BC37" s="107"/>
      <c r="BD37" s="107"/>
      <c r="BE37" s="107"/>
    </row>
    <row r="38" spans="1:57">
      <c r="A38" s="63" t="str">
        <f>'Table Seed Map'!$A$24&amp;"-"&amp;COUNTA($B$1:ResourceList[[#This Row],[Resource Name]])-1</f>
        <v>Resource Lists-36</v>
      </c>
      <c r="B38" s="62" t="s">
        <v>790</v>
      </c>
      <c r="C38" s="63" t="str">
        <f>ResourceList[[#This Row],[Resource Name]]&amp;"/"&amp;ResourceList[[#This Row],[Name]]</f>
        <v>OrderItemServiceUser/ServicingJobsList</v>
      </c>
      <c r="D38" s="69">
        <f>IF(ResourceList[[#This Row],[Resource Name]]="","id",COUNTA($B$2:ResourceList[[#This Row],[Resource Name]])+IF(ISNUMBER(VLOOKUP('Table Seed Map'!$A$24,SeedMap[],9,0)),VLOOKUP('Table Seed Map'!$A$24,SeedMap[],9,0),0))</f>
        <v>2123136</v>
      </c>
      <c r="E38" s="69">
        <f>IFERROR(VLOOKUP(ResourceList[[#This Row],[Resource Name]],ResourceTable[[RName]:[No]],3,0),"resource")</f>
        <v>2106123</v>
      </c>
      <c r="F38" s="14" t="s">
        <v>1956</v>
      </c>
      <c r="G38" s="107"/>
      <c r="H38" s="107" t="s">
        <v>1936</v>
      </c>
      <c r="I38" s="107" t="s">
        <v>23</v>
      </c>
      <c r="J38" s="107">
        <v>100</v>
      </c>
      <c r="K38" s="67">
        <f>[No]</f>
        <v>2123136</v>
      </c>
      <c r="M38" s="62" t="s">
        <v>1466</v>
      </c>
      <c r="N38" s="63">
        <f>VLOOKUP(ListExtras[[#This Row],[List Name]],ResourceList[[ListDisplayName]:[No]],2,0)</f>
        <v>2123113</v>
      </c>
      <c r="O38" s="62"/>
      <c r="P38" s="62" t="s">
        <v>1773</v>
      </c>
      <c r="Q38" s="62"/>
      <c r="R38" s="62"/>
      <c r="S38" s="62"/>
      <c r="T38" s="63" t="str">
        <f>'Table Seed Map'!$A$25&amp;"-"&amp;COUNT($W$1:ListExtras[[#This Row],[Scope ID]])</f>
        <v>List Scopes-6</v>
      </c>
      <c r="U3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8" s="69">
        <f>IF(ListExtras[[#This Row],[LID]]=0,"resource_list",ListExtras[[#This Row],[LID]])</f>
        <v>2123113</v>
      </c>
      <c r="W38" s="69" t="str">
        <f>IFERROR(VLOOKUP(ListExtras[[#This Row],[Scope Name]],ResourceScopes[[ScopesDisplayNames]:[No]],2,0),IF(ListExtras[[#This Row],[LID]]=0,"scope",""))</f>
        <v/>
      </c>
      <c r="X38" s="63" t="str">
        <f>'Table Seed Map'!$A$26&amp;"-"&amp;COUNT($AA$1:ListExtras[[#This Row],[Relation]])</f>
        <v>List Relation-33</v>
      </c>
      <c r="Y3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2125133</v>
      </c>
      <c r="Z38" s="69">
        <f>IF(ListExtras[[#This Row],[LID]]=0,"resource_list",ListExtras[[#This Row],[LID]])</f>
        <v>2123113</v>
      </c>
      <c r="AA38" s="69">
        <f>IFERROR(VLOOKUP(ListExtras[[#This Row],[Relation Name]],RelationTable[[Display]:[RELID]],2,0),IF(ListExtras[[#This Row],[LID]]=0,"relation",""))</f>
        <v>2109192</v>
      </c>
      <c r="AB38" s="69" t="str">
        <f>IFERROR(VLOOKUP(ListExtras[[#This Row],[R1 Name]],RelationTable[[Display]:[RELID]],2,0),IF(ListExtras[[#This Row],[LID]]=0,"nest_relation1",""))</f>
        <v/>
      </c>
      <c r="AC38" s="69" t="str">
        <f>IFERROR(VLOOKUP(ListExtras[[#This Row],[R2 Name]],RelationTable[[Display]:[RELID]],2,0),IF(ListExtras[[#This Row],[LID]]=0,"nest_relation2",""))</f>
        <v/>
      </c>
      <c r="AD38" s="69" t="str">
        <f>IFERROR(VLOOKUP(ListExtras[[#This Row],[R3 Name]],RelationTable[[Display]:[RELID]],2,0),IF(ListExtras[[#This Row],[LID]]=0,"nest_relation3",""))</f>
        <v/>
      </c>
      <c r="AT38" s="69" t="str">
        <f>'Table Seed Map'!$A$27&amp;"-"&amp;COUNTA($AV$1:ListLayout[[#This Row],[No]])-2</f>
        <v>List Layout-36</v>
      </c>
      <c r="AU38" s="62" t="s">
        <v>1465</v>
      </c>
      <c r="AV38" s="69">
        <f>IF(ListLayout[[#This Row],[List Name for Layout]]="","id",COUNTA($AU$2:ListLayout[[#This Row],[List Name for Layout]])+IF(ISNUMBER(VLOOKUP('Table Seed Map'!$A$27,SeedMap[],9,0)),VLOOKUP('Table Seed Map'!$A$27,SeedMap[],9,0),0))</f>
        <v>2126136</v>
      </c>
      <c r="AW38" s="69">
        <f>IFERROR(VLOOKUP(ListLayout[[#This Row],[List Name for Layout]],ResourceList[[ListDisplayName]:[No]],2,0),"resource_list")</f>
        <v>2123112</v>
      </c>
      <c r="AX38" s="69" t="s">
        <v>1190</v>
      </c>
      <c r="AY38" s="107" t="s">
        <v>804</v>
      </c>
      <c r="AZ38" s="69" t="str">
        <f>IF(ListLayout[[#This Row],[List Name for Layout]]="","relation",IFERROR(VLOOKUP(ListLayout[[#This Row],[Relation]],RelationTable[[Display]:[RELID]],2,0),""))</f>
        <v/>
      </c>
      <c r="BA38" s="69" t="str">
        <f>IF(ListLayout[[#This Row],[List Name for Layout]]="","nest_relation1",IFERROR(VLOOKUP(ListLayout[[#This Row],[Relation 1]],RelationTable[[Display]:[RELID]],2,0),""))</f>
        <v/>
      </c>
      <c r="BB38" s="69" t="str">
        <f>IF(ListLayout[[#This Row],[List Name for Layout]]="","nest_relation2",IFERROR(VLOOKUP(ListLayout[[#This Row],[Relation 2]],RelationTable[[Display]:[RELID]],2,0),""))</f>
        <v/>
      </c>
      <c r="BC38" s="107"/>
      <c r="BD38" s="107"/>
      <c r="BE38" s="107"/>
    </row>
    <row r="39" spans="1:57">
      <c r="A39" s="63" t="str">
        <f>'Table Seed Map'!$A$24&amp;"-"&amp;COUNTA($B$1:ResourceList[[#This Row],[Resource Name]])-1</f>
        <v>Resource Lists-37</v>
      </c>
      <c r="B39" s="62" t="s">
        <v>790</v>
      </c>
      <c r="C39" s="63" t="str">
        <f>ResourceList[[#This Row],[Resource Name]]&amp;"/"&amp;ResourceList[[#This Row],[Name]]</f>
        <v>OrderItemServiceUser/CompletedJobsList</v>
      </c>
      <c r="D39" s="69">
        <f>IF(ResourceList[[#This Row],[Resource Name]]="","id",COUNTA($B$2:ResourceList[[#This Row],[Resource Name]])+IF(ISNUMBER(VLOOKUP('Table Seed Map'!$A$24,SeedMap[],9,0)),VLOOKUP('Table Seed Map'!$A$24,SeedMap[],9,0),0))</f>
        <v>2123137</v>
      </c>
      <c r="E39" s="69">
        <f>IFERROR(VLOOKUP(ResourceList[[#This Row],[Resource Name]],ResourceTable[[RName]:[No]],3,0),"resource")</f>
        <v>2106123</v>
      </c>
      <c r="F39" s="14" t="s">
        <v>1954</v>
      </c>
      <c r="G39" s="107"/>
      <c r="H39" s="107" t="s">
        <v>1938</v>
      </c>
      <c r="I39" s="107" t="s">
        <v>23</v>
      </c>
      <c r="J39" s="107">
        <v>100</v>
      </c>
      <c r="K39" s="67">
        <f>[No]</f>
        <v>2123137</v>
      </c>
      <c r="M39" s="62" t="s">
        <v>1793</v>
      </c>
      <c r="N39" s="63">
        <f>VLOOKUP(ListExtras[[#This Row],[List Name]],ResourceList[[ListDisplayName]:[No]],2,0)</f>
        <v>2123126</v>
      </c>
      <c r="O39" s="62"/>
      <c r="P39" s="62" t="s">
        <v>1794</v>
      </c>
      <c r="Q39" s="62"/>
      <c r="R39" s="62"/>
      <c r="S39" s="62"/>
      <c r="T39" s="63" t="str">
        <f>'Table Seed Map'!$A$25&amp;"-"&amp;COUNT($W$1:ListExtras[[#This Row],[Scope ID]])</f>
        <v>List Scopes-6</v>
      </c>
      <c r="U3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9" s="69">
        <f>IF(ListExtras[[#This Row],[LID]]=0,"resource_list",ListExtras[[#This Row],[LID]])</f>
        <v>2123126</v>
      </c>
      <c r="W39" s="69" t="str">
        <f>IFERROR(VLOOKUP(ListExtras[[#This Row],[Scope Name]],ResourceScopes[[ScopesDisplayNames]:[No]],2,0),IF(ListExtras[[#This Row],[LID]]=0,"scope",""))</f>
        <v/>
      </c>
      <c r="X39" s="63" t="str">
        <f>'Table Seed Map'!$A$26&amp;"-"&amp;COUNT($AA$1:ListExtras[[#This Row],[Relation]])</f>
        <v>List Relation-34</v>
      </c>
      <c r="Y3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2125134</v>
      </c>
      <c r="Z39" s="69">
        <f>IF(ListExtras[[#This Row],[LID]]=0,"resource_list",ListExtras[[#This Row],[LID]])</f>
        <v>2123126</v>
      </c>
      <c r="AA39" s="69">
        <f>IFERROR(VLOOKUP(ListExtras[[#This Row],[Relation Name]],RelationTable[[Display]:[RELID]],2,0),IF(ListExtras[[#This Row],[LID]]=0,"relation",""))</f>
        <v>2109166</v>
      </c>
      <c r="AB39" s="69" t="str">
        <f>IFERROR(VLOOKUP(ListExtras[[#This Row],[R1 Name]],RelationTable[[Display]:[RELID]],2,0),IF(ListExtras[[#This Row],[LID]]=0,"nest_relation1",""))</f>
        <v/>
      </c>
      <c r="AC39" s="69" t="str">
        <f>IFERROR(VLOOKUP(ListExtras[[#This Row],[R2 Name]],RelationTable[[Display]:[RELID]],2,0),IF(ListExtras[[#This Row],[LID]]=0,"nest_relation2",""))</f>
        <v/>
      </c>
      <c r="AD39" s="69" t="str">
        <f>IFERROR(VLOOKUP(ListExtras[[#This Row],[R3 Name]],RelationTable[[Display]:[RELID]],2,0),IF(ListExtras[[#This Row],[LID]]=0,"nest_relation3",""))</f>
        <v/>
      </c>
      <c r="AT39" s="69" t="str">
        <f>'Table Seed Map'!$A$27&amp;"-"&amp;COUNTA($AV$1:ListLayout[[#This Row],[No]])-2</f>
        <v>List Layout-37</v>
      </c>
      <c r="AU39" s="62" t="s">
        <v>1466</v>
      </c>
      <c r="AV39" s="69">
        <f>IF(ListLayout[[#This Row],[List Name for Layout]]="","id",COUNTA($AU$2:ListLayout[[#This Row],[List Name for Layout]])+IF(ISNUMBER(VLOOKUP('Table Seed Map'!$A$27,SeedMap[],9,0)),VLOOKUP('Table Seed Map'!$A$27,SeedMap[],9,0),0))</f>
        <v>2126137</v>
      </c>
      <c r="AW39" s="69">
        <f>IFERROR(VLOOKUP(ListLayout[[#This Row],[List Name for Layout]],ResourceList[[ListDisplayName]:[No]],2,0),"resource_list")</f>
        <v>2123113</v>
      </c>
      <c r="AX39" s="69" t="s">
        <v>307</v>
      </c>
      <c r="AY39" s="107" t="s">
        <v>21</v>
      </c>
      <c r="AZ39" s="69" t="str">
        <f>IF(ListLayout[[#This Row],[List Name for Layout]]="","relation",IFERROR(VLOOKUP(ListLayout[[#This Row],[Relation]],RelationTable[[Display]:[RELID]],2,0),""))</f>
        <v/>
      </c>
      <c r="BA39" s="69" t="str">
        <f>IF(ListLayout[[#This Row],[List Name for Layout]]="","nest_relation1",IFERROR(VLOOKUP(ListLayout[[#This Row],[Relation 1]],RelationTable[[Display]:[RELID]],2,0),""))</f>
        <v/>
      </c>
      <c r="BB39" s="69" t="str">
        <f>IF(ListLayout[[#This Row],[List Name for Layout]]="","nest_relation2",IFERROR(VLOOKUP(ListLayout[[#This Row],[Relation 2]],RelationTable[[Display]:[RELID]],2,0),""))</f>
        <v/>
      </c>
      <c r="BC39" s="107"/>
      <c r="BD39" s="107"/>
      <c r="BE39" s="107"/>
    </row>
    <row r="40" spans="1:57">
      <c r="A40" s="9" t="str">
        <f>'Table Seed Map'!$A$24&amp;"-"&amp;COUNTA($B$1:ResourceList[[#This Row],[Resource Name]])-1</f>
        <v>Resource Lists-38</v>
      </c>
      <c r="B40" s="62" t="s">
        <v>790</v>
      </c>
      <c r="C40" s="9" t="str">
        <f>ResourceList[[#This Row],[Resource Name]]&amp;"/"&amp;ResourceList[[#This Row],[Name]]</f>
        <v>OrderItemServiceUser/MyNewJobsList</v>
      </c>
      <c r="D40" s="16">
        <f>IF(ResourceList[[#This Row],[Resource Name]]="","id",COUNTA($B$2:ResourceList[[#This Row],[Resource Name]])+IF(ISNUMBER(VLOOKUP('Table Seed Map'!$A$24,SeedMap[],9,0)),VLOOKUP('Table Seed Map'!$A$24,SeedMap[],9,0),0))</f>
        <v>2123138</v>
      </c>
      <c r="E40" s="16">
        <f>IFERROR(VLOOKUP(ResourceList[[#This Row],[Resource Name]],ResourceTable[[RName]:[No]],3,0),"resource")</f>
        <v>2106123</v>
      </c>
      <c r="F40" s="14" t="s">
        <v>1953</v>
      </c>
      <c r="G40" s="14"/>
      <c r="H40" s="14" t="s">
        <v>1948</v>
      </c>
      <c r="I40" s="107" t="s">
        <v>23</v>
      </c>
      <c r="J40" s="107">
        <v>100</v>
      </c>
      <c r="K40" s="77">
        <f>[No]</f>
        <v>2123138</v>
      </c>
      <c r="M40" s="62" t="s">
        <v>1793</v>
      </c>
      <c r="N40" s="63">
        <f>VLOOKUP(ListExtras[[#This Row],[List Name]],ResourceList[[ListDisplayName]:[No]],2,0)</f>
        <v>2123126</v>
      </c>
      <c r="O40" s="62"/>
      <c r="P40" s="62" t="s">
        <v>1795</v>
      </c>
      <c r="Q40" s="62"/>
      <c r="R40" s="62"/>
      <c r="S40" s="62"/>
      <c r="T40" s="63" t="str">
        <f>'Table Seed Map'!$A$25&amp;"-"&amp;COUNT($W$1:ListExtras[[#This Row],[Scope ID]])</f>
        <v>List Scopes-6</v>
      </c>
      <c r="U4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0" s="69">
        <f>IF(ListExtras[[#This Row],[LID]]=0,"resource_list",ListExtras[[#This Row],[LID]])</f>
        <v>2123126</v>
      </c>
      <c r="W40" s="69" t="str">
        <f>IFERROR(VLOOKUP(ListExtras[[#This Row],[Scope Name]],ResourceScopes[[ScopesDisplayNames]:[No]],2,0),IF(ListExtras[[#This Row],[LID]]=0,"scope",""))</f>
        <v/>
      </c>
      <c r="X40" s="63" t="str">
        <f>'Table Seed Map'!$A$26&amp;"-"&amp;COUNT($AA$1:ListExtras[[#This Row],[Relation]])</f>
        <v>List Relation-35</v>
      </c>
      <c r="Y4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2125135</v>
      </c>
      <c r="Z40" s="69">
        <f>IF(ListExtras[[#This Row],[LID]]=0,"resource_list",ListExtras[[#This Row],[LID]])</f>
        <v>2123126</v>
      </c>
      <c r="AA40" s="69">
        <f>IFERROR(VLOOKUP(ListExtras[[#This Row],[Relation Name]],RelationTable[[Display]:[RELID]],2,0),IF(ListExtras[[#This Row],[LID]]=0,"relation",""))</f>
        <v>2109167</v>
      </c>
      <c r="AB40" s="69" t="str">
        <f>IFERROR(VLOOKUP(ListExtras[[#This Row],[R1 Name]],RelationTable[[Display]:[RELID]],2,0),IF(ListExtras[[#This Row],[LID]]=0,"nest_relation1",""))</f>
        <v/>
      </c>
      <c r="AC40" s="69" t="str">
        <f>IFERROR(VLOOKUP(ListExtras[[#This Row],[R2 Name]],RelationTable[[Display]:[RELID]],2,0),IF(ListExtras[[#This Row],[LID]]=0,"nest_relation2",""))</f>
        <v/>
      </c>
      <c r="AD40" s="69" t="str">
        <f>IFERROR(VLOOKUP(ListExtras[[#This Row],[R3 Name]],RelationTable[[Display]:[RELID]],2,0),IF(ListExtras[[#This Row],[LID]]=0,"nest_relation3",""))</f>
        <v/>
      </c>
      <c r="AT40" s="69" t="str">
        <f>'Table Seed Map'!$A$27&amp;"-"&amp;COUNTA($AV$1:ListLayout[[#This Row],[No]])-2</f>
        <v>List Layout-38</v>
      </c>
      <c r="AU40" s="62" t="s">
        <v>1466</v>
      </c>
      <c r="AV40" s="69">
        <f>IF(ListLayout[[#This Row],[List Name for Layout]]="","id",COUNTA($AU$2:ListLayout[[#This Row],[List Name for Layout]])+IF(ISNUMBER(VLOOKUP('Table Seed Map'!$A$27,SeedMap[],9,0)),VLOOKUP('Table Seed Map'!$A$27,SeedMap[],9,0),0))</f>
        <v>2126138</v>
      </c>
      <c r="AW40" s="69">
        <f>IFERROR(VLOOKUP(ListLayout[[#This Row],[List Name for Layout]],ResourceList[[ListDisplayName]:[No]],2,0),"resource_list")</f>
        <v>2123113</v>
      </c>
      <c r="AX40" s="69" t="s">
        <v>777</v>
      </c>
      <c r="AY40" s="107" t="s">
        <v>23</v>
      </c>
      <c r="AZ40" s="69">
        <f>IF(ListLayout[[#This Row],[List Name for Layout]]="","relation",IFERROR(VLOOKUP(ListLayout[[#This Row],[Relation]],RelationTable[[Display]:[RELID]],2,0),""))</f>
        <v>2109192</v>
      </c>
      <c r="BA40" s="69" t="str">
        <f>IF(ListLayout[[#This Row],[List Name for Layout]]="","nest_relation1",IFERROR(VLOOKUP(ListLayout[[#This Row],[Relation 1]],RelationTable[[Display]:[RELID]],2,0),""))</f>
        <v/>
      </c>
      <c r="BB40" s="69" t="str">
        <f>IF(ListLayout[[#This Row],[List Name for Layout]]="","nest_relation2",IFERROR(VLOOKUP(ListLayout[[#This Row],[Relation 2]],RelationTable[[Display]:[RELID]],2,0),""))</f>
        <v/>
      </c>
      <c r="BC40" s="107" t="s">
        <v>1773</v>
      </c>
      <c r="BD40" s="107"/>
      <c r="BE40" s="107"/>
    </row>
    <row r="41" spans="1:57">
      <c r="A41" s="9" t="str">
        <f>'Table Seed Map'!$A$24&amp;"-"&amp;COUNTA($B$1:ResourceList[[#This Row],[Resource Name]])-1</f>
        <v>Resource Lists-39</v>
      </c>
      <c r="B41" s="62" t="s">
        <v>790</v>
      </c>
      <c r="C41" s="9" t="str">
        <f>ResourceList[[#This Row],[Resource Name]]&amp;"/"&amp;ResourceList[[#This Row],[Name]]</f>
        <v>OrderItemServiceUser/MyInServiceJobs</v>
      </c>
      <c r="D41" s="16">
        <f>IF(ResourceList[[#This Row],[Resource Name]]="","id",COUNTA($B$2:ResourceList[[#This Row],[Resource Name]])+IF(ISNUMBER(VLOOKUP('Table Seed Map'!$A$24,SeedMap[],9,0)),VLOOKUP('Table Seed Map'!$A$24,SeedMap[],9,0),0))</f>
        <v>2123139</v>
      </c>
      <c r="E41" s="16">
        <f>IFERROR(VLOOKUP(ResourceList[[#This Row],[Resource Name]],ResourceTable[[RName]:[No]],3,0),"resource")</f>
        <v>2106123</v>
      </c>
      <c r="F41" s="14" t="s">
        <v>1957</v>
      </c>
      <c r="G41" s="14"/>
      <c r="H41" s="14" t="s">
        <v>1949</v>
      </c>
      <c r="I41" s="107" t="s">
        <v>23</v>
      </c>
      <c r="J41" s="107">
        <v>100</v>
      </c>
      <c r="K41" s="77">
        <f>[No]</f>
        <v>2123139</v>
      </c>
      <c r="M41" s="62" t="s">
        <v>1805</v>
      </c>
      <c r="N41" s="63">
        <f>VLOOKUP(ListExtras[[#This Row],[List Name]],ResourceList[[ListDisplayName]:[No]],2,0)</f>
        <v>2123127</v>
      </c>
      <c r="O41" s="62" t="s">
        <v>1806</v>
      </c>
      <c r="P41" s="62" t="s">
        <v>1474</v>
      </c>
      <c r="Q41" s="62"/>
      <c r="R41" s="62"/>
      <c r="S41" s="62"/>
      <c r="T41" s="63" t="str">
        <f>'Table Seed Map'!$A$25&amp;"-"&amp;COUNT($W$1:ListExtras[[#This Row],[Scope ID]])</f>
        <v>List Scopes-7</v>
      </c>
      <c r="U4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2124107</v>
      </c>
      <c r="V41" s="69">
        <f>IF(ListExtras[[#This Row],[LID]]=0,"resource_list",ListExtras[[#This Row],[LID]])</f>
        <v>2123127</v>
      </c>
      <c r="W41" s="69">
        <f>IFERROR(VLOOKUP(ListExtras[[#This Row],[Scope Name]],ResourceScopes[[ScopesDisplayNames]:[No]],2,0),IF(ListExtras[[#This Row],[LID]]=0,"scope",""))</f>
        <v>2108111</v>
      </c>
      <c r="X41" s="63" t="str">
        <f>'Table Seed Map'!$A$26&amp;"-"&amp;COUNT($AA$1:ListExtras[[#This Row],[Relation]])</f>
        <v>List Relation-36</v>
      </c>
      <c r="Y4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2125136</v>
      </c>
      <c r="Z41" s="69">
        <f>IF(ListExtras[[#This Row],[LID]]=0,"resource_list",ListExtras[[#This Row],[LID]])</f>
        <v>2123127</v>
      </c>
      <c r="AA41" s="69">
        <f>IFERROR(VLOOKUP(ListExtras[[#This Row],[Relation Name]],RelationTable[[Display]:[RELID]],2,0),IF(ListExtras[[#This Row],[LID]]=0,"relation",""))</f>
        <v>2109162</v>
      </c>
      <c r="AB41" s="69" t="str">
        <f>IFERROR(VLOOKUP(ListExtras[[#This Row],[R1 Name]],RelationTable[[Display]:[RELID]],2,0),IF(ListExtras[[#This Row],[LID]]=0,"nest_relation1",""))</f>
        <v/>
      </c>
      <c r="AC41" s="69" t="str">
        <f>IFERROR(VLOOKUP(ListExtras[[#This Row],[R2 Name]],RelationTable[[Display]:[RELID]],2,0),IF(ListExtras[[#This Row],[LID]]=0,"nest_relation2",""))</f>
        <v/>
      </c>
      <c r="AD41" s="69" t="str">
        <f>IFERROR(VLOOKUP(ListExtras[[#This Row],[R3 Name]],RelationTable[[Display]:[RELID]],2,0),IF(ListExtras[[#This Row],[LID]]=0,"nest_relation3",""))</f>
        <v/>
      </c>
      <c r="AT41" s="69" t="str">
        <f>'Table Seed Map'!$A$27&amp;"-"&amp;COUNTA($AV$1:ListLayout[[#This Row],[No]])-2</f>
        <v>List Layout-39</v>
      </c>
      <c r="AU41" s="62" t="s">
        <v>1466</v>
      </c>
      <c r="AV41" s="69">
        <f>IF(ListLayout[[#This Row],[List Name for Layout]]="","id",COUNTA($AU$2:ListLayout[[#This Row],[List Name for Layout]])+IF(ISNUMBER(VLOOKUP('Table Seed Map'!$A$27,SeedMap[],9,0)),VLOOKUP('Table Seed Map'!$A$27,SeedMap[],9,0),0))</f>
        <v>2126139</v>
      </c>
      <c r="AW41" s="69">
        <f>IFERROR(VLOOKUP(ListLayout[[#This Row],[List Name for Layout]],ResourceList[[ListDisplayName]:[No]],2,0),"resource_list")</f>
        <v>2123113</v>
      </c>
      <c r="AX41" s="69" t="s">
        <v>1468</v>
      </c>
      <c r="AY41" s="107" t="s">
        <v>850</v>
      </c>
      <c r="AZ41" s="69" t="str">
        <f>IF(ListLayout[[#This Row],[List Name for Layout]]="","relation",IFERROR(VLOOKUP(ListLayout[[#This Row],[Relation]],RelationTable[[Display]:[RELID]],2,0),""))</f>
        <v/>
      </c>
      <c r="BA41" s="69" t="str">
        <f>IF(ListLayout[[#This Row],[List Name for Layout]]="","nest_relation1",IFERROR(VLOOKUP(ListLayout[[#This Row],[Relation 1]],RelationTable[[Display]:[RELID]],2,0),""))</f>
        <v/>
      </c>
      <c r="BB41" s="69" t="str">
        <f>IF(ListLayout[[#This Row],[List Name for Layout]]="","nest_relation2",IFERROR(VLOOKUP(ListLayout[[#This Row],[Relation 2]],RelationTable[[Display]:[RELID]],2,0),""))</f>
        <v/>
      </c>
      <c r="BC41" s="107"/>
      <c r="BD41" s="107"/>
      <c r="BE41" s="107"/>
    </row>
    <row r="42" spans="1:57">
      <c r="A42" s="9" t="str">
        <f>'Table Seed Map'!$A$24&amp;"-"&amp;COUNTA($B$1:ResourceList[[#This Row],[Resource Name]])-1</f>
        <v>Resource Lists-40</v>
      </c>
      <c r="B42" s="62" t="s">
        <v>790</v>
      </c>
      <c r="C42" s="9" t="str">
        <f>ResourceList[[#This Row],[Resource Name]]&amp;"/"&amp;ResourceList[[#This Row],[Name]]</f>
        <v>OrderItemServiceUser/MyCompleted</v>
      </c>
      <c r="D42" s="16">
        <f>IF(ResourceList[[#This Row],[Resource Name]]="","id",COUNTA($B$2:ResourceList[[#This Row],[Resource Name]])+IF(ISNUMBER(VLOOKUP('Table Seed Map'!$A$24,SeedMap[],9,0)),VLOOKUP('Table Seed Map'!$A$24,SeedMap[],9,0),0))</f>
        <v>2123140</v>
      </c>
      <c r="E42" s="16">
        <f>IFERROR(VLOOKUP(ResourceList[[#This Row],[Resource Name]],ResourceTable[[RName]:[No]],3,0),"resource")</f>
        <v>2106123</v>
      </c>
      <c r="F42" s="14" t="s">
        <v>1947</v>
      </c>
      <c r="G42" s="14"/>
      <c r="H42" s="14" t="s">
        <v>1950</v>
      </c>
      <c r="I42" s="107" t="s">
        <v>23</v>
      </c>
      <c r="J42" s="107">
        <v>100</v>
      </c>
      <c r="K42" s="77">
        <f>[No]</f>
        <v>2123140</v>
      </c>
      <c r="M42" s="62" t="s">
        <v>1805</v>
      </c>
      <c r="N42" s="61">
        <f>VLOOKUP(ListExtras[[#This Row],[List Name]],ResourceList[[ListDisplayName]:[No]],2,0)</f>
        <v>2123127</v>
      </c>
      <c r="O42" s="60"/>
      <c r="P42" s="62" t="s">
        <v>1475</v>
      </c>
      <c r="Q42" s="60"/>
      <c r="R42" s="60"/>
      <c r="S42" s="60"/>
      <c r="T42" s="61" t="str">
        <f>'Table Seed Map'!$A$25&amp;"-"&amp;COUNT($W$1:ListExtras[[#This Row],[Scope ID]])</f>
        <v>List Scopes-7</v>
      </c>
      <c r="U42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2" s="68">
        <f>IF(ListExtras[[#This Row],[LID]]=0,"resource_list",ListExtras[[#This Row],[LID]])</f>
        <v>2123127</v>
      </c>
      <c r="W42" s="68" t="str">
        <f>IFERROR(VLOOKUP(ListExtras[[#This Row],[Scope Name]],ResourceScopes[[ScopesDisplayNames]:[No]],2,0),IF(ListExtras[[#This Row],[LID]]=0,"scope",""))</f>
        <v/>
      </c>
      <c r="X42" s="61" t="str">
        <f>'Table Seed Map'!$A$26&amp;"-"&amp;COUNT($AA$1:ListExtras[[#This Row],[Relation]])</f>
        <v>List Relation-37</v>
      </c>
      <c r="Y42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2125137</v>
      </c>
      <c r="Z42" s="68">
        <f>IF(ListExtras[[#This Row],[LID]]=0,"resource_list",ListExtras[[#This Row],[LID]])</f>
        <v>2123127</v>
      </c>
      <c r="AA42" s="68">
        <f>IFERROR(VLOOKUP(ListExtras[[#This Row],[Relation Name]],RelationTable[[Display]:[RELID]],2,0),IF(ListExtras[[#This Row],[LID]]=0,"relation",""))</f>
        <v>2109161</v>
      </c>
      <c r="AB42" s="68" t="str">
        <f>IFERROR(VLOOKUP(ListExtras[[#This Row],[R1 Name]],RelationTable[[Display]:[RELID]],2,0),IF(ListExtras[[#This Row],[LID]]=0,"nest_relation1",""))</f>
        <v/>
      </c>
      <c r="AC42" s="68" t="str">
        <f>IFERROR(VLOOKUP(ListExtras[[#This Row],[R2 Name]],RelationTable[[Display]:[RELID]],2,0),IF(ListExtras[[#This Row],[LID]]=0,"nest_relation2",""))</f>
        <v/>
      </c>
      <c r="AD42" s="68" t="str">
        <f>IFERROR(VLOOKUP(ListExtras[[#This Row],[R3 Name]],RelationTable[[Display]:[RELID]],2,0),IF(ListExtras[[#This Row],[LID]]=0,"nest_relation3",""))</f>
        <v/>
      </c>
      <c r="AT42" s="69" t="str">
        <f>'Table Seed Map'!$A$27&amp;"-"&amp;COUNTA($AV$1:ListLayout[[#This Row],[No]])-2</f>
        <v>List Layout-40</v>
      </c>
      <c r="AU42" s="62" t="s">
        <v>1466</v>
      </c>
      <c r="AV42" s="69">
        <f>IF(ListLayout[[#This Row],[List Name for Layout]]="","id",COUNTA($AU$2:ListLayout[[#This Row],[List Name for Layout]])+IF(ISNUMBER(VLOOKUP('Table Seed Map'!$A$27,SeedMap[],9,0)),VLOOKUP('Table Seed Map'!$A$27,SeedMap[],9,0),0))</f>
        <v>2126140</v>
      </c>
      <c r="AW42" s="69">
        <f>IFERROR(VLOOKUP(ListLayout[[#This Row],[List Name for Layout]],ResourceList[[ListDisplayName]:[No]],2,0),"resource_list")</f>
        <v>2123113</v>
      </c>
      <c r="AX42" s="69" t="s">
        <v>1467</v>
      </c>
      <c r="AY42" s="107" t="s">
        <v>1589</v>
      </c>
      <c r="AZ42" s="69">
        <f>IF(ListLayout[[#This Row],[List Name for Layout]]="","relation",IFERROR(VLOOKUP(ListLayout[[#This Row],[Relation]],RelationTable[[Display]:[RELID]],2,0),""))</f>
        <v>2109145</v>
      </c>
      <c r="BA42" s="69" t="str">
        <f>IF(ListLayout[[#This Row],[List Name for Layout]]="","nest_relation1",IFERROR(VLOOKUP(ListLayout[[#This Row],[Relation 1]],RelationTable[[Display]:[RELID]],2,0),""))</f>
        <v/>
      </c>
      <c r="BB42" s="69" t="str">
        <f>IF(ListLayout[[#This Row],[List Name for Layout]]="","nest_relation2",IFERROR(VLOOKUP(ListLayout[[#This Row],[Relation 2]],RelationTable[[Display]:[RELID]],2,0),""))</f>
        <v/>
      </c>
      <c r="BC42" s="107" t="s">
        <v>1469</v>
      </c>
      <c r="BD42" s="107"/>
      <c r="BE42" s="107"/>
    </row>
    <row r="43" spans="1:57" hidden="1">
      <c r="A43" s="63" t="str">
        <f>'Table Seed Map'!$A$24&amp;"-"&amp;COUNTA($B$1:ResourceList[[#This Row],[Resource Name]])-1</f>
        <v>Resource Lists-41</v>
      </c>
      <c r="B43" s="62" t="s">
        <v>787</v>
      </c>
      <c r="C43" s="63" t="str">
        <f>ResourceList[[#This Row],[Resource Name]]&amp;"/"&amp;ResourceList[[#This Row],[Name]]</f>
        <v>Order/ServiceCompletedOrders</v>
      </c>
      <c r="D43" s="69">
        <f>IF(ResourceList[[#This Row],[Resource Name]]="","id",COUNTA($B$2:ResourceList[[#This Row],[Resource Name]])+IF(ISNUMBER(VLOOKUP('Table Seed Map'!$A$24,SeedMap[],9,0)),VLOOKUP('Table Seed Map'!$A$24,SeedMap[],9,0),0))</f>
        <v>2123141</v>
      </c>
      <c r="E43" s="69">
        <f>IFERROR(VLOOKUP(ResourceList[[#This Row],[Resource Name]],ResourceTable[[RName]:[No]],3,0),"resource")</f>
        <v>2106118</v>
      </c>
      <c r="F43" s="107" t="s">
        <v>2004</v>
      </c>
      <c r="G43" s="107"/>
      <c r="H43" s="107" t="s">
        <v>905</v>
      </c>
      <c r="I43" s="107" t="s">
        <v>23</v>
      </c>
      <c r="J43" s="107">
        <v>30</v>
      </c>
      <c r="K43" s="67">
        <f>[No]</f>
        <v>2123141</v>
      </c>
      <c r="M43" s="62" t="s">
        <v>1830</v>
      </c>
      <c r="N43" s="63">
        <f>VLOOKUP(ListExtras[[#This Row],[List Name]],ResourceList[[ListDisplayName]:[No]],2,0)</f>
        <v>2123128</v>
      </c>
      <c r="O43" s="62" t="s">
        <v>1834</v>
      </c>
      <c r="P43" s="62" t="s">
        <v>1474</v>
      </c>
      <c r="Q43" s="62"/>
      <c r="R43" s="62"/>
      <c r="S43" s="62"/>
      <c r="T43" s="63" t="str">
        <f>'Table Seed Map'!$A$25&amp;"-"&amp;COUNT($W$1:ListExtras[[#This Row],[Scope ID]])</f>
        <v>List Scopes-8</v>
      </c>
      <c r="U4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2124108</v>
      </c>
      <c r="V43" s="69">
        <f>IF(ListExtras[[#This Row],[LID]]=0,"resource_list",ListExtras[[#This Row],[LID]])</f>
        <v>2123128</v>
      </c>
      <c r="W43" s="69">
        <f>IFERROR(VLOOKUP(ListExtras[[#This Row],[Scope Name]],ResourceScopes[[ScopesDisplayNames]:[No]],2,0),IF(ListExtras[[#This Row],[LID]]=0,"scope",""))</f>
        <v>2108112</v>
      </c>
      <c r="X43" s="63" t="str">
        <f>'Table Seed Map'!$A$26&amp;"-"&amp;COUNT($AA$1:ListExtras[[#This Row],[Relation]])</f>
        <v>List Relation-38</v>
      </c>
      <c r="Y4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2125138</v>
      </c>
      <c r="Z43" s="69">
        <f>IF(ListExtras[[#This Row],[LID]]=0,"resource_list",ListExtras[[#This Row],[LID]])</f>
        <v>2123128</v>
      </c>
      <c r="AA43" s="69">
        <f>IFERROR(VLOOKUP(ListExtras[[#This Row],[Relation Name]],RelationTable[[Display]:[RELID]],2,0),IF(ListExtras[[#This Row],[LID]]=0,"relation",""))</f>
        <v>2109162</v>
      </c>
      <c r="AB43" s="69" t="str">
        <f>IFERROR(VLOOKUP(ListExtras[[#This Row],[R1 Name]],RelationTable[[Display]:[RELID]],2,0),IF(ListExtras[[#This Row],[LID]]=0,"nest_relation1",""))</f>
        <v/>
      </c>
      <c r="AC43" s="69" t="str">
        <f>IFERROR(VLOOKUP(ListExtras[[#This Row],[R2 Name]],RelationTable[[Display]:[RELID]],2,0),IF(ListExtras[[#This Row],[LID]]=0,"nest_relation2",""))</f>
        <v/>
      </c>
      <c r="AD43" s="69" t="str">
        <f>IFERROR(VLOOKUP(ListExtras[[#This Row],[R3 Name]],RelationTable[[Display]:[RELID]],2,0),IF(ListExtras[[#This Row],[LID]]=0,"nest_relation3",""))</f>
        <v/>
      </c>
      <c r="AT43" s="69" t="str">
        <f>'Table Seed Map'!$A$27&amp;"-"&amp;COUNTA($AV$1:ListLayout[[#This Row],[No]])-2</f>
        <v>List Layout-41</v>
      </c>
      <c r="AU43" s="62" t="s">
        <v>1466</v>
      </c>
      <c r="AV43" s="69">
        <f>IF(ListLayout[[#This Row],[List Name for Layout]]="","id",COUNTA($AU$2:ListLayout[[#This Row],[List Name for Layout]])+IF(ISNUMBER(VLOOKUP('Table Seed Map'!$A$27,SeedMap[],9,0)),VLOOKUP('Table Seed Map'!$A$27,SeedMap[],9,0),0))</f>
        <v>2126141</v>
      </c>
      <c r="AW43" s="69">
        <f>IFERROR(VLOOKUP(ListLayout[[#This Row],[List Name for Layout]],ResourceList[[ListDisplayName]:[No]],2,0),"resource_list")</f>
        <v>2123113</v>
      </c>
      <c r="AX43" s="69" t="s">
        <v>1190</v>
      </c>
      <c r="AY43" s="107" t="s">
        <v>804</v>
      </c>
      <c r="AZ43" s="69" t="str">
        <f>IF(ListLayout[[#This Row],[List Name for Layout]]="","relation",IFERROR(VLOOKUP(ListLayout[[#This Row],[Relation]],RelationTable[[Display]:[RELID]],2,0),""))</f>
        <v/>
      </c>
      <c r="BA43" s="69" t="str">
        <f>IF(ListLayout[[#This Row],[List Name for Layout]]="","nest_relation1",IFERROR(VLOOKUP(ListLayout[[#This Row],[Relation 1]],RelationTable[[Display]:[RELID]],2,0),""))</f>
        <v/>
      </c>
      <c r="BB43" s="69" t="str">
        <f>IF(ListLayout[[#This Row],[List Name for Layout]]="","nest_relation2",IFERROR(VLOOKUP(ListLayout[[#This Row],[Relation 2]],RelationTable[[Display]:[RELID]],2,0),""))</f>
        <v/>
      </c>
      <c r="BC43" s="107"/>
      <c r="BD43" s="107"/>
      <c r="BE43" s="107"/>
    </row>
    <row r="44" spans="1:57" hidden="1">
      <c r="A44" s="63" t="str">
        <f>'Table Seed Map'!$A$24&amp;"-"&amp;COUNTA($B$1:ResourceList[[#This Row],[Resource Name]])-1</f>
        <v>Resource Lists-42</v>
      </c>
      <c r="B44" s="62" t="s">
        <v>789</v>
      </c>
      <c r="C44" s="63" t="str">
        <f>ResourceList[[#This Row],[Resource Name]]&amp;"/"&amp;ResourceList[[#This Row],[Name]]</f>
        <v>OrderItemService/OwnHubAssignableOISList</v>
      </c>
      <c r="D44" s="69">
        <f>IF(ResourceList[[#This Row],[Resource Name]]="","id",COUNTA($B$2:ResourceList[[#This Row],[Resource Name]])+IF(ISNUMBER(VLOOKUP('Table Seed Map'!$A$24,SeedMap[],9,0)),VLOOKUP('Table Seed Map'!$A$24,SeedMap[],9,0),0))</f>
        <v>2123142</v>
      </c>
      <c r="E44" s="69">
        <f>IFERROR(VLOOKUP(ResourceList[[#This Row],[Resource Name]],ResourceTable[[RName]:[No]],3,0),"resource")</f>
        <v>2106120</v>
      </c>
      <c r="F44" s="107" t="s">
        <v>2014</v>
      </c>
      <c r="G44" s="107"/>
      <c r="H44" s="107" t="s">
        <v>898</v>
      </c>
      <c r="I44" s="107" t="s">
        <v>23</v>
      </c>
      <c r="J44" s="107">
        <v>30</v>
      </c>
      <c r="K44" s="67">
        <f>[No]</f>
        <v>2123142</v>
      </c>
      <c r="M44" s="62" t="s">
        <v>1830</v>
      </c>
      <c r="N44" s="61">
        <f>VLOOKUP(ListExtras[[#This Row],[List Name]],ResourceList[[ListDisplayName]:[No]],2,0)</f>
        <v>2123128</v>
      </c>
      <c r="O44" s="60"/>
      <c r="P44" s="62" t="s">
        <v>1475</v>
      </c>
      <c r="Q44" s="60"/>
      <c r="R44" s="60"/>
      <c r="S44" s="60"/>
      <c r="T44" s="61" t="str">
        <f>'Table Seed Map'!$A$25&amp;"-"&amp;COUNT($W$1:ListExtras[[#This Row],[Scope ID]])</f>
        <v>List Scopes-8</v>
      </c>
      <c r="U44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4" s="68">
        <f>IF(ListExtras[[#This Row],[LID]]=0,"resource_list",ListExtras[[#This Row],[LID]])</f>
        <v>2123128</v>
      </c>
      <c r="W44" s="68" t="str">
        <f>IFERROR(VLOOKUP(ListExtras[[#This Row],[Scope Name]],ResourceScopes[[ScopesDisplayNames]:[No]],2,0),IF(ListExtras[[#This Row],[LID]]=0,"scope",""))</f>
        <v/>
      </c>
      <c r="X44" s="61" t="str">
        <f>'Table Seed Map'!$A$26&amp;"-"&amp;COUNT($AA$1:ListExtras[[#This Row],[Relation]])</f>
        <v>List Relation-39</v>
      </c>
      <c r="Y44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2125139</v>
      </c>
      <c r="Z44" s="68">
        <f>IF(ListExtras[[#This Row],[LID]]=0,"resource_list",ListExtras[[#This Row],[LID]])</f>
        <v>2123128</v>
      </c>
      <c r="AA44" s="68">
        <f>IFERROR(VLOOKUP(ListExtras[[#This Row],[Relation Name]],RelationTable[[Display]:[RELID]],2,0),IF(ListExtras[[#This Row],[LID]]=0,"relation",""))</f>
        <v>2109161</v>
      </c>
      <c r="AB44" s="68" t="str">
        <f>IFERROR(VLOOKUP(ListExtras[[#This Row],[R1 Name]],RelationTable[[Display]:[RELID]],2,0),IF(ListExtras[[#This Row],[LID]]=0,"nest_relation1",""))</f>
        <v/>
      </c>
      <c r="AC44" s="68" t="str">
        <f>IFERROR(VLOOKUP(ListExtras[[#This Row],[R2 Name]],RelationTable[[Display]:[RELID]],2,0),IF(ListExtras[[#This Row],[LID]]=0,"nest_relation2",""))</f>
        <v/>
      </c>
      <c r="AD44" s="68" t="str">
        <f>IFERROR(VLOOKUP(ListExtras[[#This Row],[R3 Name]],RelationTable[[Display]:[RELID]],2,0),IF(ListExtras[[#This Row],[LID]]=0,"nest_relation3",""))</f>
        <v/>
      </c>
      <c r="AT44" s="69" t="str">
        <f>'Table Seed Map'!$A$27&amp;"-"&amp;COUNTA($AV$1:ListLayout[[#This Row],[No]])-2</f>
        <v>List Layout-42</v>
      </c>
      <c r="AU44" s="62" t="s">
        <v>1470</v>
      </c>
      <c r="AV44" s="69">
        <f>IF(ListLayout[[#This Row],[List Name for Layout]]="","id",COUNTA($AU$2:ListLayout[[#This Row],[List Name for Layout]])+IF(ISNUMBER(VLOOKUP('Table Seed Map'!$A$27,SeedMap[],9,0)),VLOOKUP('Table Seed Map'!$A$27,SeedMap[],9,0),0))</f>
        <v>2126142</v>
      </c>
      <c r="AW44" s="69">
        <f>IFERROR(VLOOKUP(ListLayout[[#This Row],[List Name for Layout]],ResourceList[[ListDisplayName]:[No]],2,0),"resource_list")</f>
        <v>2123114</v>
      </c>
      <c r="AX44" s="69" t="s">
        <v>307</v>
      </c>
      <c r="AY44" s="107" t="s">
        <v>21</v>
      </c>
      <c r="AZ44" s="69" t="str">
        <f>IF(ListLayout[[#This Row],[List Name for Layout]]="","relation",IFERROR(VLOOKUP(ListLayout[[#This Row],[Relation]],RelationTable[[Display]:[RELID]],2,0),""))</f>
        <v/>
      </c>
      <c r="BA44" s="69" t="str">
        <f>IF(ListLayout[[#This Row],[List Name for Layout]]="","nest_relation1",IFERROR(VLOOKUP(ListLayout[[#This Row],[Relation 1]],RelationTable[[Display]:[RELID]],2,0),""))</f>
        <v/>
      </c>
      <c r="BB44" s="69" t="str">
        <f>IF(ListLayout[[#This Row],[List Name for Layout]]="","nest_relation2",IFERROR(VLOOKUP(ListLayout[[#This Row],[Relation 2]],RelationTable[[Display]:[RELID]],2,0),""))</f>
        <v/>
      </c>
      <c r="BC44" s="107"/>
      <c r="BD44" s="107"/>
      <c r="BE44" s="107"/>
    </row>
    <row r="45" spans="1:57" hidden="1">
      <c r="A45" s="63" t="str">
        <f>'Table Seed Map'!$A$24&amp;"-"&amp;COUNTA($B$1:ResourceList[[#This Row],[Resource Name]])-1</f>
        <v>Resource Lists-43</v>
      </c>
      <c r="B45" s="62" t="s">
        <v>787</v>
      </c>
      <c r="C45" s="63" t="str">
        <f>ResourceList[[#This Row],[Resource Name]]&amp;"/"&amp;ResourceList[[#This Row],[Name]]</f>
        <v>Order/UndeliveredOwnHubOrders</v>
      </c>
      <c r="D45" s="69">
        <f>IF(ResourceList[[#This Row],[Resource Name]]="","id",COUNTA($B$2:ResourceList[[#This Row],[Resource Name]])+IF(ISNUMBER(VLOOKUP('Table Seed Map'!$A$24,SeedMap[],9,0)),VLOOKUP('Table Seed Map'!$A$24,SeedMap[],9,0),0))</f>
        <v>2123143</v>
      </c>
      <c r="E45" s="69">
        <f>IFERROR(VLOOKUP(ResourceList[[#This Row],[Resource Name]],ResourceTable[[RName]:[No]],3,0),"resource")</f>
        <v>2106118</v>
      </c>
      <c r="F45" s="107" t="s">
        <v>2020</v>
      </c>
      <c r="G45" s="107"/>
      <c r="H45" s="107" t="s">
        <v>905</v>
      </c>
      <c r="I45" s="107" t="s">
        <v>23</v>
      </c>
      <c r="J45" s="107">
        <v>100</v>
      </c>
      <c r="K45" s="67">
        <f>[No]</f>
        <v>2123143</v>
      </c>
      <c r="M45" s="62" t="s">
        <v>1470</v>
      </c>
      <c r="N45" s="63">
        <f>VLOOKUP(ListExtras[[#This Row],[List Name]],ResourceList[[ListDisplayName]:[No]],2,0)</f>
        <v>2123114</v>
      </c>
      <c r="O45" s="62"/>
      <c r="P45" s="62" t="s">
        <v>1842</v>
      </c>
      <c r="Q45" s="62"/>
      <c r="R45" s="62"/>
      <c r="S45" s="62"/>
      <c r="T45" s="63" t="str">
        <f>'Table Seed Map'!$A$25&amp;"-"&amp;COUNT($W$1:ListExtras[[#This Row],[Scope ID]])</f>
        <v>List Scopes-8</v>
      </c>
      <c r="U4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5" s="69">
        <f>IF(ListExtras[[#This Row],[LID]]=0,"resource_list",ListExtras[[#This Row],[LID]])</f>
        <v>2123114</v>
      </c>
      <c r="W45" s="69" t="str">
        <f>IFERROR(VLOOKUP(ListExtras[[#This Row],[Scope Name]],ResourceScopes[[ScopesDisplayNames]:[No]],2,0),IF(ListExtras[[#This Row],[LID]]=0,"scope",""))</f>
        <v/>
      </c>
      <c r="X45" s="63" t="str">
        <f>'Table Seed Map'!$A$26&amp;"-"&amp;COUNT($AA$1:ListExtras[[#This Row],[Relation]])</f>
        <v>List Relation-40</v>
      </c>
      <c r="Y4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2125140</v>
      </c>
      <c r="Z45" s="69">
        <f>IF(ListExtras[[#This Row],[LID]]=0,"resource_list",ListExtras[[#This Row],[LID]])</f>
        <v>2123114</v>
      </c>
      <c r="AA45" s="69">
        <f>IFERROR(VLOOKUP(ListExtras[[#This Row],[Relation Name]],RelationTable[[Display]:[RELID]],2,0),IF(ListExtras[[#This Row],[LID]]=0,"relation",""))</f>
        <v>2109148</v>
      </c>
      <c r="AB45" s="69" t="str">
        <f>IFERROR(VLOOKUP(ListExtras[[#This Row],[R1 Name]],RelationTable[[Display]:[RELID]],2,0),IF(ListExtras[[#This Row],[LID]]=0,"nest_relation1",""))</f>
        <v/>
      </c>
      <c r="AC45" s="69" t="str">
        <f>IFERROR(VLOOKUP(ListExtras[[#This Row],[R2 Name]],RelationTable[[Display]:[RELID]],2,0),IF(ListExtras[[#This Row],[LID]]=0,"nest_relation2",""))</f>
        <v/>
      </c>
      <c r="AD45" s="69" t="str">
        <f>IFERROR(VLOOKUP(ListExtras[[#This Row],[R3 Name]],RelationTable[[Display]:[RELID]],2,0),IF(ListExtras[[#This Row],[LID]]=0,"nest_relation3",""))</f>
        <v/>
      </c>
      <c r="AT45" s="69" t="str">
        <f>'Table Seed Map'!$A$27&amp;"-"&amp;COUNTA($AV$1:ListLayout[[#This Row],[No]])-2</f>
        <v>List Layout-43</v>
      </c>
      <c r="AU45" s="62" t="s">
        <v>1470</v>
      </c>
      <c r="AV45" s="69">
        <f>IF(ListLayout[[#This Row],[List Name for Layout]]="","id",COUNTA($AU$2:ListLayout[[#This Row],[List Name for Layout]])+IF(ISNUMBER(VLOOKUP('Table Seed Map'!$A$27,SeedMap[],9,0)),VLOOKUP('Table Seed Map'!$A$27,SeedMap[],9,0),0))</f>
        <v>2126143</v>
      </c>
      <c r="AW45" s="69">
        <f>IFERROR(VLOOKUP(ListLayout[[#This Row],[List Name for Layout]],ResourceList[[ListDisplayName]:[No]],2,0),"resource_list")</f>
        <v>2123114</v>
      </c>
      <c r="AX45" s="69" t="s">
        <v>785</v>
      </c>
      <c r="AY45" s="107" t="s">
        <v>23</v>
      </c>
      <c r="AZ45" s="69">
        <f>IF(ListLayout[[#This Row],[List Name for Layout]]="","relation",IFERROR(VLOOKUP(ListLayout[[#This Row],[Relation]],RelationTable[[Display]:[RELID]],2,0),""))</f>
        <v>2109147</v>
      </c>
      <c r="BA45" s="69" t="str">
        <f>IF(ListLayout[[#This Row],[List Name for Layout]]="","nest_relation1",IFERROR(VLOOKUP(ListLayout[[#This Row],[Relation 1]],RelationTable[[Display]:[RELID]],2,0),""))</f>
        <v/>
      </c>
      <c r="BB45" s="69" t="str">
        <f>IF(ListLayout[[#This Row],[List Name for Layout]]="","nest_relation2",IFERROR(VLOOKUP(ListLayout[[#This Row],[Relation 2]],RelationTable[[Display]:[RELID]],2,0),""))</f>
        <v/>
      </c>
      <c r="BC45" s="107" t="s">
        <v>1472</v>
      </c>
      <c r="BD45" s="107"/>
      <c r="BE45" s="107"/>
    </row>
    <row r="46" spans="1:57" hidden="1">
      <c r="A46" s="63" t="str">
        <f>'Table Seed Map'!$A$24&amp;"-"&amp;COUNTA($B$1:ResourceList[[#This Row],[Resource Name]])-1</f>
        <v>Resource Lists-44</v>
      </c>
      <c r="B46" s="62" t="s">
        <v>788</v>
      </c>
      <c r="C46" s="63" t="str">
        <f>ResourceList[[#This Row],[Resource Name]]&amp;"/"&amp;ResourceList[[#This Row],[Name]]</f>
        <v>OrderItem/UndeliveredOwnHubOrderItems</v>
      </c>
      <c r="D46" s="69">
        <f>IF(ResourceList[[#This Row],[Resource Name]]="","id",COUNTA($B$2:ResourceList[[#This Row],[Resource Name]])+IF(ISNUMBER(VLOOKUP('Table Seed Map'!$A$24,SeedMap[],9,0)),VLOOKUP('Table Seed Map'!$A$24,SeedMap[],9,0),0))</f>
        <v>2123144</v>
      </c>
      <c r="E46" s="69">
        <f>IFERROR(VLOOKUP(ResourceList[[#This Row],[Resource Name]],ResourceTable[[RName]:[No]],3,0),"resource")</f>
        <v>2106119</v>
      </c>
      <c r="F46" s="107" t="s">
        <v>2028</v>
      </c>
      <c r="G46" s="107"/>
      <c r="H46" s="107" t="s">
        <v>906</v>
      </c>
      <c r="I46" s="107" t="s">
        <v>23</v>
      </c>
      <c r="J46" s="107">
        <v>100</v>
      </c>
      <c r="K46" s="67">
        <f>[No]</f>
        <v>2123144</v>
      </c>
      <c r="M46" s="62" t="s">
        <v>1627</v>
      </c>
      <c r="N46" s="63">
        <f>VLOOKUP(ListExtras[[#This Row],[List Name]],ResourceList[[ListDisplayName]:[No]],2,0)</f>
        <v>2123121</v>
      </c>
      <c r="O46" s="62"/>
      <c r="P46" s="62" t="s">
        <v>1251</v>
      </c>
      <c r="Q46" s="62"/>
      <c r="R46" s="62"/>
      <c r="S46" s="62"/>
      <c r="T46" s="63" t="str">
        <f>'Table Seed Map'!$A$25&amp;"-"&amp;COUNT($W$1:ListExtras[[#This Row],[Scope ID]])</f>
        <v>List Scopes-8</v>
      </c>
      <c r="U4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6" s="69">
        <f>IF(ListExtras[[#This Row],[LID]]=0,"resource_list",ListExtras[[#This Row],[LID]])</f>
        <v>2123121</v>
      </c>
      <c r="W46" s="69" t="str">
        <f>IFERROR(VLOOKUP(ListExtras[[#This Row],[Scope Name]],ResourceScopes[[ScopesDisplayNames]:[No]],2,0),IF(ListExtras[[#This Row],[LID]]=0,"scope",""))</f>
        <v/>
      </c>
      <c r="X46" s="63" t="str">
        <f>'Table Seed Map'!$A$26&amp;"-"&amp;COUNT($AA$1:ListExtras[[#This Row],[Relation]])</f>
        <v>List Relation-41</v>
      </c>
      <c r="Y4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2125141</v>
      </c>
      <c r="Z46" s="69">
        <f>IF(ListExtras[[#This Row],[LID]]=0,"resource_list",ListExtras[[#This Row],[LID]])</f>
        <v>2123121</v>
      </c>
      <c r="AA46" s="69">
        <f>IFERROR(VLOOKUP(ListExtras[[#This Row],[Relation Name]],RelationTable[[Display]:[RELID]],2,0),IF(ListExtras[[#This Row],[LID]]=0,"relation",""))</f>
        <v>2109188</v>
      </c>
      <c r="AB46" s="69" t="str">
        <f>IFERROR(VLOOKUP(ListExtras[[#This Row],[R1 Name]],RelationTable[[Display]:[RELID]],2,0),IF(ListExtras[[#This Row],[LID]]=0,"nest_relation1",""))</f>
        <v/>
      </c>
      <c r="AC46" s="69" t="str">
        <f>IFERROR(VLOOKUP(ListExtras[[#This Row],[R2 Name]],RelationTable[[Display]:[RELID]],2,0),IF(ListExtras[[#This Row],[LID]]=0,"nest_relation2",""))</f>
        <v/>
      </c>
      <c r="AD46" s="69" t="str">
        <f>IFERROR(VLOOKUP(ListExtras[[#This Row],[R3 Name]],RelationTable[[Display]:[RELID]],2,0),IF(ListExtras[[#This Row],[LID]]=0,"nest_relation3",""))</f>
        <v/>
      </c>
      <c r="AT46" s="69" t="str">
        <f>'Table Seed Map'!$A$27&amp;"-"&amp;COUNTA($AV$1:ListLayout[[#This Row],[No]])-2</f>
        <v>List Layout-44</v>
      </c>
      <c r="AU46" s="62" t="s">
        <v>1470</v>
      </c>
      <c r="AV46" s="69">
        <f>IF(ListLayout[[#This Row],[List Name for Layout]]="","id",COUNTA($AU$2:ListLayout[[#This Row],[List Name for Layout]])+IF(ISNUMBER(VLOOKUP('Table Seed Map'!$A$27,SeedMap[],9,0)),VLOOKUP('Table Seed Map'!$A$27,SeedMap[],9,0),0))</f>
        <v>2126144</v>
      </c>
      <c r="AW46" s="69">
        <f>IFERROR(VLOOKUP(ListLayout[[#This Row],[List Name for Layout]],ResourceList[[ListDisplayName]:[No]],2,0),"resource_list")</f>
        <v>2123114</v>
      </c>
      <c r="AX46" s="69" t="s">
        <v>777</v>
      </c>
      <c r="AY46" s="107" t="s">
        <v>23</v>
      </c>
      <c r="AZ46" s="69">
        <f>IF(ListLayout[[#This Row],[List Name for Layout]]="","relation",IFERROR(VLOOKUP(ListLayout[[#This Row],[Relation]],RelationTable[[Display]:[RELID]],2,0),""))</f>
        <v>2109148</v>
      </c>
      <c r="BA46" s="69" t="str">
        <f>IF(ListLayout[[#This Row],[List Name for Layout]]="","nest_relation1",IFERROR(VLOOKUP(ListLayout[[#This Row],[Relation 1]],RelationTable[[Display]:[RELID]],2,0),""))</f>
        <v/>
      </c>
      <c r="BB46" s="69" t="str">
        <f>IF(ListLayout[[#This Row],[List Name for Layout]]="","nest_relation2",IFERROR(VLOOKUP(ListLayout[[#This Row],[Relation 2]],RelationTable[[Display]:[RELID]],2,0),""))</f>
        <v/>
      </c>
      <c r="BC46" s="107" t="s">
        <v>1842</v>
      </c>
      <c r="BD46" s="107"/>
      <c r="BE46" s="107"/>
    </row>
    <row r="47" spans="1:57" hidden="1">
      <c r="A47" s="63" t="str">
        <f>'Table Seed Map'!$A$24&amp;"-"&amp;COUNTA($B$1:ResourceList[[#This Row],[Resource Name]])-1</f>
        <v>Resource Lists-45</v>
      </c>
      <c r="B47" s="62" t="s">
        <v>893</v>
      </c>
      <c r="C47" s="63" t="str">
        <f>ResourceList[[#This Row],[Resource Name]]&amp;"/"&amp;ResourceList[[#This Row],[Name]]</f>
        <v>Invoice/OwnInvoiceList</v>
      </c>
      <c r="D47" s="69">
        <f>IF(ResourceList[[#This Row],[Resource Name]]="","id",COUNTA($B$2:ResourceList[[#This Row],[Resource Name]])+IF(ISNUMBER(VLOOKUP('Table Seed Map'!$A$24,SeedMap[],9,0)),VLOOKUP('Table Seed Map'!$A$24,SeedMap[],9,0),0))</f>
        <v>2123145</v>
      </c>
      <c r="E47" s="69">
        <f>IFERROR(VLOOKUP(ResourceList[[#This Row],[Resource Name]],ResourceTable[[RName]:[No]],3,0),"resource")</f>
        <v>2106121</v>
      </c>
      <c r="F47" s="107" t="s">
        <v>2040</v>
      </c>
      <c r="G47" s="107"/>
      <c r="H47" s="107" t="s">
        <v>908</v>
      </c>
      <c r="I47" s="107" t="s">
        <v>21</v>
      </c>
      <c r="J47" s="107">
        <v>100</v>
      </c>
      <c r="K47" s="67">
        <f>[No]</f>
        <v>2123145</v>
      </c>
      <c r="M47" s="62" t="s">
        <v>1627</v>
      </c>
      <c r="N47" s="63">
        <f>VLOOKUP(ListExtras[[#This Row],[List Name]],ResourceList[[ListDisplayName]:[No]],2,0)</f>
        <v>2123121</v>
      </c>
      <c r="O47" s="62"/>
      <c r="P47" s="62" t="s">
        <v>1848</v>
      </c>
      <c r="Q47" s="62"/>
      <c r="R47" s="62"/>
      <c r="S47" s="62"/>
      <c r="T47" s="63" t="str">
        <f>'Table Seed Map'!$A$25&amp;"-"&amp;COUNT($W$1:ListExtras[[#This Row],[Scope ID]])</f>
        <v>List Scopes-8</v>
      </c>
      <c r="U4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7" s="69">
        <f>IF(ListExtras[[#This Row],[LID]]=0,"resource_list",ListExtras[[#This Row],[LID]])</f>
        <v>2123121</v>
      </c>
      <c r="W47" s="69" t="str">
        <f>IFERROR(VLOOKUP(ListExtras[[#This Row],[Scope Name]],ResourceScopes[[ScopesDisplayNames]:[No]],2,0),IF(ListExtras[[#This Row],[LID]]=0,"scope",""))</f>
        <v/>
      </c>
      <c r="X47" s="63" t="str">
        <f>'Table Seed Map'!$A$26&amp;"-"&amp;COUNT($AA$1:ListExtras[[#This Row],[Relation]])</f>
        <v>List Relation-42</v>
      </c>
      <c r="Y4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2125142</v>
      </c>
      <c r="Z47" s="69">
        <f>IF(ListExtras[[#This Row],[LID]]=0,"resource_list",ListExtras[[#This Row],[LID]])</f>
        <v>2123121</v>
      </c>
      <c r="AA47" s="69">
        <f>IFERROR(VLOOKUP(ListExtras[[#This Row],[Relation Name]],RelationTable[[Display]:[RELID]],2,0),IF(ListExtras[[#This Row],[LID]]=0,"relation",""))</f>
        <v>2109194</v>
      </c>
      <c r="AB47" s="69" t="str">
        <f>IFERROR(VLOOKUP(ListExtras[[#This Row],[R1 Name]],RelationTable[[Display]:[RELID]],2,0),IF(ListExtras[[#This Row],[LID]]=0,"nest_relation1",""))</f>
        <v/>
      </c>
      <c r="AC47" s="69" t="str">
        <f>IFERROR(VLOOKUP(ListExtras[[#This Row],[R2 Name]],RelationTable[[Display]:[RELID]],2,0),IF(ListExtras[[#This Row],[LID]]=0,"nest_relation2",""))</f>
        <v/>
      </c>
      <c r="AD47" s="69" t="str">
        <f>IFERROR(VLOOKUP(ListExtras[[#This Row],[R3 Name]],RelationTable[[Display]:[RELID]],2,0),IF(ListExtras[[#This Row],[LID]]=0,"nest_relation3",""))</f>
        <v/>
      </c>
      <c r="AT47" s="69" t="str">
        <f>'Table Seed Map'!$A$27&amp;"-"&amp;COUNTA($AV$1:ListLayout[[#This Row],[No]])-2</f>
        <v>List Layout-45</v>
      </c>
      <c r="AU47" s="62" t="s">
        <v>1470</v>
      </c>
      <c r="AV47" s="69">
        <f>IF(ListLayout[[#This Row],[List Name for Layout]]="","id",COUNTA($AU$2:ListLayout[[#This Row],[List Name for Layout]])+IF(ISNUMBER(VLOOKUP('Table Seed Map'!$A$27,SeedMap[],9,0)),VLOOKUP('Table Seed Map'!$A$27,SeedMap[],9,0),0))</f>
        <v>2126145</v>
      </c>
      <c r="AW47" s="69">
        <f>IFERROR(VLOOKUP(ListLayout[[#This Row],[List Name for Layout]],ResourceList[[ListDisplayName]:[No]],2,0),"resource_list")</f>
        <v>2123114</v>
      </c>
      <c r="AX47" s="69" t="s">
        <v>1331</v>
      </c>
      <c r="AY47" s="107" t="s">
        <v>827</v>
      </c>
      <c r="AZ47" s="69" t="str">
        <f>IF(ListLayout[[#This Row],[List Name for Layout]]="","relation",IFERROR(VLOOKUP(ListLayout[[#This Row],[Relation]],RelationTable[[Display]:[RELID]],2,0),""))</f>
        <v/>
      </c>
      <c r="BA47" s="69" t="str">
        <f>IF(ListLayout[[#This Row],[List Name for Layout]]="","nest_relation1",IFERROR(VLOOKUP(ListLayout[[#This Row],[Relation 1]],RelationTable[[Display]:[RELID]],2,0),""))</f>
        <v/>
      </c>
      <c r="BB47" s="69" t="str">
        <f>IF(ListLayout[[#This Row],[List Name for Layout]]="","nest_relation2",IFERROR(VLOOKUP(ListLayout[[#This Row],[Relation 2]],RelationTable[[Display]:[RELID]],2,0),""))</f>
        <v/>
      </c>
      <c r="BC47" s="107"/>
      <c r="BD47" s="107"/>
      <c r="BE47" s="107"/>
    </row>
    <row r="48" spans="1:57" hidden="1">
      <c r="A48" s="63" t="str">
        <f>'Table Seed Map'!$A$24&amp;"-"&amp;COUNTA($B$1:ResourceList[[#This Row],[Resource Name]])-1</f>
        <v>Resource Lists-46</v>
      </c>
      <c r="B48" s="62" t="s">
        <v>893</v>
      </c>
      <c r="C48" s="63" t="str">
        <f>ResourceList[[#This Row],[Resource Name]]&amp;"/"&amp;ResourceList[[#This Row],[Name]]</f>
        <v>Invoice/OwnUnPaidInvoices</v>
      </c>
      <c r="D48" s="69">
        <f>IF(ResourceList[[#This Row],[Resource Name]]="","id",COUNTA($B$2:ResourceList[[#This Row],[Resource Name]])+IF(ISNUMBER(VLOOKUP('Table Seed Map'!$A$24,SeedMap[],9,0)),VLOOKUP('Table Seed Map'!$A$24,SeedMap[],9,0),0))</f>
        <v>2123146</v>
      </c>
      <c r="E48" s="69">
        <f>IFERROR(VLOOKUP(ResourceList[[#This Row],[Resource Name]],ResourceTable[[RName]:[No]],3,0),"resource")</f>
        <v>2106121</v>
      </c>
      <c r="F48" s="107" t="s">
        <v>2043</v>
      </c>
      <c r="G48" s="107"/>
      <c r="H48" s="107" t="s">
        <v>2044</v>
      </c>
      <c r="I48" s="107" t="s">
        <v>21</v>
      </c>
      <c r="J48" s="107">
        <v>100</v>
      </c>
      <c r="K48" s="67">
        <f>[No]</f>
        <v>2123146</v>
      </c>
      <c r="M48" s="62" t="s">
        <v>1850</v>
      </c>
      <c r="N48" s="63">
        <f>VLOOKUP(ListExtras[[#This Row],[List Name]],ResourceList[[ListDisplayName]:[No]],2,0)</f>
        <v>2123106</v>
      </c>
      <c r="O48" s="62" t="s">
        <v>1851</v>
      </c>
      <c r="P48" s="62" t="s">
        <v>1454</v>
      </c>
      <c r="Q48" s="62"/>
      <c r="R48" s="62"/>
      <c r="S48" s="62"/>
      <c r="T48" s="63" t="str">
        <f>'Table Seed Map'!$A$25&amp;"-"&amp;COUNT($W$1:ListExtras[[#This Row],[Scope ID]])</f>
        <v>List Scopes-9</v>
      </c>
      <c r="U4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2124109</v>
      </c>
      <c r="V48" s="69">
        <f>IF(ListExtras[[#This Row],[LID]]=0,"resource_list",ListExtras[[#This Row],[LID]])</f>
        <v>2123106</v>
      </c>
      <c r="W48" s="69">
        <f>IFERROR(VLOOKUP(ListExtras[[#This Row],[Scope Name]],ResourceScopes[[ScopesDisplayNames]:[No]],2,0),IF(ListExtras[[#This Row],[LID]]=0,"scope",""))</f>
        <v>2108104</v>
      </c>
      <c r="X48" s="63" t="str">
        <f>'Table Seed Map'!$A$26&amp;"-"&amp;COUNT($AA$1:ListExtras[[#This Row],[Relation]])</f>
        <v>List Relation-43</v>
      </c>
      <c r="Y4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2125143</v>
      </c>
      <c r="Z48" s="69">
        <f>IF(ListExtras[[#This Row],[LID]]=0,"resource_list",ListExtras[[#This Row],[LID]])</f>
        <v>2123106</v>
      </c>
      <c r="AA48" s="69">
        <f>IFERROR(VLOOKUP(ListExtras[[#This Row],[Relation Name]],RelationTable[[Display]:[RELID]],2,0),IF(ListExtras[[#This Row],[LID]]=0,"relation",""))</f>
        <v>2109106</v>
      </c>
      <c r="AB48" s="69" t="str">
        <f>IFERROR(VLOOKUP(ListExtras[[#This Row],[R1 Name]],RelationTable[[Display]:[RELID]],2,0),IF(ListExtras[[#This Row],[LID]]=0,"nest_relation1",""))</f>
        <v/>
      </c>
      <c r="AC48" s="69" t="str">
        <f>IFERROR(VLOOKUP(ListExtras[[#This Row],[R2 Name]],RelationTable[[Display]:[RELID]],2,0),IF(ListExtras[[#This Row],[LID]]=0,"nest_relation2",""))</f>
        <v/>
      </c>
      <c r="AD48" s="69" t="str">
        <f>IFERROR(VLOOKUP(ListExtras[[#This Row],[R3 Name]],RelationTable[[Display]:[RELID]],2,0),IF(ListExtras[[#This Row],[LID]]=0,"nest_relation3",""))</f>
        <v/>
      </c>
      <c r="AT48" s="69" t="str">
        <f>'Table Seed Map'!$A$27&amp;"-"&amp;COUNTA($AV$1:ListLayout[[#This Row],[No]])-2</f>
        <v>List Layout-46</v>
      </c>
      <c r="AU48" s="62" t="s">
        <v>1470</v>
      </c>
      <c r="AV48" s="69">
        <f>IF(ListLayout[[#This Row],[List Name for Layout]]="","id",COUNTA($AU$2:ListLayout[[#This Row],[List Name for Layout]])+IF(ISNUMBER(VLOOKUP('Table Seed Map'!$A$27,SeedMap[],9,0)),VLOOKUP('Table Seed Map'!$A$27,SeedMap[],9,0),0))</f>
        <v>2126146</v>
      </c>
      <c r="AW48" s="69">
        <f>IFERROR(VLOOKUP(ListLayout[[#This Row],[List Name for Layout]],ResourceList[[ListDisplayName]:[No]],2,0),"resource_list")</f>
        <v>2123114</v>
      </c>
      <c r="AX48" s="69" t="s">
        <v>1471</v>
      </c>
      <c r="AY48" s="107" t="s">
        <v>882</v>
      </c>
      <c r="AZ48" s="69" t="str">
        <f>IF(ListLayout[[#This Row],[List Name for Layout]]="","relation",IFERROR(VLOOKUP(ListLayout[[#This Row],[Relation]],RelationTable[[Display]:[RELID]],2,0),""))</f>
        <v/>
      </c>
      <c r="BA48" s="69" t="str">
        <f>IF(ListLayout[[#This Row],[List Name for Layout]]="","nest_relation1",IFERROR(VLOOKUP(ListLayout[[#This Row],[Relation 1]],RelationTable[[Display]:[RELID]],2,0),""))</f>
        <v/>
      </c>
      <c r="BB48" s="69" t="str">
        <f>IF(ListLayout[[#This Row],[List Name for Layout]]="","nest_relation2",IFERROR(VLOOKUP(ListLayout[[#This Row],[Relation 2]],RelationTable[[Display]:[RELID]],2,0),""))</f>
        <v/>
      </c>
      <c r="BC48" s="107"/>
      <c r="BD48" s="107"/>
      <c r="BE48" s="107"/>
    </row>
    <row r="49" spans="1:57" hidden="1">
      <c r="A49" s="63" t="str">
        <f>'Table Seed Map'!$A$24&amp;"-"&amp;COUNTA($B$1:ResourceList[[#This Row],[Resource Name]])-1</f>
        <v>Resource Lists-47</v>
      </c>
      <c r="B49" s="62" t="s">
        <v>893</v>
      </c>
      <c r="C49" s="63" t="str">
        <f>ResourceList[[#This Row],[Resource Name]]&amp;"/"&amp;ResourceList[[#This Row],[Name]]</f>
        <v>Invoice/OwnPaidInvoices</v>
      </c>
      <c r="D49" s="69">
        <f>IF(ResourceList[[#This Row],[Resource Name]]="","id",COUNTA($B$2:ResourceList[[#This Row],[Resource Name]])+IF(ISNUMBER(VLOOKUP('Table Seed Map'!$A$24,SeedMap[],9,0)),VLOOKUP('Table Seed Map'!$A$24,SeedMap[],9,0),0))</f>
        <v>2123147</v>
      </c>
      <c r="E49" s="69">
        <f>IFERROR(VLOOKUP(ResourceList[[#This Row],[Resource Name]],ResourceTable[[RName]:[No]],3,0),"resource")</f>
        <v>2106121</v>
      </c>
      <c r="F49" s="107" t="s">
        <v>2045</v>
      </c>
      <c r="G49" s="107"/>
      <c r="H49" s="107" t="s">
        <v>1829</v>
      </c>
      <c r="I49" s="107" t="s">
        <v>21</v>
      </c>
      <c r="J49" s="107">
        <v>100</v>
      </c>
      <c r="K49" s="67">
        <f>[No]</f>
        <v>2123147</v>
      </c>
      <c r="M49" s="62" t="s">
        <v>1850</v>
      </c>
      <c r="N49" s="63">
        <f>VLOOKUP(ListExtras[[#This Row],[List Name]],ResourceList[[ListDisplayName]:[No]],2,0)</f>
        <v>2123106</v>
      </c>
      <c r="O49" s="62"/>
      <c r="P49" s="62" t="s">
        <v>1453</v>
      </c>
      <c r="Q49" s="62"/>
      <c r="R49" s="62"/>
      <c r="S49" s="62"/>
      <c r="T49" s="63" t="str">
        <f>'Table Seed Map'!$A$25&amp;"-"&amp;COUNT($W$1:ListExtras[[#This Row],[Scope ID]])</f>
        <v>List Scopes-9</v>
      </c>
      <c r="U4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9" s="69">
        <f>IF(ListExtras[[#This Row],[LID]]=0,"resource_list",ListExtras[[#This Row],[LID]])</f>
        <v>2123106</v>
      </c>
      <c r="W49" s="69" t="str">
        <f>IFERROR(VLOOKUP(ListExtras[[#This Row],[Scope Name]],ResourceScopes[[ScopesDisplayNames]:[No]],2,0),IF(ListExtras[[#This Row],[LID]]=0,"scope",""))</f>
        <v/>
      </c>
      <c r="X49" s="63" t="str">
        <f>'Table Seed Map'!$A$26&amp;"-"&amp;COUNT($AA$1:ListExtras[[#This Row],[Relation]])</f>
        <v>List Relation-44</v>
      </c>
      <c r="Y4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2125144</v>
      </c>
      <c r="Z49" s="69">
        <f>IF(ListExtras[[#This Row],[LID]]=0,"resource_list",ListExtras[[#This Row],[LID]])</f>
        <v>2123106</v>
      </c>
      <c r="AA49" s="69">
        <f>IFERROR(VLOOKUP(ListExtras[[#This Row],[Relation Name]],RelationTable[[Display]:[RELID]],2,0),IF(ListExtras[[#This Row],[LID]]=0,"relation",""))</f>
        <v>2109104</v>
      </c>
      <c r="AB49" s="69" t="str">
        <f>IFERROR(VLOOKUP(ListExtras[[#This Row],[R1 Name]],RelationTable[[Display]:[RELID]],2,0),IF(ListExtras[[#This Row],[LID]]=0,"nest_relation1",""))</f>
        <v/>
      </c>
      <c r="AC49" s="69" t="str">
        <f>IFERROR(VLOOKUP(ListExtras[[#This Row],[R2 Name]],RelationTable[[Display]:[RELID]],2,0),IF(ListExtras[[#This Row],[LID]]=0,"nest_relation2",""))</f>
        <v/>
      </c>
      <c r="AD49" s="69" t="str">
        <f>IFERROR(VLOOKUP(ListExtras[[#This Row],[R3 Name]],RelationTable[[Display]:[RELID]],2,0),IF(ListExtras[[#This Row],[LID]]=0,"nest_relation3",""))</f>
        <v/>
      </c>
      <c r="AT49" s="69" t="str">
        <f>'Table Seed Map'!$A$27&amp;"-"&amp;COUNTA($AV$1:ListLayout[[#This Row],[No]])-2</f>
        <v>List Layout-47</v>
      </c>
      <c r="AU49" s="62" t="s">
        <v>1473</v>
      </c>
      <c r="AV49" s="69">
        <f>IF(ListLayout[[#This Row],[List Name for Layout]]="","id",COUNTA($AU$2:ListLayout[[#This Row],[List Name for Layout]])+IF(ISNUMBER(VLOOKUP('Table Seed Map'!$A$27,SeedMap[],9,0)),VLOOKUP('Table Seed Map'!$A$27,SeedMap[],9,0),0))</f>
        <v>2126147</v>
      </c>
      <c r="AW49" s="69">
        <f>IFERROR(VLOOKUP(ListLayout[[#This Row],[List Name for Layout]],ResourceList[[ListDisplayName]:[No]],2,0),"resource_list")</f>
        <v>2123115</v>
      </c>
      <c r="AX49" s="69" t="s">
        <v>307</v>
      </c>
      <c r="AY49" s="107" t="s">
        <v>21</v>
      </c>
      <c r="AZ49" s="69" t="str">
        <f>IF(ListLayout[[#This Row],[List Name for Layout]]="","relation",IFERROR(VLOOKUP(ListLayout[[#This Row],[Relation]],RelationTable[[Display]:[RELID]],2,0),""))</f>
        <v/>
      </c>
      <c r="BA49" s="69" t="str">
        <f>IF(ListLayout[[#This Row],[List Name for Layout]]="","nest_relation1",IFERROR(VLOOKUP(ListLayout[[#This Row],[Relation 1]],RelationTable[[Display]:[RELID]],2,0),""))</f>
        <v/>
      </c>
      <c r="BB49" s="69" t="str">
        <f>IF(ListLayout[[#This Row],[List Name for Layout]]="","nest_relation2",IFERROR(VLOOKUP(ListLayout[[#This Row],[Relation 2]],RelationTable[[Display]:[RELID]],2,0),""))</f>
        <v/>
      </c>
      <c r="BC49" s="107"/>
      <c r="BD49" s="107"/>
      <c r="BE49" s="107"/>
    </row>
    <row r="50" spans="1:57" hidden="1">
      <c r="A50" s="63" t="str">
        <f>'Table Seed Map'!$A$24&amp;"-"&amp;COUNTA($B$1:ResourceList[[#This Row],[Resource Name]])-1</f>
        <v>Resource Lists-48</v>
      </c>
      <c r="B50" s="62" t="s">
        <v>791</v>
      </c>
      <c r="C50" s="63" t="str">
        <f>ResourceList[[#This Row],[Resource Name]]&amp;"/"&amp;ResourceList[[#This Row],[Name]]</f>
        <v>Receipt/OwnReceipts</v>
      </c>
      <c r="D50" s="69">
        <f>IF(ResourceList[[#This Row],[Resource Name]]="","id",COUNTA($B$2:ResourceList[[#This Row],[Resource Name]])+IF(ISNUMBER(VLOOKUP('Table Seed Map'!$A$24,SeedMap[],9,0)),VLOOKUP('Table Seed Map'!$A$24,SeedMap[],9,0),0))</f>
        <v>2123148</v>
      </c>
      <c r="E50" s="69">
        <f>IFERROR(VLOOKUP(ResourceList[[#This Row],[Resource Name]],ResourceTable[[RName]:[No]],3,0),"resource")</f>
        <v>2106124</v>
      </c>
      <c r="F50" s="107" t="s">
        <v>2055</v>
      </c>
      <c r="G50" s="107"/>
      <c r="H50" s="107" t="s">
        <v>911</v>
      </c>
      <c r="I50" s="107" t="s">
        <v>21</v>
      </c>
      <c r="J50" s="107">
        <v>100</v>
      </c>
      <c r="K50" s="67">
        <f>[No]</f>
        <v>2123148</v>
      </c>
      <c r="M50" s="62" t="s">
        <v>1859</v>
      </c>
      <c r="N50" s="63">
        <f>VLOOKUP(ListExtras[[#This Row],[List Name]],ResourceList[[ListDisplayName]:[No]],2,0)</f>
        <v>2123129</v>
      </c>
      <c r="O50" s="62" t="s">
        <v>1860</v>
      </c>
      <c r="P50" s="62"/>
      <c r="Q50" s="62"/>
      <c r="R50" s="62"/>
      <c r="S50" s="62"/>
      <c r="T50" s="63" t="str">
        <f>'Table Seed Map'!$A$25&amp;"-"&amp;COUNT($W$1:ListExtras[[#This Row],[Scope ID]])</f>
        <v>List Scopes-10</v>
      </c>
      <c r="U50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2124110</v>
      </c>
      <c r="V50" s="69">
        <f>IF(ListExtras[[#This Row],[LID]]=0,"resource_list",ListExtras[[#This Row],[LID]])</f>
        <v>2123129</v>
      </c>
      <c r="W50" s="69">
        <f>IFERROR(VLOOKUP(ListExtras[[#This Row],[Scope Name]],ResourceScopes[[ScopesDisplayNames]:[No]],2,0),IF(ListExtras[[#This Row],[LID]]=0,"scope",""))</f>
        <v>2108113</v>
      </c>
      <c r="X50" s="63" t="str">
        <f>'Table Seed Map'!$A$26&amp;"-"&amp;COUNT($AA$1:ListExtras[[#This Row],[Relation]])</f>
        <v>List Relation-44</v>
      </c>
      <c r="Y50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0" s="69">
        <f>IF(ListExtras[[#This Row],[LID]]=0,"resource_list",ListExtras[[#This Row],[LID]])</f>
        <v>2123129</v>
      </c>
      <c r="AA50" s="69" t="str">
        <f>IFERROR(VLOOKUP(ListExtras[[#This Row],[Relation Name]],RelationTable[[Display]:[RELID]],2,0),IF(ListExtras[[#This Row],[LID]]=0,"relation",""))</f>
        <v/>
      </c>
      <c r="AB50" s="69" t="str">
        <f>IFERROR(VLOOKUP(ListExtras[[#This Row],[R1 Name]],RelationTable[[Display]:[RELID]],2,0),IF(ListExtras[[#This Row],[LID]]=0,"nest_relation1",""))</f>
        <v/>
      </c>
      <c r="AC50" s="69" t="str">
        <f>IFERROR(VLOOKUP(ListExtras[[#This Row],[R2 Name]],RelationTable[[Display]:[RELID]],2,0),IF(ListExtras[[#This Row],[LID]]=0,"nest_relation2",""))</f>
        <v/>
      </c>
      <c r="AD50" s="69" t="str">
        <f>IFERROR(VLOOKUP(ListExtras[[#This Row],[R3 Name]],RelationTable[[Display]:[RELID]],2,0),IF(ListExtras[[#This Row],[LID]]=0,"nest_relation3",""))</f>
        <v/>
      </c>
      <c r="AT50" s="69" t="str">
        <f>'Table Seed Map'!$A$27&amp;"-"&amp;COUNTA($AV$1:ListLayout[[#This Row],[No]])-2</f>
        <v>List Layout-48</v>
      </c>
      <c r="AU50" s="62" t="s">
        <v>1473</v>
      </c>
      <c r="AV50" s="69">
        <f>IF(ListLayout[[#This Row],[List Name for Layout]]="","id",COUNTA($AU$2:ListLayout[[#This Row],[List Name for Layout]])+IF(ISNUMBER(VLOOKUP('Table Seed Map'!$A$27,SeedMap[],9,0)),VLOOKUP('Table Seed Map'!$A$27,SeedMap[],9,0),0))</f>
        <v>2126148</v>
      </c>
      <c r="AW50" s="69">
        <f>IFERROR(VLOOKUP(ListLayout[[#This Row],[List Name for Layout]],ResourceList[[ListDisplayName]:[No]],2,0),"resource_list")</f>
        <v>2123115</v>
      </c>
      <c r="AX50" s="69" t="s">
        <v>785</v>
      </c>
      <c r="AY50" s="107" t="s">
        <v>23</v>
      </c>
      <c r="AZ50" s="69">
        <f>IF(ListLayout[[#This Row],[List Name for Layout]]="","relation",IFERROR(VLOOKUP(ListLayout[[#This Row],[Relation]],RelationTable[[Display]:[RELID]],2,0),""))</f>
        <v>2109162</v>
      </c>
      <c r="BA50" s="69" t="str">
        <f>IF(ListLayout[[#This Row],[List Name for Layout]]="","nest_relation1",IFERROR(VLOOKUP(ListLayout[[#This Row],[Relation 1]],RelationTable[[Display]:[RELID]],2,0),""))</f>
        <v/>
      </c>
      <c r="BB50" s="69" t="str">
        <f>IF(ListLayout[[#This Row],[List Name for Layout]]="","nest_relation2",IFERROR(VLOOKUP(ListLayout[[#This Row],[Relation 2]],RelationTable[[Display]:[RELID]],2,0),""))</f>
        <v/>
      </c>
      <c r="BC50" s="107" t="s">
        <v>1474</v>
      </c>
      <c r="BD50" s="107"/>
      <c r="BE50" s="107"/>
    </row>
    <row r="51" spans="1:57" hidden="1">
      <c r="A51" s="63" t="str">
        <f>'Table Seed Map'!$A$24&amp;"-"&amp;COUNTA($B$1:ResourceList[[#This Row],[Resource Name]])-1</f>
        <v>Resource Lists-49</v>
      </c>
      <c r="B51" s="62" t="s">
        <v>912</v>
      </c>
      <c r="C51" s="63" t="str">
        <f>ResourceList[[#This Row],[Resource Name]]&amp;"/"&amp;ResourceList[[#This Row],[Name]]</f>
        <v>Delivery/OwnDeliveries</v>
      </c>
      <c r="D51" s="69">
        <f>IF(ResourceList[[#This Row],[Resource Name]]="","id",COUNTA($B$2:ResourceList[[#This Row],[Resource Name]])+IF(ISNUMBER(VLOOKUP('Table Seed Map'!$A$24,SeedMap[],9,0)),VLOOKUP('Table Seed Map'!$A$24,SeedMap[],9,0),0))</f>
        <v>2123149</v>
      </c>
      <c r="E51" s="69">
        <f>IFERROR(VLOOKUP(ResourceList[[#This Row],[Resource Name]],ResourceTable[[RName]:[No]],3,0),"resource")</f>
        <v>2106125</v>
      </c>
      <c r="F51" s="107" t="s">
        <v>2061</v>
      </c>
      <c r="G51" s="107"/>
      <c r="H51" s="107" t="s">
        <v>952</v>
      </c>
      <c r="I51" s="107" t="s">
        <v>21</v>
      </c>
      <c r="J51" s="107">
        <v>100</v>
      </c>
      <c r="K51" s="67">
        <f>[No]</f>
        <v>2123149</v>
      </c>
      <c r="M51" s="62" t="s">
        <v>1869</v>
      </c>
      <c r="N51" s="63">
        <f>VLOOKUP(ListExtras[[#This Row],[List Name]],ResourceList[[ListDisplayName]:[No]],2,0)</f>
        <v>2123130</v>
      </c>
      <c r="O51" s="62" t="s">
        <v>1870</v>
      </c>
      <c r="P51" s="62" t="s">
        <v>1848</v>
      </c>
      <c r="Q51" s="62"/>
      <c r="R51" s="62"/>
      <c r="S51" s="62"/>
      <c r="T51" s="63" t="str">
        <f>'Table Seed Map'!$A$25&amp;"-"&amp;COUNT($W$1:ListExtras[[#This Row],[Scope ID]])</f>
        <v>List Scopes-11</v>
      </c>
      <c r="U5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2124111</v>
      </c>
      <c r="V51" s="69">
        <f>IF(ListExtras[[#This Row],[LID]]=0,"resource_list",ListExtras[[#This Row],[LID]])</f>
        <v>2123130</v>
      </c>
      <c r="W51" s="69">
        <f>IFERROR(VLOOKUP(ListExtras[[#This Row],[Scope Name]],ResourceScopes[[ScopesDisplayNames]:[No]],2,0),IF(ListExtras[[#This Row],[LID]]=0,"scope",""))</f>
        <v>2108114</v>
      </c>
      <c r="X51" s="63" t="str">
        <f>'Table Seed Map'!$A$26&amp;"-"&amp;COUNT($AA$1:ListExtras[[#This Row],[Relation]])</f>
        <v>List Relation-45</v>
      </c>
      <c r="Y5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2125145</v>
      </c>
      <c r="Z51" s="69">
        <f>IF(ListExtras[[#This Row],[LID]]=0,"resource_list",ListExtras[[#This Row],[LID]])</f>
        <v>2123130</v>
      </c>
      <c r="AA51" s="69">
        <f>IFERROR(VLOOKUP(ListExtras[[#This Row],[Relation Name]],RelationTable[[Display]:[RELID]],2,0),IF(ListExtras[[#This Row],[LID]]=0,"relation",""))</f>
        <v>2109194</v>
      </c>
      <c r="AB51" s="69" t="str">
        <f>IFERROR(VLOOKUP(ListExtras[[#This Row],[R1 Name]],RelationTable[[Display]:[RELID]],2,0),IF(ListExtras[[#This Row],[LID]]=0,"nest_relation1",""))</f>
        <v/>
      </c>
      <c r="AC51" s="69" t="str">
        <f>IFERROR(VLOOKUP(ListExtras[[#This Row],[R2 Name]],RelationTable[[Display]:[RELID]],2,0),IF(ListExtras[[#This Row],[LID]]=0,"nest_relation2",""))</f>
        <v/>
      </c>
      <c r="AD51" s="69" t="str">
        <f>IFERROR(VLOOKUP(ListExtras[[#This Row],[R3 Name]],RelationTable[[Display]:[RELID]],2,0),IF(ListExtras[[#This Row],[LID]]=0,"nest_relation3",""))</f>
        <v/>
      </c>
      <c r="AT51" s="69" t="str">
        <f>'Table Seed Map'!$A$27&amp;"-"&amp;COUNTA($AV$1:ListLayout[[#This Row],[No]])-2</f>
        <v>List Layout-49</v>
      </c>
      <c r="AU51" s="62" t="s">
        <v>1473</v>
      </c>
      <c r="AV51" s="69">
        <f>IF(ListLayout[[#This Row],[List Name for Layout]]="","id",COUNTA($AU$2:ListLayout[[#This Row],[List Name for Layout]])+IF(ISNUMBER(VLOOKUP('Table Seed Map'!$A$27,SeedMap[],9,0)),VLOOKUP('Table Seed Map'!$A$27,SeedMap[],9,0),0))</f>
        <v>2126149</v>
      </c>
      <c r="AW51" s="69">
        <f>IFERROR(VLOOKUP(ListLayout[[#This Row],[List Name for Layout]],ResourceList[[ListDisplayName]:[No]],2,0),"resource_list")</f>
        <v>2123115</v>
      </c>
      <c r="AX51" s="69" t="s">
        <v>1331</v>
      </c>
      <c r="AY51" s="107" t="s">
        <v>827</v>
      </c>
      <c r="AZ51" s="69" t="str">
        <f>IF(ListLayout[[#This Row],[List Name for Layout]]="","relation",IFERROR(VLOOKUP(ListLayout[[#This Row],[Relation]],RelationTable[[Display]:[RELID]],2,0),""))</f>
        <v/>
      </c>
      <c r="BA51" s="69" t="str">
        <f>IF(ListLayout[[#This Row],[List Name for Layout]]="","nest_relation1",IFERROR(VLOOKUP(ListLayout[[#This Row],[Relation 1]],RelationTable[[Display]:[RELID]],2,0),""))</f>
        <v/>
      </c>
      <c r="BB51" s="69" t="str">
        <f>IF(ListLayout[[#This Row],[List Name for Layout]]="","nest_relation2",IFERROR(VLOOKUP(ListLayout[[#This Row],[Relation 2]],RelationTable[[Display]:[RELID]],2,0),""))</f>
        <v/>
      </c>
      <c r="BC51" s="107"/>
      <c r="BD51" s="107"/>
      <c r="BE51" s="107"/>
    </row>
    <row r="52" spans="1:57" hidden="1">
      <c r="A52" s="63" t="str">
        <f>'Table Seed Map'!$A$24&amp;"-"&amp;COUNTA($B$1:ResourceList[[#This Row],[Resource Name]])-1</f>
        <v>Resource Lists-50</v>
      </c>
      <c r="B52" s="62" t="s">
        <v>792</v>
      </c>
      <c r="C52" s="63" t="str">
        <f>ResourceList[[#This Row],[Resource Name]]&amp;"/"&amp;ResourceList[[#This Row],[Name]]</f>
        <v>HubShift/OwnHubShifts</v>
      </c>
      <c r="D52" s="69">
        <f>IF(ResourceList[[#This Row],[Resource Name]]="","id",COUNTA($B$2:ResourceList[[#This Row],[Resource Name]])+IF(ISNUMBER(VLOOKUP('Table Seed Map'!$A$24,SeedMap[],9,0)),VLOOKUP('Table Seed Map'!$A$24,SeedMap[],9,0),0))</f>
        <v>2123150</v>
      </c>
      <c r="E52" s="69">
        <f>IFERROR(VLOOKUP(ResourceList[[#This Row],[Resource Name]],ResourceTable[[RName]:[No]],3,0),"resource")</f>
        <v>2106127</v>
      </c>
      <c r="F52" s="107" t="s">
        <v>2068</v>
      </c>
      <c r="G52" s="107"/>
      <c r="H52" s="107" t="s">
        <v>952</v>
      </c>
      <c r="I52" s="107" t="s">
        <v>21</v>
      </c>
      <c r="J52" s="107">
        <v>30</v>
      </c>
      <c r="K52" s="67">
        <f>[No]</f>
        <v>2123150</v>
      </c>
      <c r="M52" s="62" t="s">
        <v>1869</v>
      </c>
      <c r="N52" s="63">
        <f>VLOOKUP(ListExtras[[#This Row],[List Name]],ResourceList[[ListDisplayName]:[No]],2,0)</f>
        <v>2123130</v>
      </c>
      <c r="O52" s="62"/>
      <c r="P52" s="62" t="s">
        <v>1630</v>
      </c>
      <c r="Q52" s="62"/>
      <c r="R52" s="62"/>
      <c r="S52" s="62"/>
      <c r="T52" s="63" t="str">
        <f>'Table Seed Map'!$A$25&amp;"-"&amp;COUNT($W$1:ListExtras[[#This Row],[Scope ID]])</f>
        <v>List Scopes-11</v>
      </c>
      <c r="U5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2" s="69">
        <f>IF(ListExtras[[#This Row],[LID]]=0,"resource_list",ListExtras[[#This Row],[LID]])</f>
        <v>2123130</v>
      </c>
      <c r="W52" s="69" t="str">
        <f>IFERROR(VLOOKUP(ListExtras[[#This Row],[Scope Name]],ResourceScopes[[ScopesDisplayNames]:[No]],2,0),IF(ListExtras[[#This Row],[LID]]=0,"scope",""))</f>
        <v/>
      </c>
      <c r="X52" s="63" t="str">
        <f>'Table Seed Map'!$A$26&amp;"-"&amp;COUNT($AA$1:ListExtras[[#This Row],[Relation]])</f>
        <v>List Relation-46</v>
      </c>
      <c r="Y5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2125146</v>
      </c>
      <c r="Z52" s="69">
        <f>IF(ListExtras[[#This Row],[LID]]=0,"resource_list",ListExtras[[#This Row],[LID]])</f>
        <v>2123130</v>
      </c>
      <c r="AA52" s="69">
        <f>IFERROR(VLOOKUP(ListExtras[[#This Row],[Relation Name]],RelationTable[[Display]:[RELID]],2,0),IF(ListExtras[[#This Row],[LID]]=0,"relation",""))</f>
        <v>2109155</v>
      </c>
      <c r="AB52" s="69" t="str">
        <f>IFERROR(VLOOKUP(ListExtras[[#This Row],[R1 Name]],RelationTable[[Display]:[RELID]],2,0),IF(ListExtras[[#This Row],[LID]]=0,"nest_relation1",""))</f>
        <v/>
      </c>
      <c r="AC52" s="69" t="str">
        <f>IFERROR(VLOOKUP(ListExtras[[#This Row],[R2 Name]],RelationTable[[Display]:[RELID]],2,0),IF(ListExtras[[#This Row],[LID]]=0,"nest_relation2",""))</f>
        <v/>
      </c>
      <c r="AD52" s="69" t="str">
        <f>IFERROR(VLOOKUP(ListExtras[[#This Row],[R3 Name]],RelationTable[[Display]:[RELID]],2,0),IF(ListExtras[[#This Row],[LID]]=0,"nest_relation3",""))</f>
        <v/>
      </c>
      <c r="AT52" s="69" t="str">
        <f>'Table Seed Map'!$A$27&amp;"-"&amp;COUNTA($AV$1:ListLayout[[#This Row],[No]])-2</f>
        <v>List Layout-50</v>
      </c>
      <c r="AU52" s="62" t="s">
        <v>1473</v>
      </c>
      <c r="AV52" s="69">
        <f>IF(ListLayout[[#This Row],[List Name for Layout]]="","id",COUNTA($AU$2:ListLayout[[#This Row],[List Name for Layout]])+IF(ISNUMBER(VLOOKUP('Table Seed Map'!$A$27,SeedMap[],9,0)),VLOOKUP('Table Seed Map'!$A$27,SeedMap[],9,0),0))</f>
        <v>2126150</v>
      </c>
      <c r="AW52" s="69">
        <f>IFERROR(VLOOKUP(ListLayout[[#This Row],[List Name for Layout]],ResourceList[[ListDisplayName]:[No]],2,0),"resource_list")</f>
        <v>2123115</v>
      </c>
      <c r="AX52" s="69" t="s">
        <v>1799</v>
      </c>
      <c r="AY52" s="107" t="s">
        <v>1800</v>
      </c>
      <c r="AZ52" s="69" t="str">
        <f>IF(ListLayout[[#This Row],[List Name for Layout]]="","relation",IFERROR(VLOOKUP(ListLayout[[#This Row],[Relation]],RelationTable[[Display]:[RELID]],2,0),""))</f>
        <v/>
      </c>
      <c r="BA52" s="69" t="str">
        <f>IF(ListLayout[[#This Row],[List Name for Layout]]="","nest_relation1",IFERROR(VLOOKUP(ListLayout[[#This Row],[Relation 1]],RelationTable[[Display]:[RELID]],2,0),""))</f>
        <v/>
      </c>
      <c r="BB52" s="69" t="str">
        <f>IF(ListLayout[[#This Row],[List Name for Layout]]="","nest_relation2",IFERROR(VLOOKUP(ListLayout[[#This Row],[Relation 2]],RelationTable[[Display]:[RELID]],2,0),""))</f>
        <v/>
      </c>
      <c r="BC52" s="107"/>
      <c r="BD52" s="107"/>
      <c r="BE52" s="107"/>
    </row>
    <row r="53" spans="1:57">
      <c r="M53" s="62" t="s">
        <v>1869</v>
      </c>
      <c r="N53" s="63">
        <f>VLOOKUP(ListExtras[[#This Row],[List Name]],ResourceList[[ListDisplayName]:[No]],2,0)</f>
        <v>2123130</v>
      </c>
      <c r="O53" s="62"/>
      <c r="P53" s="62" t="s">
        <v>1629</v>
      </c>
      <c r="Q53" s="62"/>
      <c r="R53" s="62"/>
      <c r="S53" s="62"/>
      <c r="T53" s="63" t="str">
        <f>'Table Seed Map'!$A$25&amp;"-"&amp;COUNT($W$1:ListExtras[[#This Row],[Scope ID]])</f>
        <v>List Scopes-11</v>
      </c>
      <c r="U5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3" s="69">
        <f>IF(ListExtras[[#This Row],[LID]]=0,"resource_list",ListExtras[[#This Row],[LID]])</f>
        <v>2123130</v>
      </c>
      <c r="W53" s="69" t="str">
        <f>IFERROR(VLOOKUP(ListExtras[[#This Row],[Scope Name]],ResourceScopes[[ScopesDisplayNames]:[No]],2,0),IF(ListExtras[[#This Row],[LID]]=0,"scope",""))</f>
        <v/>
      </c>
      <c r="X53" s="63" t="str">
        <f>'Table Seed Map'!$A$26&amp;"-"&amp;COUNT($AA$1:ListExtras[[#This Row],[Relation]])</f>
        <v>List Relation-47</v>
      </c>
      <c r="Y5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2125147</v>
      </c>
      <c r="Z53" s="69">
        <f>IF(ListExtras[[#This Row],[LID]]=0,"resource_list",ListExtras[[#This Row],[LID]])</f>
        <v>2123130</v>
      </c>
      <c r="AA53" s="69">
        <f>IFERROR(VLOOKUP(ListExtras[[#This Row],[Relation Name]],RelationTable[[Display]:[RELID]],2,0),IF(ListExtras[[#This Row],[LID]]=0,"relation",""))</f>
        <v>2109154</v>
      </c>
      <c r="AB53" s="69" t="str">
        <f>IFERROR(VLOOKUP(ListExtras[[#This Row],[R1 Name]],RelationTable[[Display]:[RELID]],2,0),IF(ListExtras[[#This Row],[LID]]=0,"nest_relation1",""))</f>
        <v/>
      </c>
      <c r="AC53" s="69" t="str">
        <f>IFERROR(VLOOKUP(ListExtras[[#This Row],[R2 Name]],RelationTable[[Display]:[RELID]],2,0),IF(ListExtras[[#This Row],[LID]]=0,"nest_relation2",""))</f>
        <v/>
      </c>
      <c r="AD53" s="69" t="str">
        <f>IFERROR(VLOOKUP(ListExtras[[#This Row],[R3 Name]],RelationTable[[Display]:[RELID]],2,0),IF(ListExtras[[#This Row],[LID]]=0,"nest_relation3",""))</f>
        <v/>
      </c>
      <c r="AT53" s="69" t="str">
        <f>'Table Seed Map'!$A$27&amp;"-"&amp;COUNTA($AV$1:ListLayout[[#This Row],[No]])-2</f>
        <v>List Layout-51</v>
      </c>
      <c r="AU53" s="62" t="s">
        <v>1473</v>
      </c>
      <c r="AV53" s="69">
        <f>IF(ListLayout[[#This Row],[List Name for Layout]]="","id",COUNTA($AU$2:ListLayout[[#This Row],[List Name for Layout]])+IF(ISNUMBER(VLOOKUP('Table Seed Map'!$A$27,SeedMap[],9,0)),VLOOKUP('Table Seed Map'!$A$27,SeedMap[],9,0),0))</f>
        <v>2126151</v>
      </c>
      <c r="AW53" s="69">
        <f>IFERROR(VLOOKUP(ListLayout[[#This Row],[List Name for Layout]],ResourceList[[ListDisplayName]:[No]],2,0),"resource_list")</f>
        <v>2123115</v>
      </c>
      <c r="AX53" s="69" t="s">
        <v>1826</v>
      </c>
      <c r="AY53" s="107" t="s">
        <v>1827</v>
      </c>
      <c r="AZ53" s="69" t="str">
        <f>IF(ListLayout[[#This Row],[List Name for Layout]]="","relation",IFERROR(VLOOKUP(ListLayout[[#This Row],[Relation]],RelationTable[[Display]:[RELID]],2,0),""))</f>
        <v/>
      </c>
      <c r="BA53" s="69" t="str">
        <f>IF(ListLayout[[#This Row],[List Name for Layout]]="","nest_relation1",IFERROR(VLOOKUP(ListLayout[[#This Row],[Relation 1]],RelationTable[[Display]:[RELID]],2,0),""))</f>
        <v/>
      </c>
      <c r="BB53" s="69" t="str">
        <f>IF(ListLayout[[#This Row],[List Name for Layout]]="","nest_relation2",IFERROR(VLOOKUP(ListLayout[[#This Row],[Relation 2]],RelationTable[[Display]:[RELID]],2,0),""))</f>
        <v/>
      </c>
      <c r="BC53" s="107"/>
      <c r="BD53" s="107"/>
      <c r="BE53" s="107"/>
    </row>
    <row r="54" spans="1:57">
      <c r="M54" s="62" t="s">
        <v>1869</v>
      </c>
      <c r="N54" s="63">
        <f>VLOOKUP(ListExtras[[#This Row],[List Name]],ResourceList[[ListDisplayName]:[No]],2,0)</f>
        <v>2123130</v>
      </c>
      <c r="O54" s="62"/>
      <c r="P54" s="62" t="s">
        <v>1628</v>
      </c>
      <c r="Q54" s="62"/>
      <c r="R54" s="62"/>
      <c r="S54" s="62"/>
      <c r="T54" s="63" t="str">
        <f>'Table Seed Map'!$A$25&amp;"-"&amp;COUNT($W$1:ListExtras[[#This Row],[Scope ID]])</f>
        <v>List Scopes-11</v>
      </c>
      <c r="U5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4" s="69">
        <f>IF(ListExtras[[#This Row],[LID]]=0,"resource_list",ListExtras[[#This Row],[LID]])</f>
        <v>2123130</v>
      </c>
      <c r="W54" s="69" t="str">
        <f>IFERROR(VLOOKUP(ListExtras[[#This Row],[Scope Name]],ResourceScopes[[ScopesDisplayNames]:[No]],2,0),IF(ListExtras[[#This Row],[LID]]=0,"scope",""))</f>
        <v/>
      </c>
      <c r="X54" s="63" t="str">
        <f>'Table Seed Map'!$A$26&amp;"-"&amp;COUNT($AA$1:ListExtras[[#This Row],[Relation]])</f>
        <v>List Relation-48</v>
      </c>
      <c r="Y5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2125148</v>
      </c>
      <c r="Z54" s="69">
        <f>IF(ListExtras[[#This Row],[LID]]=0,"resource_list",ListExtras[[#This Row],[LID]])</f>
        <v>2123130</v>
      </c>
      <c r="AA54" s="69">
        <f>IFERROR(VLOOKUP(ListExtras[[#This Row],[Relation Name]],RelationTable[[Display]:[RELID]],2,0),IF(ListExtras[[#This Row],[LID]]=0,"relation",""))</f>
        <v>2109153</v>
      </c>
      <c r="AB54" s="69" t="str">
        <f>IFERROR(VLOOKUP(ListExtras[[#This Row],[R1 Name]],RelationTable[[Display]:[RELID]],2,0),IF(ListExtras[[#This Row],[LID]]=0,"nest_relation1",""))</f>
        <v/>
      </c>
      <c r="AC54" s="69" t="str">
        <f>IFERROR(VLOOKUP(ListExtras[[#This Row],[R2 Name]],RelationTable[[Display]:[RELID]],2,0),IF(ListExtras[[#This Row],[LID]]=0,"nest_relation2",""))</f>
        <v/>
      </c>
      <c r="AD54" s="69" t="str">
        <f>IFERROR(VLOOKUP(ListExtras[[#This Row],[R3 Name]],RelationTable[[Display]:[RELID]],2,0),IF(ListExtras[[#This Row],[LID]]=0,"nest_relation3",""))</f>
        <v/>
      </c>
      <c r="AT54" s="69" t="str">
        <f>'Table Seed Map'!$A$27&amp;"-"&amp;COUNTA($AV$1:ListLayout[[#This Row],[No]])-2</f>
        <v>List Layout-52</v>
      </c>
      <c r="AU54" s="62" t="s">
        <v>1473</v>
      </c>
      <c r="AV54" s="69">
        <f>IF(ListLayout[[#This Row],[List Name for Layout]]="","id",COUNTA($AU$2:ListLayout[[#This Row],[List Name for Layout]])+IF(ISNUMBER(VLOOKUP('Table Seed Map'!$A$27,SeedMap[],9,0)),VLOOKUP('Table Seed Map'!$A$27,SeedMap[],9,0),0))</f>
        <v>2126152</v>
      </c>
      <c r="AW54" s="69">
        <f>IFERROR(VLOOKUP(ListLayout[[#This Row],[List Name for Layout]],ResourceList[[ListDisplayName]:[No]],2,0),"resource_list")</f>
        <v>2123115</v>
      </c>
      <c r="AX54" s="69" t="s">
        <v>787</v>
      </c>
      <c r="AY54" s="107" t="s">
        <v>21</v>
      </c>
      <c r="AZ54" s="69">
        <f>IF(ListLayout[[#This Row],[List Name for Layout]]="","relation",IFERROR(VLOOKUP(ListLayout[[#This Row],[Relation]],RelationTable[[Display]:[RELID]],2,0),""))</f>
        <v>2109161</v>
      </c>
      <c r="BA54" s="69" t="str">
        <f>IF(ListLayout[[#This Row],[List Name for Layout]]="","nest_relation1",IFERROR(VLOOKUP(ListLayout[[#This Row],[Relation 1]],RelationTable[[Display]:[RELID]],2,0),""))</f>
        <v/>
      </c>
      <c r="BB54" s="69" t="str">
        <f>IF(ListLayout[[#This Row],[List Name for Layout]]="","nest_relation2",IFERROR(VLOOKUP(ListLayout[[#This Row],[Relation 2]],RelationTable[[Display]:[RELID]],2,0),""))</f>
        <v/>
      </c>
      <c r="BC54" s="107" t="s">
        <v>1475</v>
      </c>
      <c r="BD54" s="107"/>
      <c r="BE54" s="107"/>
    </row>
    <row r="55" spans="1:57">
      <c r="M55" s="62" t="s">
        <v>1869</v>
      </c>
      <c r="N55" s="63">
        <f>VLOOKUP(ListExtras[[#This Row],[List Name]],ResourceList[[ListDisplayName]:[No]],2,0)</f>
        <v>2123130</v>
      </c>
      <c r="O55" s="62"/>
      <c r="P55" s="62" t="s">
        <v>1251</v>
      </c>
      <c r="Q55" s="62"/>
      <c r="R55" s="62"/>
      <c r="S55" s="62"/>
      <c r="T55" s="63" t="str">
        <f>'Table Seed Map'!$A$25&amp;"-"&amp;COUNT($W$1:ListExtras[[#This Row],[Scope ID]])</f>
        <v>List Scopes-11</v>
      </c>
      <c r="U5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5" s="69">
        <f>IF(ListExtras[[#This Row],[LID]]=0,"resource_list",ListExtras[[#This Row],[LID]])</f>
        <v>2123130</v>
      </c>
      <c r="W55" s="69" t="str">
        <f>IFERROR(VLOOKUP(ListExtras[[#This Row],[Scope Name]],ResourceScopes[[ScopesDisplayNames]:[No]],2,0),IF(ListExtras[[#This Row],[LID]]=0,"scope",""))</f>
        <v/>
      </c>
      <c r="X55" s="63" t="str">
        <f>'Table Seed Map'!$A$26&amp;"-"&amp;COUNT($AA$1:ListExtras[[#This Row],[Relation]])</f>
        <v>List Relation-49</v>
      </c>
      <c r="Y5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2125149</v>
      </c>
      <c r="Z55" s="69">
        <f>IF(ListExtras[[#This Row],[LID]]=0,"resource_list",ListExtras[[#This Row],[LID]])</f>
        <v>2123130</v>
      </c>
      <c r="AA55" s="69">
        <f>IFERROR(VLOOKUP(ListExtras[[#This Row],[Relation Name]],RelationTable[[Display]:[RELID]],2,0),IF(ListExtras[[#This Row],[LID]]=0,"relation",""))</f>
        <v>2109188</v>
      </c>
      <c r="AB55" s="69" t="str">
        <f>IFERROR(VLOOKUP(ListExtras[[#This Row],[R1 Name]],RelationTable[[Display]:[RELID]],2,0),IF(ListExtras[[#This Row],[LID]]=0,"nest_relation1",""))</f>
        <v/>
      </c>
      <c r="AC55" s="69" t="str">
        <f>IFERROR(VLOOKUP(ListExtras[[#This Row],[R2 Name]],RelationTable[[Display]:[RELID]],2,0),IF(ListExtras[[#This Row],[LID]]=0,"nest_relation2",""))</f>
        <v/>
      </c>
      <c r="AD55" s="69" t="str">
        <f>IFERROR(VLOOKUP(ListExtras[[#This Row],[R3 Name]],RelationTable[[Display]:[RELID]],2,0),IF(ListExtras[[#This Row],[LID]]=0,"nest_relation3",""))</f>
        <v/>
      </c>
      <c r="AT55" s="69" t="str">
        <f>'Table Seed Map'!$A$27&amp;"-"&amp;COUNTA($AV$1:ListLayout[[#This Row],[No]])-2</f>
        <v>List Layout-53</v>
      </c>
      <c r="AU55" s="62" t="s">
        <v>1473</v>
      </c>
      <c r="AV55" s="69">
        <f>IF(ListLayout[[#This Row],[List Name for Layout]]="","id",COUNTA($AU$2:ListLayout[[#This Row],[List Name for Layout]])+IF(ISNUMBER(VLOOKUP('Table Seed Map'!$A$27,SeedMap[],9,0)),VLOOKUP('Table Seed Map'!$A$27,SeedMap[],9,0),0))</f>
        <v>2126153</v>
      </c>
      <c r="AW55" s="69">
        <f>IFERROR(VLOOKUP(ListLayout[[#This Row],[List Name for Layout]],ResourceList[[ListDisplayName]:[No]],2,0),"resource_list")</f>
        <v>2123115</v>
      </c>
      <c r="AX55" s="69" t="s">
        <v>1471</v>
      </c>
      <c r="AY55" s="107" t="s">
        <v>882</v>
      </c>
      <c r="AZ55" s="69" t="str">
        <f>IF(ListLayout[[#This Row],[List Name for Layout]]="","relation",IFERROR(VLOOKUP(ListLayout[[#This Row],[Relation]],RelationTable[[Display]:[RELID]],2,0),""))</f>
        <v/>
      </c>
      <c r="BA55" s="69" t="str">
        <f>IF(ListLayout[[#This Row],[List Name for Layout]]="","nest_relation1",IFERROR(VLOOKUP(ListLayout[[#This Row],[Relation 1]],RelationTable[[Display]:[RELID]],2,0),""))</f>
        <v/>
      </c>
      <c r="BB55" s="69" t="str">
        <f>IF(ListLayout[[#This Row],[List Name for Layout]]="","nest_relation2",IFERROR(VLOOKUP(ListLayout[[#This Row],[Relation 2]],RelationTable[[Display]:[RELID]],2,0),""))</f>
        <v/>
      </c>
      <c r="BC55" s="107"/>
      <c r="BD55" s="107"/>
      <c r="BE55" s="107"/>
    </row>
    <row r="56" spans="1:57">
      <c r="M56" s="62" t="s">
        <v>1892</v>
      </c>
      <c r="N56" s="63">
        <f>VLOOKUP(ListExtras[[#This Row],[List Name]],ResourceList[[ListDisplayName]:[No]],2,0)</f>
        <v>2123131</v>
      </c>
      <c r="O56" s="62" t="s">
        <v>1892</v>
      </c>
      <c r="P56" s="62" t="s">
        <v>1472</v>
      </c>
      <c r="Q56" s="62"/>
      <c r="R56" s="62"/>
      <c r="S56" s="62"/>
      <c r="T56" s="63" t="str">
        <f>'Table Seed Map'!$A$25&amp;"-"&amp;COUNT($W$1:ListExtras[[#This Row],[Scope ID]])</f>
        <v>List Scopes-12</v>
      </c>
      <c r="U5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2124112</v>
      </c>
      <c r="V56" s="69">
        <f>IF(ListExtras[[#This Row],[LID]]=0,"resource_list",ListExtras[[#This Row],[LID]])</f>
        <v>2123131</v>
      </c>
      <c r="W56" s="69">
        <f>IFERROR(VLOOKUP(ListExtras[[#This Row],[Scope Name]],ResourceScopes[[ScopesDisplayNames]:[No]],2,0),IF(ListExtras[[#This Row],[LID]]=0,"scope",""))</f>
        <v>2108115</v>
      </c>
      <c r="X56" s="63" t="str">
        <f>'Table Seed Map'!$A$26&amp;"-"&amp;COUNT($AA$1:ListExtras[[#This Row],[Relation]])</f>
        <v>List Relation-50</v>
      </c>
      <c r="Y5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2125150</v>
      </c>
      <c r="Z56" s="69">
        <f>IF(ListExtras[[#This Row],[LID]]=0,"resource_list",ListExtras[[#This Row],[LID]])</f>
        <v>2123131</v>
      </c>
      <c r="AA56" s="69">
        <f>IFERROR(VLOOKUP(ListExtras[[#This Row],[Relation Name]],RelationTable[[Display]:[RELID]],2,0),IF(ListExtras[[#This Row],[LID]]=0,"relation",""))</f>
        <v>2109147</v>
      </c>
      <c r="AB56" s="69" t="str">
        <f>IFERROR(VLOOKUP(ListExtras[[#This Row],[R1 Name]],RelationTable[[Display]:[RELID]],2,0),IF(ListExtras[[#This Row],[LID]]=0,"nest_relation1",""))</f>
        <v/>
      </c>
      <c r="AC56" s="69" t="str">
        <f>IFERROR(VLOOKUP(ListExtras[[#This Row],[R2 Name]],RelationTable[[Display]:[RELID]],2,0),IF(ListExtras[[#This Row],[LID]]=0,"nest_relation2",""))</f>
        <v/>
      </c>
      <c r="AD56" s="69" t="str">
        <f>IFERROR(VLOOKUP(ListExtras[[#This Row],[R3 Name]],RelationTable[[Display]:[RELID]],2,0),IF(ListExtras[[#This Row],[LID]]=0,"nest_relation3",""))</f>
        <v/>
      </c>
      <c r="AT56" s="69" t="str">
        <f>'Table Seed Map'!$A$27&amp;"-"&amp;COUNTA($AV$1:ListLayout[[#This Row],[No]])-2</f>
        <v>List Layout-54</v>
      </c>
      <c r="AU56" s="62" t="s">
        <v>1476</v>
      </c>
      <c r="AV56" s="69">
        <f>IF(ListLayout[[#This Row],[List Name for Layout]]="","id",COUNTA($AU$2:ListLayout[[#This Row],[List Name for Layout]])+IF(ISNUMBER(VLOOKUP('Table Seed Map'!$A$27,SeedMap[],9,0)),VLOOKUP('Table Seed Map'!$A$27,SeedMap[],9,0),0))</f>
        <v>2126154</v>
      </c>
      <c r="AW56" s="69">
        <f>IFERROR(VLOOKUP(ListLayout[[#This Row],[List Name for Layout]],ResourceList[[ListDisplayName]:[No]],2,0),"resource_list")</f>
        <v>2123116</v>
      </c>
      <c r="AX56" s="69" t="s">
        <v>307</v>
      </c>
      <c r="AY56" s="107" t="s">
        <v>21</v>
      </c>
      <c r="AZ56" s="69" t="str">
        <f>IF(ListLayout[[#This Row],[List Name for Layout]]="","relation",IFERROR(VLOOKUP(ListLayout[[#This Row],[Relation]],RelationTable[[Display]:[RELID]],2,0),""))</f>
        <v/>
      </c>
      <c r="BA56" s="69" t="str">
        <f>IF(ListLayout[[#This Row],[List Name for Layout]]="","nest_relation1",IFERROR(VLOOKUP(ListLayout[[#This Row],[Relation 1]],RelationTable[[Display]:[RELID]],2,0),""))</f>
        <v/>
      </c>
      <c r="BB56" s="69" t="str">
        <f>IF(ListLayout[[#This Row],[List Name for Layout]]="","nest_relation2",IFERROR(VLOOKUP(ListLayout[[#This Row],[Relation 2]],RelationTable[[Display]:[RELID]],2,0),""))</f>
        <v/>
      </c>
      <c r="BC56" s="107"/>
      <c r="BD56" s="107"/>
      <c r="BE56" s="107"/>
    </row>
    <row r="57" spans="1:57">
      <c r="M57" s="62" t="s">
        <v>1900</v>
      </c>
      <c r="N57" s="61">
        <f>VLOOKUP(ListExtras[[#This Row],[List Name]],ResourceList[[ListDisplayName]:[No]],2,0)</f>
        <v>2123132</v>
      </c>
      <c r="O57" s="62" t="s">
        <v>1901</v>
      </c>
      <c r="P57" s="62" t="s">
        <v>1642</v>
      </c>
      <c r="Q57" s="62"/>
      <c r="R57" s="60"/>
      <c r="S57" s="60"/>
      <c r="T57" s="61" t="str">
        <f>'Table Seed Map'!$A$25&amp;"-"&amp;COUNT($W$1:ListExtras[[#This Row],[Scope ID]])</f>
        <v>List Scopes-13</v>
      </c>
      <c r="U57" s="68">
        <f>IF(ListExtras[[#This Row],[LID]]=0,"id",IF(ListExtras[[#This Row],[Scope ID]]="","",COUNT($W$2:ListExtras[[#This Row],[Scope ID]])+IF(ISNUMBER(VLOOKUP('Table Seed Map'!$A$25,SeedMap[],9,0)),VLOOKUP('Table Seed Map'!$A$25,SeedMap[],9,0),0)))</f>
        <v>2124113</v>
      </c>
      <c r="V57" s="68">
        <f>IF(ListExtras[[#This Row],[LID]]=0,"resource_list",ListExtras[[#This Row],[LID]])</f>
        <v>2123132</v>
      </c>
      <c r="W57" s="68">
        <f>IFERROR(VLOOKUP(ListExtras[[#This Row],[Scope Name]],ResourceScopes[[ScopesDisplayNames]:[No]],2,0),IF(ListExtras[[#This Row],[LID]]=0,"scope",""))</f>
        <v>2108116</v>
      </c>
      <c r="X57" s="61" t="str">
        <f>'Table Seed Map'!$A$26&amp;"-"&amp;COUNT($AA$1:ListExtras[[#This Row],[Relation]])</f>
        <v>List Relation-51</v>
      </c>
      <c r="Y57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2125151</v>
      </c>
      <c r="Z57" s="68">
        <f>IF(ListExtras[[#This Row],[LID]]=0,"resource_list",ListExtras[[#This Row],[LID]])</f>
        <v>2123132</v>
      </c>
      <c r="AA57" s="68">
        <f>IFERROR(VLOOKUP(ListExtras[[#This Row],[Relation Name]],RelationTable[[Display]:[RELID]],2,0),IF(ListExtras[[#This Row],[LID]]=0,"relation",""))</f>
        <v>2109158</v>
      </c>
      <c r="AB57" s="68" t="str">
        <f>IFERROR(VLOOKUP(ListExtras[[#This Row],[R1 Name]],RelationTable[[Display]:[RELID]],2,0),IF(ListExtras[[#This Row],[LID]]=0,"nest_relation1",""))</f>
        <v/>
      </c>
      <c r="AC57" s="68" t="str">
        <f>IFERROR(VLOOKUP(ListExtras[[#This Row],[R2 Name]],RelationTable[[Display]:[RELID]],2,0),IF(ListExtras[[#This Row],[LID]]=0,"nest_relation2",""))</f>
        <v/>
      </c>
      <c r="AD57" s="68" t="str">
        <f>IFERROR(VLOOKUP(ListExtras[[#This Row],[R3 Name]],RelationTable[[Display]:[RELID]],2,0),IF(ListExtras[[#This Row],[LID]]=0,"nest_relation3",""))</f>
        <v/>
      </c>
      <c r="AT57" s="69" t="str">
        <f>'Table Seed Map'!$A$27&amp;"-"&amp;COUNTA($AV$1:ListLayout[[#This Row],[No]])-2</f>
        <v>List Layout-55</v>
      </c>
      <c r="AU57" s="62" t="s">
        <v>1476</v>
      </c>
      <c r="AV57" s="69">
        <f>IF(ListLayout[[#This Row],[List Name for Layout]]="","id",COUNTA($AU$2:ListLayout[[#This Row],[List Name for Layout]])+IF(ISNUMBER(VLOOKUP('Table Seed Map'!$A$27,SeedMap[],9,0)),VLOOKUP('Table Seed Map'!$A$27,SeedMap[],9,0),0))</f>
        <v>2126155</v>
      </c>
      <c r="AW57" s="69">
        <f>IFERROR(VLOOKUP(ListLayout[[#This Row],[List Name for Layout]],ResourceList[[ListDisplayName]:[No]],2,0),"resource_list")</f>
        <v>2123116</v>
      </c>
      <c r="AX57" s="69" t="s">
        <v>827</v>
      </c>
      <c r="AY57" s="107" t="s">
        <v>827</v>
      </c>
      <c r="AZ57" s="69" t="str">
        <f>IF(ListLayout[[#This Row],[List Name for Layout]]="","relation",IFERROR(VLOOKUP(ListLayout[[#This Row],[Relation]],RelationTable[[Display]:[RELID]],2,0),""))</f>
        <v/>
      </c>
      <c r="BA57" s="69" t="str">
        <f>IF(ListLayout[[#This Row],[List Name for Layout]]="","nest_relation1",IFERROR(VLOOKUP(ListLayout[[#This Row],[Relation 1]],RelationTable[[Display]:[RELID]],2,0),""))</f>
        <v/>
      </c>
      <c r="BB57" s="69" t="str">
        <f>IF(ListLayout[[#This Row],[List Name for Layout]]="","nest_relation2",IFERROR(VLOOKUP(ListLayout[[#This Row],[Relation 2]],RelationTable[[Display]:[RELID]],2,0),""))</f>
        <v/>
      </c>
      <c r="BC57" s="107"/>
      <c r="BD57" s="107"/>
      <c r="BE57" s="107"/>
    </row>
    <row r="58" spans="1:57">
      <c r="M58" s="62" t="s">
        <v>1900</v>
      </c>
      <c r="N58" s="61">
        <f>VLOOKUP(ListExtras[[#This Row],[List Name]],ResourceList[[ListDisplayName]:[No]],2,0)</f>
        <v>2123132</v>
      </c>
      <c r="O58" s="60"/>
      <c r="P58" s="62" t="s">
        <v>1644</v>
      </c>
      <c r="Q58" s="60"/>
      <c r="R58" s="60"/>
      <c r="S58" s="60"/>
      <c r="T58" s="61" t="str">
        <f>'Table Seed Map'!$A$25&amp;"-"&amp;COUNT($W$1:ListExtras[[#This Row],[Scope ID]])</f>
        <v>List Scopes-13</v>
      </c>
      <c r="U58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8" s="68">
        <f>IF(ListExtras[[#This Row],[LID]]=0,"resource_list",ListExtras[[#This Row],[LID]])</f>
        <v>2123132</v>
      </c>
      <c r="W58" s="68" t="str">
        <f>IFERROR(VLOOKUP(ListExtras[[#This Row],[Scope Name]],ResourceScopes[[ScopesDisplayNames]:[No]],2,0),IF(ListExtras[[#This Row],[LID]]=0,"scope",""))</f>
        <v/>
      </c>
      <c r="X58" s="61" t="str">
        <f>'Table Seed Map'!$A$26&amp;"-"&amp;COUNT($AA$1:ListExtras[[#This Row],[Relation]])</f>
        <v>List Relation-52</v>
      </c>
      <c r="Y58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2125152</v>
      </c>
      <c r="Z58" s="68">
        <f>IF(ListExtras[[#This Row],[LID]]=0,"resource_list",ListExtras[[#This Row],[LID]])</f>
        <v>2123132</v>
      </c>
      <c r="AA58" s="68">
        <f>IFERROR(VLOOKUP(ListExtras[[#This Row],[Relation Name]],RelationTable[[Display]:[RELID]],2,0),IF(ListExtras[[#This Row],[LID]]=0,"relation",""))</f>
        <v>2109159</v>
      </c>
      <c r="AB58" s="68" t="str">
        <f>IFERROR(VLOOKUP(ListExtras[[#This Row],[R1 Name]],RelationTable[[Display]:[RELID]],2,0),IF(ListExtras[[#This Row],[LID]]=0,"nest_relation1",""))</f>
        <v/>
      </c>
      <c r="AC58" s="68" t="str">
        <f>IFERROR(VLOOKUP(ListExtras[[#This Row],[R2 Name]],RelationTable[[Display]:[RELID]],2,0),IF(ListExtras[[#This Row],[LID]]=0,"nest_relation2",""))</f>
        <v/>
      </c>
      <c r="AD58" s="68" t="str">
        <f>IFERROR(VLOOKUP(ListExtras[[#This Row],[R3 Name]],RelationTable[[Display]:[RELID]],2,0),IF(ListExtras[[#This Row],[LID]]=0,"nest_relation3",""))</f>
        <v/>
      </c>
      <c r="AT58" s="69" t="str">
        <f>'Table Seed Map'!$A$27&amp;"-"&amp;COUNTA($AV$1:ListLayout[[#This Row],[No]])-2</f>
        <v>List Layout-56</v>
      </c>
      <c r="AU58" s="62" t="s">
        <v>1476</v>
      </c>
      <c r="AV58" s="69">
        <f>IF(ListLayout[[#This Row],[List Name for Layout]]="","id",COUNTA($AU$2:ListLayout[[#This Row],[List Name for Layout]])+IF(ISNUMBER(VLOOKUP('Table Seed Map'!$A$27,SeedMap[],9,0)),VLOOKUP('Table Seed Map'!$A$27,SeedMap[],9,0),0))</f>
        <v>2126156</v>
      </c>
      <c r="AW58" s="69">
        <f>IFERROR(VLOOKUP(ListLayout[[#This Row],[List Name for Layout]],ResourceList[[ListDisplayName]:[No]],2,0),"resource_list")</f>
        <v>2123116</v>
      </c>
      <c r="AX58" s="69" t="s">
        <v>871</v>
      </c>
      <c r="AY58" s="107" t="s">
        <v>871</v>
      </c>
      <c r="AZ58" s="69" t="str">
        <f>IF(ListLayout[[#This Row],[List Name for Layout]]="","relation",IFERROR(VLOOKUP(ListLayout[[#This Row],[Relation]],RelationTable[[Display]:[RELID]],2,0),""))</f>
        <v/>
      </c>
      <c r="BA58" s="69" t="str">
        <f>IF(ListLayout[[#This Row],[List Name for Layout]]="","nest_relation1",IFERROR(VLOOKUP(ListLayout[[#This Row],[Relation 1]],RelationTable[[Display]:[RELID]],2,0),""))</f>
        <v/>
      </c>
      <c r="BB58" s="69" t="str">
        <f>IF(ListLayout[[#This Row],[List Name for Layout]]="","nest_relation2",IFERROR(VLOOKUP(ListLayout[[#This Row],[Relation 2]],RelationTable[[Display]:[RELID]],2,0),""))</f>
        <v/>
      </c>
      <c r="BC58" s="107"/>
      <c r="BD58" s="107"/>
      <c r="BE58" s="107"/>
    </row>
    <row r="59" spans="1:57">
      <c r="M59" s="62" t="s">
        <v>1900</v>
      </c>
      <c r="N59" s="63">
        <f>VLOOKUP(ListExtras[[#This Row],[List Name]],ResourceList[[ListDisplayName]:[No]],2,0)</f>
        <v>2123132</v>
      </c>
      <c r="O59" s="62"/>
      <c r="P59" s="62" t="s">
        <v>1645</v>
      </c>
      <c r="Q59" s="62"/>
      <c r="R59" s="62"/>
      <c r="S59" s="62"/>
      <c r="T59" s="63" t="str">
        <f>'Table Seed Map'!$A$25&amp;"-"&amp;COUNT($W$1:ListExtras[[#This Row],[Scope ID]])</f>
        <v>List Scopes-13</v>
      </c>
      <c r="U5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9" s="69">
        <f>IF(ListExtras[[#This Row],[LID]]=0,"resource_list",ListExtras[[#This Row],[LID]])</f>
        <v>2123132</v>
      </c>
      <c r="W59" s="69" t="str">
        <f>IFERROR(VLOOKUP(ListExtras[[#This Row],[Scope Name]],ResourceScopes[[ScopesDisplayNames]:[No]],2,0),IF(ListExtras[[#This Row],[LID]]=0,"scope",""))</f>
        <v/>
      </c>
      <c r="X59" s="63" t="str">
        <f>'Table Seed Map'!$A$26&amp;"-"&amp;COUNT($AA$1:ListExtras[[#This Row],[Relation]])</f>
        <v>List Relation-53</v>
      </c>
      <c r="Y5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2125153</v>
      </c>
      <c r="Z59" s="69">
        <f>IF(ListExtras[[#This Row],[LID]]=0,"resource_list",ListExtras[[#This Row],[LID]])</f>
        <v>2123132</v>
      </c>
      <c r="AA59" s="69">
        <f>IFERROR(VLOOKUP(ListExtras[[#This Row],[Relation Name]],RelationTable[[Display]:[RELID]],2,0),IF(ListExtras[[#This Row],[LID]]=0,"relation",""))</f>
        <v>2109189</v>
      </c>
      <c r="AB59" s="69" t="str">
        <f>IFERROR(VLOOKUP(ListExtras[[#This Row],[R1 Name]],RelationTable[[Display]:[RELID]],2,0),IF(ListExtras[[#This Row],[LID]]=0,"nest_relation1",""))</f>
        <v/>
      </c>
      <c r="AC59" s="69" t="str">
        <f>IFERROR(VLOOKUP(ListExtras[[#This Row],[R2 Name]],RelationTable[[Display]:[RELID]],2,0),IF(ListExtras[[#This Row],[LID]]=0,"nest_relation2",""))</f>
        <v/>
      </c>
      <c r="AD59" s="69" t="str">
        <f>IFERROR(VLOOKUP(ListExtras[[#This Row],[R3 Name]],RelationTable[[Display]:[RELID]],2,0),IF(ListExtras[[#This Row],[LID]]=0,"nest_relation3",""))</f>
        <v/>
      </c>
      <c r="AT59" s="69" t="str">
        <f>'Table Seed Map'!$A$27&amp;"-"&amp;COUNTA($AV$1:ListLayout[[#This Row],[No]])-2</f>
        <v>List Layout-57</v>
      </c>
      <c r="AU59" s="62" t="s">
        <v>1476</v>
      </c>
      <c r="AV59" s="69">
        <f>IF(ListLayout[[#This Row],[List Name for Layout]]="","id",COUNTA($AU$2:ListLayout[[#This Row],[List Name for Layout]])+IF(ISNUMBER(VLOOKUP('Table Seed Map'!$A$27,SeedMap[],9,0)),VLOOKUP('Table Seed Map'!$A$27,SeedMap[],9,0),0))</f>
        <v>2126157</v>
      </c>
      <c r="AW59" s="69">
        <f>IFERROR(VLOOKUP(ListLayout[[#This Row],[List Name for Layout]],ResourceList[[ListDisplayName]:[No]],2,0),"resource_list")</f>
        <v>2123116</v>
      </c>
      <c r="AX59" s="69" t="s">
        <v>785</v>
      </c>
      <c r="AY59" s="107" t="s">
        <v>23</v>
      </c>
      <c r="AZ59" s="69">
        <f>IF(ListLayout[[#This Row],[List Name for Layout]]="","relation",IFERROR(VLOOKUP(ListLayout[[#This Row],[Relation]],RelationTable[[Display]:[RELID]],2,0),""))</f>
        <v>2109170</v>
      </c>
      <c r="BA59" s="69">
        <f>IF(ListLayout[[#This Row],[List Name for Layout]]="","nest_relation1",IFERROR(VLOOKUP(ListLayout[[#This Row],[Relation 1]],RelationTable[[Display]:[RELID]],2,0),""))</f>
        <v>2109162</v>
      </c>
      <c r="BB59" s="69" t="str">
        <f>IF(ListLayout[[#This Row],[List Name for Layout]]="","nest_relation2",IFERROR(VLOOKUP(ListLayout[[#This Row],[Relation 2]],RelationTable[[Display]:[RELID]],2,0),""))</f>
        <v/>
      </c>
      <c r="BC59" s="107" t="s">
        <v>1477</v>
      </c>
      <c r="BD59" s="107" t="s">
        <v>1474</v>
      </c>
      <c r="BE59" s="107"/>
    </row>
    <row r="60" spans="1:57">
      <c r="M60" s="62" t="s">
        <v>1911</v>
      </c>
      <c r="N60" s="63">
        <f>VLOOKUP(ListExtras[[#This Row],[List Name]],ResourceList[[ListDisplayName]:[No]],2,0)</f>
        <v>2123133</v>
      </c>
      <c r="O60" s="62" t="s">
        <v>1912</v>
      </c>
      <c r="P60" s="62" t="s">
        <v>1656</v>
      </c>
      <c r="Q60" s="62"/>
      <c r="R60" s="62"/>
      <c r="S60" s="62"/>
      <c r="T60" s="63" t="str">
        <f>'Table Seed Map'!$A$25&amp;"-"&amp;COUNT($W$1:ListExtras[[#This Row],[Scope ID]])</f>
        <v>List Scopes-14</v>
      </c>
      <c r="U60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2124114</v>
      </c>
      <c r="V60" s="69">
        <f>IF(ListExtras[[#This Row],[LID]]=0,"resource_list",ListExtras[[#This Row],[LID]])</f>
        <v>2123133</v>
      </c>
      <c r="W60" s="69">
        <f>IFERROR(VLOOKUP(ListExtras[[#This Row],[Scope Name]],ResourceScopes[[ScopesDisplayNames]:[No]],2,0),IF(ListExtras[[#This Row],[LID]]=0,"scope",""))</f>
        <v>2108117</v>
      </c>
      <c r="X60" s="63" t="str">
        <f>'Table Seed Map'!$A$26&amp;"-"&amp;COUNT($AA$1:ListExtras[[#This Row],[Relation]])</f>
        <v>List Relation-54</v>
      </c>
      <c r="Y6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2125154</v>
      </c>
      <c r="Z60" s="69">
        <f>IF(ListExtras[[#This Row],[LID]]=0,"resource_list",ListExtras[[#This Row],[LID]])</f>
        <v>2123133</v>
      </c>
      <c r="AA60" s="69">
        <f>IFERROR(VLOOKUP(ListExtras[[#This Row],[Relation Name]],RelationTable[[Display]:[RELID]],2,0),IF(ListExtras[[#This Row],[LID]]=0,"relation",""))</f>
        <v>2109168</v>
      </c>
      <c r="AB60" s="69" t="str">
        <f>IFERROR(VLOOKUP(ListExtras[[#This Row],[R1 Name]],RelationTable[[Display]:[RELID]],2,0),IF(ListExtras[[#This Row],[LID]]=0,"nest_relation1",""))</f>
        <v/>
      </c>
      <c r="AC60" s="69" t="str">
        <f>IFERROR(VLOOKUP(ListExtras[[#This Row],[R2 Name]],RelationTable[[Display]:[RELID]],2,0),IF(ListExtras[[#This Row],[LID]]=0,"nest_relation2",""))</f>
        <v/>
      </c>
      <c r="AD60" s="69" t="str">
        <f>IFERROR(VLOOKUP(ListExtras[[#This Row],[R3 Name]],RelationTable[[Display]:[RELID]],2,0),IF(ListExtras[[#This Row],[LID]]=0,"nest_relation3",""))</f>
        <v/>
      </c>
      <c r="AT60" s="69" t="str">
        <f>'Table Seed Map'!$A$27&amp;"-"&amp;COUNTA($AV$1:ListLayout[[#This Row],[No]])-2</f>
        <v>List Layout-58</v>
      </c>
      <c r="AU60" s="62" t="s">
        <v>1476</v>
      </c>
      <c r="AV60" s="69">
        <f>IF(ListLayout[[#This Row],[List Name for Layout]]="","id",COUNTA($AU$2:ListLayout[[#This Row],[List Name for Layout]])+IF(ISNUMBER(VLOOKUP('Table Seed Map'!$A$27,SeedMap[],9,0)),VLOOKUP('Table Seed Map'!$A$27,SeedMap[],9,0),0))</f>
        <v>2126158</v>
      </c>
      <c r="AW60" s="69">
        <f>IFERROR(VLOOKUP(ListLayout[[#This Row],[List Name for Layout]],ResourceList[[ListDisplayName]:[No]],2,0),"resource_list")</f>
        <v>2123116</v>
      </c>
      <c r="AX60" s="69" t="s">
        <v>1478</v>
      </c>
      <c r="AY60" s="107" t="s">
        <v>882</v>
      </c>
      <c r="AZ60" s="69">
        <f>IF(ListLayout[[#This Row],[List Name for Layout]]="","relation",IFERROR(VLOOKUP(ListLayout[[#This Row],[Relation]],RelationTable[[Display]:[RELID]],2,0),""))</f>
        <v>2109170</v>
      </c>
      <c r="BA60" s="69" t="str">
        <f>IF(ListLayout[[#This Row],[List Name for Layout]]="","nest_relation1",IFERROR(VLOOKUP(ListLayout[[#This Row],[Relation 1]],RelationTable[[Display]:[RELID]],2,0),""))</f>
        <v/>
      </c>
      <c r="BB60" s="69" t="str">
        <f>IF(ListLayout[[#This Row],[List Name for Layout]]="","nest_relation2",IFERROR(VLOOKUP(ListLayout[[#This Row],[Relation 2]],RelationTable[[Display]:[RELID]],2,0),""))</f>
        <v/>
      </c>
      <c r="BC60" s="107" t="s">
        <v>1477</v>
      </c>
      <c r="BD60" s="107"/>
      <c r="BE60" s="107"/>
    </row>
    <row r="61" spans="1:57">
      <c r="M61" s="62" t="s">
        <v>1920</v>
      </c>
      <c r="N61" s="63">
        <f>VLOOKUP(ListExtras[[#This Row],[List Name]],ResourceList[[ListDisplayName]:[No]],2,0)</f>
        <v>2123134</v>
      </c>
      <c r="O61" s="60" t="s">
        <v>1921</v>
      </c>
      <c r="P61" s="62" t="s">
        <v>1656</v>
      </c>
      <c r="Q61" s="62"/>
      <c r="R61" s="62"/>
      <c r="S61" s="62"/>
      <c r="T61" s="63" t="str">
        <f>'Table Seed Map'!$A$25&amp;"-"&amp;COUNT($W$1:ListExtras[[#This Row],[Scope ID]])</f>
        <v>List Scopes-15</v>
      </c>
      <c r="U6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2124115</v>
      </c>
      <c r="V61" s="69">
        <f>IF(ListExtras[[#This Row],[LID]]=0,"resource_list",ListExtras[[#This Row],[LID]])</f>
        <v>2123134</v>
      </c>
      <c r="W61" s="69">
        <f>IFERROR(VLOOKUP(ListExtras[[#This Row],[Scope Name]],ResourceScopes[[ScopesDisplayNames]:[No]],2,0),IF(ListExtras[[#This Row],[LID]]=0,"scope",""))</f>
        <v>2108118</v>
      </c>
      <c r="X61" s="63" t="str">
        <f>'Table Seed Map'!$A$26&amp;"-"&amp;COUNT($AA$1:ListExtras[[#This Row],[Relation]])</f>
        <v>List Relation-55</v>
      </c>
      <c r="Y6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2125155</v>
      </c>
      <c r="Z61" s="69">
        <f>IF(ListExtras[[#This Row],[LID]]=0,"resource_list",ListExtras[[#This Row],[LID]])</f>
        <v>2123134</v>
      </c>
      <c r="AA61" s="69">
        <f>IFERROR(VLOOKUP(ListExtras[[#This Row],[Relation Name]],RelationTable[[Display]:[RELID]],2,0),IF(ListExtras[[#This Row],[LID]]=0,"relation",""))</f>
        <v>2109168</v>
      </c>
      <c r="AB61" s="69" t="str">
        <f>IFERROR(VLOOKUP(ListExtras[[#This Row],[R1 Name]],RelationTable[[Display]:[RELID]],2,0),IF(ListExtras[[#This Row],[LID]]=0,"nest_relation1",""))</f>
        <v/>
      </c>
      <c r="AC61" s="69" t="str">
        <f>IFERROR(VLOOKUP(ListExtras[[#This Row],[R2 Name]],RelationTable[[Display]:[RELID]],2,0),IF(ListExtras[[#This Row],[LID]]=0,"nest_relation2",""))</f>
        <v/>
      </c>
      <c r="AD61" s="69" t="str">
        <f>IFERROR(VLOOKUP(ListExtras[[#This Row],[R3 Name]],RelationTable[[Display]:[RELID]],2,0),IF(ListExtras[[#This Row],[LID]]=0,"nest_relation3",""))</f>
        <v/>
      </c>
      <c r="AT61" s="69" t="str">
        <f>'Table Seed Map'!$A$27&amp;"-"&amp;COUNTA($AV$1:ListLayout[[#This Row],[No]])-2</f>
        <v>List Layout-59</v>
      </c>
      <c r="AU61" s="62" t="s">
        <v>1479</v>
      </c>
      <c r="AV61" s="69">
        <f>IF(ListLayout[[#This Row],[List Name for Layout]]="","id",COUNTA($AU$2:ListLayout[[#This Row],[List Name for Layout]])+IF(ISNUMBER(VLOOKUP('Table Seed Map'!$A$27,SeedMap[],9,0)),VLOOKUP('Table Seed Map'!$A$27,SeedMap[],9,0),0))</f>
        <v>2126159</v>
      </c>
      <c r="AW61" s="69">
        <f>IFERROR(VLOOKUP(ListLayout[[#This Row],[List Name for Layout]],ResourceList[[ListDisplayName]:[No]],2,0),"resource_list")</f>
        <v>2123117</v>
      </c>
      <c r="AX61" s="69" t="s">
        <v>307</v>
      </c>
      <c r="AY61" s="107" t="s">
        <v>21</v>
      </c>
      <c r="AZ61" s="69" t="str">
        <f>IF(ListLayout[[#This Row],[List Name for Layout]]="","relation",IFERROR(VLOOKUP(ListLayout[[#This Row],[Relation]],RelationTable[[Display]:[RELID]],2,0),""))</f>
        <v/>
      </c>
      <c r="BA61" s="69" t="str">
        <f>IF(ListLayout[[#This Row],[List Name for Layout]]="","nest_relation1",IFERROR(VLOOKUP(ListLayout[[#This Row],[Relation 1]],RelationTable[[Display]:[RELID]],2,0),""))</f>
        <v/>
      </c>
      <c r="BB61" s="69" t="str">
        <f>IF(ListLayout[[#This Row],[List Name for Layout]]="","nest_relation2",IFERROR(VLOOKUP(ListLayout[[#This Row],[Relation 2]],RelationTable[[Display]:[RELID]],2,0),""))</f>
        <v/>
      </c>
      <c r="BC61" s="107"/>
      <c r="BD61" s="107"/>
      <c r="BE61" s="107"/>
    </row>
    <row r="62" spans="1:57">
      <c r="M62" s="2" t="s">
        <v>1962</v>
      </c>
      <c r="N62" s="63">
        <f>VLOOKUP(ListExtras[[#This Row],[List Name]],ResourceList[[ListDisplayName]:[No]],2,0)</f>
        <v>2123135</v>
      </c>
      <c r="O62" s="60" t="s">
        <v>1939</v>
      </c>
      <c r="P62" s="62" t="s">
        <v>1943</v>
      </c>
      <c r="Q62" s="62"/>
      <c r="R62" s="62"/>
      <c r="S62" s="62"/>
      <c r="T62" s="63" t="str">
        <f>'Table Seed Map'!$A$25&amp;"-"&amp;COUNT($W$1:ListExtras[[#This Row],[Scope ID]])</f>
        <v>List Scopes-16</v>
      </c>
      <c r="U62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2124116</v>
      </c>
      <c r="V62" s="69">
        <f>IF(ListExtras[[#This Row],[LID]]=0,"resource_list",ListExtras[[#This Row],[LID]])</f>
        <v>2123135</v>
      </c>
      <c r="W62" s="69">
        <f>IFERROR(VLOOKUP(ListExtras[[#This Row],[Scope Name]],ResourceScopes[[ScopesDisplayNames]:[No]],2,0),IF(ListExtras[[#This Row],[LID]]=0,"scope",""))</f>
        <v>2108119</v>
      </c>
      <c r="X62" s="63" t="str">
        <f>'Table Seed Map'!$A$26&amp;"-"&amp;COUNT($AA$1:ListExtras[[#This Row],[Relation]])</f>
        <v>List Relation-56</v>
      </c>
      <c r="Y6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2125156</v>
      </c>
      <c r="Z62" s="69">
        <f>IF(ListExtras[[#This Row],[LID]]=0,"resource_list",ListExtras[[#This Row],[LID]])</f>
        <v>2123135</v>
      </c>
      <c r="AA62" s="69">
        <f>IFERROR(VLOOKUP(ListExtras[[#This Row],[Relation Name]],RelationTable[[Display]:[RELID]],2,0),IF(ListExtras[[#This Row],[LID]]=0,"relation",""))</f>
        <v>2109190</v>
      </c>
      <c r="AB62" s="69" t="str">
        <f>IFERROR(VLOOKUP(ListExtras[[#This Row],[R1 Name]],RelationTable[[Display]:[RELID]],2,0),IF(ListExtras[[#This Row],[LID]]=0,"nest_relation1",""))</f>
        <v/>
      </c>
      <c r="AC62" s="69" t="str">
        <f>IFERROR(VLOOKUP(ListExtras[[#This Row],[R2 Name]],RelationTable[[Display]:[RELID]],2,0),IF(ListExtras[[#This Row],[LID]]=0,"nest_relation2",""))</f>
        <v/>
      </c>
      <c r="AD62" s="69" t="str">
        <f>IFERROR(VLOOKUP(ListExtras[[#This Row],[R3 Name]],RelationTable[[Display]:[RELID]],2,0),IF(ListExtras[[#This Row],[LID]]=0,"nest_relation3",""))</f>
        <v/>
      </c>
      <c r="AT62" s="69" t="str">
        <f>'Table Seed Map'!$A$27&amp;"-"&amp;COUNTA($AV$1:ListLayout[[#This Row],[No]])-2</f>
        <v>List Layout-60</v>
      </c>
      <c r="AU62" s="62" t="s">
        <v>1479</v>
      </c>
      <c r="AV62" s="69">
        <f>IF(ListLayout[[#This Row],[List Name for Layout]]="","id",COUNTA($AU$2:ListLayout[[#This Row],[List Name for Layout]])+IF(ISNUMBER(VLOOKUP('Table Seed Map'!$A$27,SeedMap[],9,0)),VLOOKUP('Table Seed Map'!$A$27,SeedMap[],9,0),0))</f>
        <v>2126160</v>
      </c>
      <c r="AW62" s="69">
        <f>IFERROR(VLOOKUP(ListLayout[[#This Row],[List Name for Layout]],ResourceList[[ListDisplayName]:[No]],2,0),"resource_list")</f>
        <v>2123117</v>
      </c>
      <c r="AX62" s="69" t="s">
        <v>1331</v>
      </c>
      <c r="AY62" s="107" t="s">
        <v>827</v>
      </c>
      <c r="AZ62" s="69" t="str">
        <f>IF(ListLayout[[#This Row],[List Name for Layout]]="","relation",IFERROR(VLOOKUP(ListLayout[[#This Row],[Relation]],RelationTable[[Display]:[RELID]],2,0),""))</f>
        <v/>
      </c>
      <c r="BA62" s="69" t="str">
        <f>IF(ListLayout[[#This Row],[List Name for Layout]]="","nest_relation1",IFERROR(VLOOKUP(ListLayout[[#This Row],[Relation 1]],RelationTable[[Display]:[RELID]],2,0),""))</f>
        <v/>
      </c>
      <c r="BB62" s="69" t="str">
        <f>IF(ListLayout[[#This Row],[List Name for Layout]]="","nest_relation2",IFERROR(VLOOKUP(ListLayout[[#This Row],[Relation 2]],RelationTable[[Display]:[RELID]],2,0),""))</f>
        <v/>
      </c>
      <c r="BC62" s="107"/>
      <c r="BD62" s="107"/>
      <c r="BE62" s="107"/>
    </row>
    <row r="63" spans="1:57">
      <c r="M63" s="2" t="s">
        <v>1963</v>
      </c>
      <c r="N63" s="63">
        <f>VLOOKUP(ListExtras[[#This Row],[List Name]],ResourceList[[ListDisplayName]:[No]],2,0)</f>
        <v>2123136</v>
      </c>
      <c r="O63" s="60" t="s">
        <v>1940</v>
      </c>
      <c r="P63" s="62" t="s">
        <v>1656</v>
      </c>
      <c r="Q63" s="62"/>
      <c r="R63" s="62"/>
      <c r="S63" s="62"/>
      <c r="T63" s="63" t="str">
        <f>'Table Seed Map'!$A$25&amp;"-"&amp;COUNT($W$1:ListExtras[[#This Row],[Scope ID]])</f>
        <v>List Scopes-17</v>
      </c>
      <c r="U6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2124117</v>
      </c>
      <c r="V63" s="69">
        <f>IF(ListExtras[[#This Row],[LID]]=0,"resource_list",ListExtras[[#This Row],[LID]])</f>
        <v>2123136</v>
      </c>
      <c r="W63" s="69">
        <f>IFERROR(VLOOKUP(ListExtras[[#This Row],[Scope Name]],ResourceScopes[[ScopesDisplayNames]:[No]],2,0),IF(ListExtras[[#This Row],[LID]]=0,"scope",""))</f>
        <v>2108120</v>
      </c>
      <c r="X63" s="63" t="str">
        <f>'Table Seed Map'!$A$26&amp;"-"&amp;COUNT($AA$1:ListExtras[[#This Row],[Relation]])</f>
        <v>List Relation-57</v>
      </c>
      <c r="Y6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2125157</v>
      </c>
      <c r="Z63" s="69">
        <f>IF(ListExtras[[#This Row],[LID]]=0,"resource_list",ListExtras[[#This Row],[LID]])</f>
        <v>2123136</v>
      </c>
      <c r="AA63" s="69">
        <f>IFERROR(VLOOKUP(ListExtras[[#This Row],[Relation Name]],RelationTable[[Display]:[RELID]],2,0),IF(ListExtras[[#This Row],[LID]]=0,"relation",""))</f>
        <v>2109168</v>
      </c>
      <c r="AB63" s="69" t="str">
        <f>IFERROR(VLOOKUP(ListExtras[[#This Row],[R1 Name]],RelationTable[[Display]:[RELID]],2,0),IF(ListExtras[[#This Row],[LID]]=0,"nest_relation1",""))</f>
        <v/>
      </c>
      <c r="AC63" s="69" t="str">
        <f>IFERROR(VLOOKUP(ListExtras[[#This Row],[R2 Name]],RelationTable[[Display]:[RELID]],2,0),IF(ListExtras[[#This Row],[LID]]=0,"nest_relation2",""))</f>
        <v/>
      </c>
      <c r="AD63" s="69" t="str">
        <f>IFERROR(VLOOKUP(ListExtras[[#This Row],[R3 Name]],RelationTable[[Display]:[RELID]],2,0),IF(ListExtras[[#This Row],[LID]]=0,"nest_relation3",""))</f>
        <v/>
      </c>
      <c r="AT63" s="69" t="str">
        <f>'Table Seed Map'!$A$27&amp;"-"&amp;COUNTA($AV$1:ListLayout[[#This Row],[No]])-2</f>
        <v>List Layout-61</v>
      </c>
      <c r="AU63" s="62" t="s">
        <v>1479</v>
      </c>
      <c r="AV63" s="69">
        <f>IF(ListLayout[[#This Row],[List Name for Layout]]="","id",COUNTA($AU$2:ListLayout[[#This Row],[List Name for Layout]])+IF(ISNUMBER(VLOOKUP('Table Seed Map'!$A$27,SeedMap[],9,0)),VLOOKUP('Table Seed Map'!$A$27,SeedMap[],9,0),0))</f>
        <v>2126161</v>
      </c>
      <c r="AW63" s="69">
        <f>IFERROR(VLOOKUP(ListLayout[[#This Row],[List Name for Layout]],ResourceList[[ListDisplayName]:[No]],2,0),"resource_list")</f>
        <v>2123117</v>
      </c>
      <c r="AX63" s="69" t="s">
        <v>777</v>
      </c>
      <c r="AY63" s="107" t="s">
        <v>23</v>
      </c>
      <c r="AZ63" s="69">
        <f>IF(ListLayout[[#This Row],[List Name for Layout]]="","relation",IFERROR(VLOOKUP(ListLayout[[#This Row],[Relation]],RelationTable[[Display]:[RELID]],2,0),""))</f>
        <v>2109172</v>
      </c>
      <c r="BA63" s="69" t="str">
        <f>IF(ListLayout[[#This Row],[List Name for Layout]]="","nest_relation1",IFERROR(VLOOKUP(ListLayout[[#This Row],[Relation 1]],RelationTable[[Display]:[RELID]],2,0),""))</f>
        <v/>
      </c>
      <c r="BB63" s="69" t="str">
        <f>IF(ListLayout[[#This Row],[List Name for Layout]]="","nest_relation2",IFERROR(VLOOKUP(ListLayout[[#This Row],[Relation 2]],RelationTable[[Display]:[RELID]],2,0),""))</f>
        <v/>
      </c>
      <c r="BC63" s="107" t="s">
        <v>1480</v>
      </c>
      <c r="BD63" s="107"/>
      <c r="BE63" s="107"/>
    </row>
    <row r="64" spans="1:57">
      <c r="M64" s="2" t="s">
        <v>1964</v>
      </c>
      <c r="N64" s="63">
        <f>VLOOKUP(ListExtras[[#This Row],[List Name]],ResourceList[[ListDisplayName]:[No]],2,0)</f>
        <v>2123137</v>
      </c>
      <c r="O64" s="60" t="s">
        <v>1942</v>
      </c>
      <c r="P64" s="62" t="s">
        <v>1656</v>
      </c>
      <c r="Q64" s="62"/>
      <c r="R64" s="62"/>
      <c r="S64" s="62"/>
      <c r="T64" s="63" t="str">
        <f>'Table Seed Map'!$A$25&amp;"-"&amp;COUNT($W$1:ListExtras[[#This Row],[Scope ID]])</f>
        <v>List Scopes-18</v>
      </c>
      <c r="U64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2124118</v>
      </c>
      <c r="V64" s="69">
        <f>IF(ListExtras[[#This Row],[LID]]=0,"resource_list",ListExtras[[#This Row],[LID]])</f>
        <v>2123137</v>
      </c>
      <c r="W64" s="69">
        <f>IFERROR(VLOOKUP(ListExtras[[#This Row],[Scope Name]],ResourceScopes[[ScopesDisplayNames]:[No]],2,0),IF(ListExtras[[#This Row],[LID]]=0,"scope",""))</f>
        <v>2108121</v>
      </c>
      <c r="X64" s="63" t="str">
        <f>'Table Seed Map'!$A$26&amp;"-"&amp;COUNT($AA$1:ListExtras[[#This Row],[Relation]])</f>
        <v>List Relation-58</v>
      </c>
      <c r="Y6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2125158</v>
      </c>
      <c r="Z64" s="69">
        <f>IF(ListExtras[[#This Row],[LID]]=0,"resource_list",ListExtras[[#This Row],[LID]])</f>
        <v>2123137</v>
      </c>
      <c r="AA64" s="69">
        <f>IFERROR(VLOOKUP(ListExtras[[#This Row],[Relation Name]],RelationTable[[Display]:[RELID]],2,0),IF(ListExtras[[#This Row],[LID]]=0,"relation",""))</f>
        <v>2109168</v>
      </c>
      <c r="AB64" s="69" t="str">
        <f>IFERROR(VLOOKUP(ListExtras[[#This Row],[R1 Name]],RelationTable[[Display]:[RELID]],2,0),IF(ListExtras[[#This Row],[LID]]=0,"nest_relation1",""))</f>
        <v/>
      </c>
      <c r="AC64" s="69" t="str">
        <f>IFERROR(VLOOKUP(ListExtras[[#This Row],[R2 Name]],RelationTable[[Display]:[RELID]],2,0),IF(ListExtras[[#This Row],[LID]]=0,"nest_relation2",""))</f>
        <v/>
      </c>
      <c r="AD64" s="69" t="str">
        <f>IFERROR(VLOOKUP(ListExtras[[#This Row],[R3 Name]],RelationTable[[Display]:[RELID]],2,0),IF(ListExtras[[#This Row],[LID]]=0,"nest_relation3",""))</f>
        <v/>
      </c>
      <c r="AT64" s="69" t="str">
        <f>'Table Seed Map'!$A$27&amp;"-"&amp;COUNTA($AV$1:ListLayout[[#This Row],[No]])-2</f>
        <v>List Layout-62</v>
      </c>
      <c r="AU64" s="62" t="s">
        <v>1479</v>
      </c>
      <c r="AV64" s="69">
        <f>IF(ListLayout[[#This Row],[List Name for Layout]]="","id",COUNTA($AU$2:ListLayout[[#This Row],[List Name for Layout]])+IF(ISNUMBER(VLOOKUP('Table Seed Map'!$A$27,SeedMap[],9,0)),VLOOKUP('Table Seed Map'!$A$27,SeedMap[],9,0),0))</f>
        <v>2126162</v>
      </c>
      <c r="AW64" s="69">
        <f>IFERROR(VLOOKUP(ListLayout[[#This Row],[List Name for Layout]],ResourceList[[ListDisplayName]:[No]],2,0),"resource_list")</f>
        <v>2123117</v>
      </c>
      <c r="AX64" s="69" t="s">
        <v>787</v>
      </c>
      <c r="AY64" s="107" t="s">
        <v>23</v>
      </c>
      <c r="AZ64" s="69">
        <f>IF(ListLayout[[#This Row],[List Name for Layout]]="","relation",IFERROR(VLOOKUP(ListLayout[[#This Row],[Relation]],RelationTable[[Display]:[RELID]],2,0),""))</f>
        <v>2109171</v>
      </c>
      <c r="BA64" s="69" t="str">
        <f>IF(ListLayout[[#This Row],[List Name for Layout]]="","nest_relation1",IFERROR(VLOOKUP(ListLayout[[#This Row],[Relation 1]],RelationTable[[Display]:[RELID]],2,0),""))</f>
        <v/>
      </c>
      <c r="BB64" s="69" t="str">
        <f>IF(ListLayout[[#This Row],[List Name for Layout]]="","nest_relation2",IFERROR(VLOOKUP(ListLayout[[#This Row],[Relation 2]],RelationTable[[Display]:[RELID]],2,0),""))</f>
        <v/>
      </c>
      <c r="BC64" s="107" t="s">
        <v>1486</v>
      </c>
      <c r="BD64" s="107"/>
      <c r="BE64" s="107"/>
    </row>
    <row r="65" spans="2:57">
      <c r="M65" s="2" t="s">
        <v>1965</v>
      </c>
      <c r="N65" s="9">
        <f>VLOOKUP(ListExtras[[#This Row],[List Name]],ResourceList[[ListDisplayName]:[No]],2,0)</f>
        <v>2123138</v>
      </c>
      <c r="O65" s="60" t="s">
        <v>1921</v>
      </c>
      <c r="P65" s="62" t="s">
        <v>1943</v>
      </c>
      <c r="Q65" s="2"/>
      <c r="R65" s="2"/>
      <c r="S65" s="2"/>
      <c r="T65" s="9" t="str">
        <f>'Table Seed Map'!$A$25&amp;"-"&amp;COUNT($W$1:ListExtras[[#This Row],[Scope ID]])</f>
        <v>List Scopes-19</v>
      </c>
      <c r="U65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2124119</v>
      </c>
      <c r="V65" s="16">
        <f>IF(ListExtras[[#This Row],[LID]]=0,"resource_list",ListExtras[[#This Row],[LID]])</f>
        <v>2123138</v>
      </c>
      <c r="W65" s="16">
        <f>IFERROR(VLOOKUP(ListExtras[[#This Row],[Scope Name]],ResourceScopes[[ScopesDisplayNames]:[No]],2,0),IF(ListExtras[[#This Row],[LID]]=0,"scope",""))</f>
        <v>2108118</v>
      </c>
      <c r="X65" s="9" t="str">
        <f>'Table Seed Map'!$A$26&amp;"-"&amp;COUNT($AA$1:ListExtras[[#This Row],[Relation]])</f>
        <v>List Relation-59</v>
      </c>
      <c r="Y65" s="16">
        <f>IF(ListExtras[[#This Row],[LID]]=0,"id",IF(ListExtras[[#This Row],[Relation]]="","",COUNT($AA$2:ListExtras[[#This Row],[Relation]])+IF(ISNUMBER(VLOOKUP('Table Seed Map'!$A$26,SeedMap[],9,0)),VLOOKUP('Table Seed Map'!$A$26,SeedMap[],9,0),0)))</f>
        <v>2125159</v>
      </c>
      <c r="Z65" s="16">
        <f>IF(ListExtras[[#This Row],[LID]]=0,"resource_list",ListExtras[[#This Row],[LID]])</f>
        <v>2123138</v>
      </c>
      <c r="AA65" s="16">
        <f>IFERROR(VLOOKUP(ListExtras[[#This Row],[Relation Name]],RelationTable[[Display]:[RELID]],2,0),IF(ListExtras[[#This Row],[LID]]=0,"relation",""))</f>
        <v>2109190</v>
      </c>
      <c r="AB65" s="16" t="str">
        <f>IFERROR(VLOOKUP(ListExtras[[#This Row],[R1 Name]],RelationTable[[Display]:[RELID]],2,0),IF(ListExtras[[#This Row],[LID]]=0,"nest_relation1",""))</f>
        <v/>
      </c>
      <c r="AC65" s="16" t="str">
        <f>IFERROR(VLOOKUP(ListExtras[[#This Row],[R2 Name]],RelationTable[[Display]:[RELID]],2,0),IF(ListExtras[[#This Row],[LID]]=0,"nest_relation2",""))</f>
        <v/>
      </c>
      <c r="AD65" s="16" t="str">
        <f>IFERROR(VLOOKUP(ListExtras[[#This Row],[R3 Name]],RelationTable[[Display]:[RELID]],2,0),IF(ListExtras[[#This Row],[LID]]=0,"nest_relation3",""))</f>
        <v/>
      </c>
      <c r="AT65" s="69" t="str">
        <f>'Table Seed Map'!$A$27&amp;"-"&amp;COUNTA($AV$1:ListLayout[[#This Row],[No]])-2</f>
        <v>List Layout-63</v>
      </c>
      <c r="AU65" s="62" t="s">
        <v>1481</v>
      </c>
      <c r="AV65" s="69">
        <f>IF(ListLayout[[#This Row],[List Name for Layout]]="","id",COUNTA($AU$2:ListLayout[[#This Row],[List Name for Layout]])+IF(ISNUMBER(VLOOKUP('Table Seed Map'!$A$27,SeedMap[],9,0)),VLOOKUP('Table Seed Map'!$A$27,SeedMap[],9,0),0))</f>
        <v>2126163</v>
      </c>
      <c r="AW65" s="69">
        <f>IFERROR(VLOOKUP(ListLayout[[#This Row],[List Name for Layout]],ResourceList[[ListDisplayName]:[No]],2,0),"resource_list")</f>
        <v>2123118</v>
      </c>
      <c r="AX65" s="69" t="s">
        <v>307</v>
      </c>
      <c r="AY65" s="107" t="s">
        <v>21</v>
      </c>
      <c r="AZ65" s="69" t="str">
        <f>IF(ListLayout[[#This Row],[List Name for Layout]]="","relation",IFERROR(VLOOKUP(ListLayout[[#This Row],[Relation]],RelationTable[[Display]:[RELID]],2,0),""))</f>
        <v/>
      </c>
      <c r="BA65" s="69" t="str">
        <f>IF(ListLayout[[#This Row],[List Name for Layout]]="","nest_relation1",IFERROR(VLOOKUP(ListLayout[[#This Row],[Relation 1]],RelationTable[[Display]:[RELID]],2,0),""))</f>
        <v/>
      </c>
      <c r="BB65" s="69" t="str">
        <f>IF(ListLayout[[#This Row],[List Name for Layout]]="","nest_relation2",IFERROR(VLOOKUP(ListLayout[[#This Row],[Relation 2]],RelationTable[[Display]:[RELID]],2,0),""))</f>
        <v/>
      </c>
      <c r="BC65" s="107"/>
      <c r="BD65" s="107"/>
      <c r="BE65" s="107"/>
    </row>
    <row r="66" spans="2:57">
      <c r="M66" s="2" t="s">
        <v>1965</v>
      </c>
      <c r="N66" s="9">
        <f>VLOOKUP(ListExtras[[#This Row],[List Name]],ResourceList[[ListDisplayName]:[No]],2,0)</f>
        <v>2123138</v>
      </c>
      <c r="O66" s="60" t="s">
        <v>1939</v>
      </c>
      <c r="P66" s="2"/>
      <c r="Q66" s="2"/>
      <c r="R66" s="2"/>
      <c r="S66" s="2"/>
      <c r="T66" s="9" t="str">
        <f>'Table Seed Map'!$A$25&amp;"-"&amp;COUNT($W$1:ListExtras[[#This Row],[Scope ID]])</f>
        <v>List Scopes-20</v>
      </c>
      <c r="U66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2124120</v>
      </c>
      <c r="V66" s="16">
        <f>IF(ListExtras[[#This Row],[LID]]=0,"resource_list",ListExtras[[#This Row],[LID]])</f>
        <v>2123138</v>
      </c>
      <c r="W66" s="16">
        <f>IFERROR(VLOOKUP(ListExtras[[#This Row],[Scope Name]],ResourceScopes[[ScopesDisplayNames]:[No]],2,0),IF(ListExtras[[#This Row],[LID]]=0,"scope",""))</f>
        <v>2108119</v>
      </c>
      <c r="X66" s="9" t="str">
        <f>'Table Seed Map'!$A$26&amp;"-"&amp;COUNT($AA$1:ListExtras[[#This Row],[Relation]])</f>
        <v>List Relation-59</v>
      </c>
      <c r="Y66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6" s="16">
        <f>IF(ListExtras[[#This Row],[LID]]=0,"resource_list",ListExtras[[#This Row],[LID]])</f>
        <v>2123138</v>
      </c>
      <c r="AA66" s="16" t="str">
        <f>IFERROR(VLOOKUP(ListExtras[[#This Row],[Relation Name]],RelationTable[[Display]:[RELID]],2,0),IF(ListExtras[[#This Row],[LID]]=0,"relation",""))</f>
        <v/>
      </c>
      <c r="AB66" s="16" t="str">
        <f>IFERROR(VLOOKUP(ListExtras[[#This Row],[R1 Name]],RelationTable[[Display]:[RELID]],2,0),IF(ListExtras[[#This Row],[LID]]=0,"nest_relation1",""))</f>
        <v/>
      </c>
      <c r="AC66" s="16" t="str">
        <f>IFERROR(VLOOKUP(ListExtras[[#This Row],[R2 Name]],RelationTable[[Display]:[RELID]],2,0),IF(ListExtras[[#This Row],[LID]]=0,"nest_relation2",""))</f>
        <v/>
      </c>
      <c r="AD66" s="16" t="str">
        <f>IFERROR(VLOOKUP(ListExtras[[#This Row],[R3 Name]],RelationTable[[Display]:[RELID]],2,0),IF(ListExtras[[#This Row],[LID]]=0,"nest_relation3",""))</f>
        <v/>
      </c>
      <c r="AT66" s="69" t="str">
        <f>'Table Seed Map'!$A$27&amp;"-"&amp;COUNTA($AV$1:ListLayout[[#This Row],[No]])-2</f>
        <v>List Layout-64</v>
      </c>
      <c r="AU66" s="62" t="s">
        <v>1481</v>
      </c>
      <c r="AV66" s="69">
        <f>IF(ListLayout[[#This Row],[List Name for Layout]]="","id",COUNTA($AU$2:ListLayout[[#This Row],[List Name for Layout]])+IF(ISNUMBER(VLOOKUP('Table Seed Map'!$A$27,SeedMap[],9,0)),VLOOKUP('Table Seed Map'!$A$27,SeedMap[],9,0),0))</f>
        <v>2126164</v>
      </c>
      <c r="AW66" s="69">
        <f>IFERROR(VLOOKUP(ListLayout[[#This Row],[List Name for Layout]],ResourceList[[ListDisplayName]:[No]],2,0),"resource_list")</f>
        <v>2123118</v>
      </c>
      <c r="AX66" s="69" t="s">
        <v>1331</v>
      </c>
      <c r="AY66" s="107" t="s">
        <v>827</v>
      </c>
      <c r="AZ66" s="69" t="str">
        <f>IF(ListLayout[[#This Row],[List Name for Layout]]="","relation",IFERROR(VLOOKUP(ListLayout[[#This Row],[Relation]],RelationTable[[Display]:[RELID]],2,0),""))</f>
        <v/>
      </c>
      <c r="BA66" s="69" t="str">
        <f>IF(ListLayout[[#This Row],[List Name for Layout]]="","nest_relation1",IFERROR(VLOOKUP(ListLayout[[#This Row],[Relation 1]],RelationTable[[Display]:[RELID]],2,0),""))</f>
        <v/>
      </c>
      <c r="BB66" s="69" t="str">
        <f>IF(ListLayout[[#This Row],[List Name for Layout]]="","nest_relation2",IFERROR(VLOOKUP(ListLayout[[#This Row],[Relation 2]],RelationTable[[Display]:[RELID]],2,0),""))</f>
        <v/>
      </c>
      <c r="BC66" s="107"/>
      <c r="BD66" s="107"/>
      <c r="BE66" s="107"/>
    </row>
    <row r="67" spans="2:57">
      <c r="M67" s="2" t="s">
        <v>1966</v>
      </c>
      <c r="N67" s="9">
        <f>VLOOKUP(ListExtras[[#This Row],[List Name]],ResourceList[[ListDisplayName]:[No]],2,0)</f>
        <v>2123139</v>
      </c>
      <c r="O67" s="60" t="s">
        <v>1921</v>
      </c>
      <c r="P67" s="2"/>
      <c r="Q67" s="2"/>
      <c r="R67" s="2"/>
      <c r="S67" s="2"/>
      <c r="T67" s="9" t="str">
        <f>'Table Seed Map'!$A$25&amp;"-"&amp;COUNT($W$1:ListExtras[[#This Row],[Scope ID]])</f>
        <v>List Scopes-21</v>
      </c>
      <c r="U67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2124121</v>
      </c>
      <c r="V67" s="16">
        <f>IF(ListExtras[[#This Row],[LID]]=0,"resource_list",ListExtras[[#This Row],[LID]])</f>
        <v>2123139</v>
      </c>
      <c r="W67" s="16">
        <f>IFERROR(VLOOKUP(ListExtras[[#This Row],[Scope Name]],ResourceScopes[[ScopesDisplayNames]:[No]],2,0),IF(ListExtras[[#This Row],[LID]]=0,"scope",""))</f>
        <v>2108118</v>
      </c>
      <c r="X67" s="9" t="str">
        <f>'Table Seed Map'!$A$26&amp;"-"&amp;COUNT($AA$1:ListExtras[[#This Row],[Relation]])</f>
        <v>List Relation-59</v>
      </c>
      <c r="Y67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7" s="16">
        <f>IF(ListExtras[[#This Row],[LID]]=0,"resource_list",ListExtras[[#This Row],[LID]])</f>
        <v>2123139</v>
      </c>
      <c r="AA67" s="16" t="str">
        <f>IFERROR(VLOOKUP(ListExtras[[#This Row],[Relation Name]],RelationTable[[Display]:[RELID]],2,0),IF(ListExtras[[#This Row],[LID]]=0,"relation",""))</f>
        <v/>
      </c>
      <c r="AB67" s="16" t="str">
        <f>IFERROR(VLOOKUP(ListExtras[[#This Row],[R1 Name]],RelationTable[[Display]:[RELID]],2,0),IF(ListExtras[[#This Row],[LID]]=0,"nest_relation1",""))</f>
        <v/>
      </c>
      <c r="AC67" s="16" t="str">
        <f>IFERROR(VLOOKUP(ListExtras[[#This Row],[R2 Name]],RelationTable[[Display]:[RELID]],2,0),IF(ListExtras[[#This Row],[LID]]=0,"nest_relation2",""))</f>
        <v/>
      </c>
      <c r="AD67" s="16" t="str">
        <f>IFERROR(VLOOKUP(ListExtras[[#This Row],[R3 Name]],RelationTable[[Display]:[RELID]],2,0),IF(ListExtras[[#This Row],[LID]]=0,"nest_relation3",""))</f>
        <v/>
      </c>
      <c r="AT67" s="69" t="str">
        <f>'Table Seed Map'!$A$27&amp;"-"&amp;COUNTA($AV$1:ListLayout[[#This Row],[No]])-2</f>
        <v>List Layout-65</v>
      </c>
      <c r="AU67" s="62" t="s">
        <v>1481</v>
      </c>
      <c r="AV67" s="69">
        <f>IF(ListLayout[[#This Row],[List Name for Layout]]="","id",COUNTA($AU$2:ListLayout[[#This Row],[List Name for Layout]])+IF(ISNUMBER(VLOOKUP('Table Seed Map'!$A$27,SeedMap[],9,0)),VLOOKUP('Table Seed Map'!$A$27,SeedMap[],9,0),0))</f>
        <v>2126165</v>
      </c>
      <c r="AW67" s="69">
        <f>IFERROR(VLOOKUP(ListLayout[[#This Row],[List Name for Layout]],ResourceList[[ListDisplayName]:[No]],2,0),"resource_list")</f>
        <v>2123118</v>
      </c>
      <c r="AX67" s="69" t="s">
        <v>1482</v>
      </c>
      <c r="AY67" s="107" t="s">
        <v>23</v>
      </c>
      <c r="AZ67" s="69">
        <f>IF(ListLayout[[#This Row],[List Name for Layout]]="","relation",IFERROR(VLOOKUP(ListLayout[[#This Row],[Relation]],RelationTable[[Display]:[RELID]],2,0),""))</f>
        <v>2109177</v>
      </c>
      <c r="BA67" s="69" t="str">
        <f>IF(ListLayout[[#This Row],[List Name for Layout]]="","nest_relation1",IFERROR(VLOOKUP(ListLayout[[#This Row],[Relation 1]],RelationTable[[Display]:[RELID]],2,0),""))</f>
        <v/>
      </c>
      <c r="BB67" s="69" t="str">
        <f>IF(ListLayout[[#This Row],[List Name for Layout]]="","nest_relation2",IFERROR(VLOOKUP(ListLayout[[#This Row],[Relation 2]],RelationTable[[Display]:[RELID]],2,0),""))</f>
        <v/>
      </c>
      <c r="BC67" s="107" t="s">
        <v>1484</v>
      </c>
      <c r="BD67" s="107"/>
      <c r="BE67" s="107"/>
    </row>
    <row r="68" spans="2:57">
      <c r="M68" s="2" t="s">
        <v>1966</v>
      </c>
      <c r="N68" s="9">
        <f>VLOOKUP(ListExtras[[#This Row],[List Name]],ResourceList[[ListDisplayName]:[No]],2,0)</f>
        <v>2123139</v>
      </c>
      <c r="O68" s="60" t="s">
        <v>1940</v>
      </c>
      <c r="P68" s="2"/>
      <c r="Q68" s="2"/>
      <c r="R68" s="2"/>
      <c r="S68" s="2"/>
      <c r="T68" s="9" t="str">
        <f>'Table Seed Map'!$A$25&amp;"-"&amp;COUNT($W$1:ListExtras[[#This Row],[Scope ID]])</f>
        <v>List Scopes-22</v>
      </c>
      <c r="U68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2124122</v>
      </c>
      <c r="V68" s="16">
        <f>IF(ListExtras[[#This Row],[LID]]=0,"resource_list",ListExtras[[#This Row],[LID]])</f>
        <v>2123139</v>
      </c>
      <c r="W68" s="16">
        <f>IFERROR(VLOOKUP(ListExtras[[#This Row],[Scope Name]],ResourceScopes[[ScopesDisplayNames]:[No]],2,0),IF(ListExtras[[#This Row],[LID]]=0,"scope",""))</f>
        <v>2108120</v>
      </c>
      <c r="X68" s="9" t="str">
        <f>'Table Seed Map'!$A$26&amp;"-"&amp;COUNT($AA$1:ListExtras[[#This Row],[Relation]])</f>
        <v>List Relation-59</v>
      </c>
      <c r="Y68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8" s="16">
        <f>IF(ListExtras[[#This Row],[LID]]=0,"resource_list",ListExtras[[#This Row],[LID]])</f>
        <v>2123139</v>
      </c>
      <c r="AA68" s="16" t="str">
        <f>IFERROR(VLOOKUP(ListExtras[[#This Row],[Relation Name]],RelationTable[[Display]:[RELID]],2,0),IF(ListExtras[[#This Row],[LID]]=0,"relation",""))</f>
        <v/>
      </c>
      <c r="AB68" s="16" t="str">
        <f>IFERROR(VLOOKUP(ListExtras[[#This Row],[R1 Name]],RelationTable[[Display]:[RELID]],2,0),IF(ListExtras[[#This Row],[LID]]=0,"nest_relation1",""))</f>
        <v/>
      </c>
      <c r="AC68" s="16" t="str">
        <f>IFERROR(VLOOKUP(ListExtras[[#This Row],[R2 Name]],RelationTable[[Display]:[RELID]],2,0),IF(ListExtras[[#This Row],[LID]]=0,"nest_relation2",""))</f>
        <v/>
      </c>
      <c r="AD68" s="16" t="str">
        <f>IFERROR(VLOOKUP(ListExtras[[#This Row],[R3 Name]],RelationTable[[Display]:[RELID]],2,0),IF(ListExtras[[#This Row],[LID]]=0,"nest_relation3",""))</f>
        <v/>
      </c>
      <c r="AT68" s="69" t="str">
        <f>'Table Seed Map'!$A$27&amp;"-"&amp;COUNTA($AV$1:ListLayout[[#This Row],[No]])-2</f>
        <v>List Layout-66</v>
      </c>
      <c r="AU68" s="62" t="s">
        <v>1481</v>
      </c>
      <c r="AV68" s="69">
        <f>IF(ListLayout[[#This Row],[List Name for Layout]]="","id",COUNTA($AU$2:ListLayout[[#This Row],[List Name for Layout]])+IF(ISNUMBER(VLOOKUP('Table Seed Map'!$A$27,SeedMap[],9,0)),VLOOKUP('Table Seed Map'!$A$27,SeedMap[],9,0),0))</f>
        <v>2126166</v>
      </c>
      <c r="AW68" s="69">
        <f>IFERROR(VLOOKUP(ListLayout[[#This Row],[List Name for Layout]],ResourceList[[ListDisplayName]:[No]],2,0),"resource_list")</f>
        <v>2123118</v>
      </c>
      <c r="AX68" s="69" t="s">
        <v>1483</v>
      </c>
      <c r="AY68" s="107" t="s">
        <v>23</v>
      </c>
      <c r="AZ68" s="69">
        <f>IF(ListLayout[[#This Row],[List Name for Layout]]="","relation",IFERROR(VLOOKUP(ListLayout[[#This Row],[Relation]],RelationTable[[Display]:[RELID]],2,0),""))</f>
        <v>2109178</v>
      </c>
      <c r="BA68" s="69" t="str">
        <f>IF(ListLayout[[#This Row],[List Name for Layout]]="","nest_relation1",IFERROR(VLOOKUP(ListLayout[[#This Row],[Relation 1]],RelationTable[[Display]:[RELID]],2,0),""))</f>
        <v/>
      </c>
      <c r="BB68" s="69" t="str">
        <f>IF(ListLayout[[#This Row],[List Name for Layout]]="","nest_relation2",IFERROR(VLOOKUP(ListLayout[[#This Row],[Relation 2]],RelationTable[[Display]:[RELID]],2,0),""))</f>
        <v/>
      </c>
      <c r="BC68" s="107" t="s">
        <v>1485</v>
      </c>
      <c r="BD68" s="107"/>
      <c r="BE68" s="107"/>
    </row>
    <row r="69" spans="2:57">
      <c r="M69" s="2" t="s">
        <v>1951</v>
      </c>
      <c r="N69" s="9">
        <f>VLOOKUP(ListExtras[[#This Row],[List Name]],ResourceList[[ListDisplayName]:[No]],2,0)</f>
        <v>2123140</v>
      </c>
      <c r="O69" s="60" t="s">
        <v>1921</v>
      </c>
      <c r="P69" s="2"/>
      <c r="Q69" s="2"/>
      <c r="R69" s="2"/>
      <c r="S69" s="2"/>
      <c r="T69" s="9" t="str">
        <f>'Table Seed Map'!$A$25&amp;"-"&amp;COUNT($W$1:ListExtras[[#This Row],[Scope ID]])</f>
        <v>List Scopes-23</v>
      </c>
      <c r="U69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2124123</v>
      </c>
      <c r="V69" s="16">
        <f>IF(ListExtras[[#This Row],[LID]]=0,"resource_list",ListExtras[[#This Row],[LID]])</f>
        <v>2123140</v>
      </c>
      <c r="W69" s="16">
        <f>IFERROR(VLOOKUP(ListExtras[[#This Row],[Scope Name]],ResourceScopes[[ScopesDisplayNames]:[No]],2,0),IF(ListExtras[[#This Row],[LID]]=0,"scope",""))</f>
        <v>2108118</v>
      </c>
      <c r="X69" s="9" t="str">
        <f>'Table Seed Map'!$A$26&amp;"-"&amp;COUNT($AA$1:ListExtras[[#This Row],[Relation]])</f>
        <v>List Relation-59</v>
      </c>
      <c r="Y69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9" s="16">
        <f>IF(ListExtras[[#This Row],[LID]]=0,"resource_list",ListExtras[[#This Row],[LID]])</f>
        <v>2123140</v>
      </c>
      <c r="AA69" s="16" t="str">
        <f>IFERROR(VLOOKUP(ListExtras[[#This Row],[Relation Name]],RelationTable[[Display]:[RELID]],2,0),IF(ListExtras[[#This Row],[LID]]=0,"relation",""))</f>
        <v/>
      </c>
      <c r="AB69" s="16" t="str">
        <f>IFERROR(VLOOKUP(ListExtras[[#This Row],[R1 Name]],RelationTable[[Display]:[RELID]],2,0),IF(ListExtras[[#This Row],[LID]]=0,"nest_relation1",""))</f>
        <v/>
      </c>
      <c r="AC69" s="16" t="str">
        <f>IFERROR(VLOOKUP(ListExtras[[#This Row],[R2 Name]],RelationTable[[Display]:[RELID]],2,0),IF(ListExtras[[#This Row],[LID]]=0,"nest_relation2",""))</f>
        <v/>
      </c>
      <c r="AD69" s="16" t="str">
        <f>IFERROR(VLOOKUP(ListExtras[[#This Row],[R3 Name]],RelationTable[[Display]:[RELID]],2,0),IF(ListExtras[[#This Row],[LID]]=0,"nest_relation3",""))</f>
        <v/>
      </c>
      <c r="AT69" s="69" t="str">
        <f>'Table Seed Map'!$A$27&amp;"-"&amp;COUNTA($AV$1:ListLayout[[#This Row],[No]])-2</f>
        <v>List Layout-67</v>
      </c>
      <c r="AU69" s="62" t="s">
        <v>1602</v>
      </c>
      <c r="AV69" s="69">
        <f>IF(ListLayout[[#This Row],[List Name for Layout]]="","id",COUNTA($AU$2:ListLayout[[#This Row],[List Name for Layout]])+IF(ISNUMBER(VLOOKUP('Table Seed Map'!$A$27,SeedMap[],9,0)),VLOOKUP('Table Seed Map'!$A$27,SeedMap[],9,0),0))</f>
        <v>2126167</v>
      </c>
      <c r="AW69" s="69">
        <f>IFERROR(VLOOKUP(ListLayout[[#This Row],[List Name for Layout]],ResourceList[[ListDisplayName]:[No]],2,0),"resource_list")</f>
        <v>2123119</v>
      </c>
      <c r="AX69" s="69" t="s">
        <v>901</v>
      </c>
      <c r="AY69" s="107" t="s">
        <v>23</v>
      </c>
      <c r="AZ69" s="69">
        <f>IF(ListLayout[[#This Row],[List Name for Layout]]="","relation",IFERROR(VLOOKUP(ListLayout[[#This Row],[Relation]],RelationTable[[Display]:[RELID]],2,0),""))</f>
        <v>2109143</v>
      </c>
      <c r="BA69" s="69" t="str">
        <f>IF(ListLayout[[#This Row],[List Name for Layout]]="","nest_relation1",IFERROR(VLOOKUP(ListLayout[[#This Row],[Relation 1]],RelationTable[[Display]:[RELID]],2,0),""))</f>
        <v/>
      </c>
      <c r="BB69" s="69" t="str">
        <f>IF(ListLayout[[#This Row],[List Name for Layout]]="","nest_relation2",IFERROR(VLOOKUP(ListLayout[[#This Row],[Relation 2]],RelationTable[[Display]:[RELID]],2,0),""))</f>
        <v/>
      </c>
      <c r="BC69" s="107" t="s">
        <v>1580</v>
      </c>
      <c r="BD69" s="107"/>
      <c r="BE69" s="107"/>
    </row>
    <row r="70" spans="2:57">
      <c r="M70" s="2" t="s">
        <v>1951</v>
      </c>
      <c r="N70" s="9">
        <f>VLOOKUP(ListExtras[[#This Row],[List Name]],ResourceList[[ListDisplayName]:[No]],2,0)</f>
        <v>2123140</v>
      </c>
      <c r="O70" s="60" t="s">
        <v>1942</v>
      </c>
      <c r="P70" s="2"/>
      <c r="Q70" s="2"/>
      <c r="R70" s="2"/>
      <c r="S70" s="2"/>
      <c r="T70" s="9" t="str">
        <f>'Table Seed Map'!$A$25&amp;"-"&amp;COUNT($W$1:ListExtras[[#This Row],[Scope ID]])</f>
        <v>List Scopes-24</v>
      </c>
      <c r="U70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2124124</v>
      </c>
      <c r="V70" s="16">
        <f>IF(ListExtras[[#This Row],[LID]]=0,"resource_list",ListExtras[[#This Row],[LID]])</f>
        <v>2123140</v>
      </c>
      <c r="W70" s="16">
        <f>IFERROR(VLOOKUP(ListExtras[[#This Row],[Scope Name]],ResourceScopes[[ScopesDisplayNames]:[No]],2,0),IF(ListExtras[[#This Row],[LID]]=0,"scope",""))</f>
        <v>2108121</v>
      </c>
      <c r="X70" s="9" t="str">
        <f>'Table Seed Map'!$A$26&amp;"-"&amp;COUNT($AA$1:ListExtras[[#This Row],[Relation]])</f>
        <v>List Relation-59</v>
      </c>
      <c r="Y70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0" s="16">
        <f>IF(ListExtras[[#This Row],[LID]]=0,"resource_list",ListExtras[[#This Row],[LID]])</f>
        <v>2123140</v>
      </c>
      <c r="AA70" s="16" t="str">
        <f>IFERROR(VLOOKUP(ListExtras[[#This Row],[Relation Name]],RelationTable[[Display]:[RELID]],2,0),IF(ListExtras[[#This Row],[LID]]=0,"relation",""))</f>
        <v/>
      </c>
      <c r="AB70" s="16" t="str">
        <f>IFERROR(VLOOKUP(ListExtras[[#This Row],[R1 Name]],RelationTable[[Display]:[RELID]],2,0),IF(ListExtras[[#This Row],[LID]]=0,"nest_relation1",""))</f>
        <v/>
      </c>
      <c r="AC70" s="16" t="str">
        <f>IFERROR(VLOOKUP(ListExtras[[#This Row],[R2 Name]],RelationTable[[Display]:[RELID]],2,0),IF(ListExtras[[#This Row],[LID]]=0,"nest_relation2",""))</f>
        <v/>
      </c>
      <c r="AD70" s="16" t="str">
        <f>IFERROR(VLOOKUP(ListExtras[[#This Row],[R3 Name]],RelationTable[[Display]:[RELID]],2,0),IF(ListExtras[[#This Row],[LID]]=0,"nest_relation3",""))</f>
        <v/>
      </c>
      <c r="AT70" s="69" t="str">
        <f>'Table Seed Map'!$A$27&amp;"-"&amp;COUNTA($AV$1:ListLayout[[#This Row],[No]])-2</f>
        <v>List Layout-68</v>
      </c>
      <c r="AU70" s="62" t="s">
        <v>1602</v>
      </c>
      <c r="AV70" s="69">
        <f>IF(ListLayout[[#This Row],[List Name for Layout]]="","id",COUNTA($AU$2:ListLayout[[#This Row],[List Name for Layout]])+IF(ISNUMBER(VLOOKUP('Table Seed Map'!$A$27,SeedMap[],9,0)),VLOOKUP('Table Seed Map'!$A$27,SeedMap[],9,0),0))</f>
        <v>2126168</v>
      </c>
      <c r="AW70" s="69">
        <f>IFERROR(VLOOKUP(ListLayout[[#This Row],[List Name for Layout]],ResourceList[[ListDisplayName]:[No]],2,0),"resource_list")</f>
        <v>2123119</v>
      </c>
      <c r="AX70" s="69" t="s">
        <v>1585</v>
      </c>
      <c r="AY70" s="107" t="s">
        <v>23</v>
      </c>
      <c r="AZ70" s="69">
        <f>IF(ListLayout[[#This Row],[List Name for Layout]]="","relation",IFERROR(VLOOKUP(ListLayout[[#This Row],[Relation]],RelationTable[[Display]:[RELID]],2,0),""))</f>
        <v>2109144</v>
      </c>
      <c r="BA70" s="69" t="str">
        <f>IF(ListLayout[[#This Row],[List Name for Layout]]="","nest_relation1",IFERROR(VLOOKUP(ListLayout[[#This Row],[Relation 1]],RelationTable[[Display]:[RELID]],2,0),""))</f>
        <v/>
      </c>
      <c r="BB70" s="69" t="str">
        <f>IF(ListLayout[[#This Row],[List Name for Layout]]="","nest_relation2",IFERROR(VLOOKUP(ListLayout[[#This Row],[Relation 2]],RelationTable[[Display]:[RELID]],2,0),""))</f>
        <v/>
      </c>
      <c r="BC70" s="107" t="s">
        <v>1603</v>
      </c>
      <c r="BD70" s="107"/>
      <c r="BE70" s="107"/>
    </row>
    <row r="71" spans="2:57">
      <c r="M71" s="2" t="s">
        <v>2008</v>
      </c>
      <c r="N71" s="63">
        <f>VLOOKUP(ListExtras[[#This Row],[List Name]],ResourceList[[ListDisplayName]:[No]],2,0)</f>
        <v>2123141</v>
      </c>
      <c r="O71" s="60" t="s">
        <v>2009</v>
      </c>
      <c r="P71" s="62"/>
      <c r="Q71" s="62"/>
      <c r="R71" s="62"/>
      <c r="S71" s="62"/>
      <c r="T71" s="63" t="str">
        <f>'Table Seed Map'!$A$25&amp;"-"&amp;COUNT($W$1:ListExtras[[#This Row],[Scope ID]])</f>
        <v>List Scopes-25</v>
      </c>
      <c r="U7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2124125</v>
      </c>
      <c r="V71" s="69">
        <f>IF(ListExtras[[#This Row],[LID]]=0,"resource_list",ListExtras[[#This Row],[LID]])</f>
        <v>2123141</v>
      </c>
      <c r="W71" s="69">
        <f>IFERROR(VLOOKUP(ListExtras[[#This Row],[Scope Name]],ResourceScopes[[ScopesDisplayNames]:[No]],2,0),IF(ListExtras[[#This Row],[LID]]=0,"scope",""))</f>
        <v>2108122</v>
      </c>
      <c r="X71" s="63" t="str">
        <f>'Table Seed Map'!$A$26&amp;"-"&amp;COUNT($AA$1:ListExtras[[#This Row],[Relation]])</f>
        <v>List Relation-59</v>
      </c>
      <c r="Y71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1" s="69">
        <f>IF(ListExtras[[#This Row],[LID]]=0,"resource_list",ListExtras[[#This Row],[LID]])</f>
        <v>2123141</v>
      </c>
      <c r="AA71" s="69" t="str">
        <f>IFERROR(VLOOKUP(ListExtras[[#This Row],[Relation Name]],RelationTable[[Display]:[RELID]],2,0),IF(ListExtras[[#This Row],[LID]]=0,"relation",""))</f>
        <v/>
      </c>
      <c r="AB71" s="69" t="str">
        <f>IFERROR(VLOOKUP(ListExtras[[#This Row],[R1 Name]],RelationTable[[Display]:[RELID]],2,0),IF(ListExtras[[#This Row],[LID]]=0,"nest_relation1",""))</f>
        <v/>
      </c>
      <c r="AC71" s="69" t="str">
        <f>IFERROR(VLOOKUP(ListExtras[[#This Row],[R2 Name]],RelationTable[[Display]:[RELID]],2,0),IF(ListExtras[[#This Row],[LID]]=0,"nest_relation2",""))</f>
        <v/>
      </c>
      <c r="AD71" s="69" t="str">
        <f>IFERROR(VLOOKUP(ListExtras[[#This Row],[R3 Name]],RelationTable[[Display]:[RELID]],2,0),IF(ListExtras[[#This Row],[LID]]=0,"nest_relation3",""))</f>
        <v/>
      </c>
      <c r="AT71" s="69" t="str">
        <f>'Table Seed Map'!$A$27&amp;"-"&amp;COUNTA($AV$1:ListLayout[[#This Row],[No]])-2</f>
        <v>List Layout-69</v>
      </c>
      <c r="AU71" s="62" t="s">
        <v>1602</v>
      </c>
      <c r="AV71" s="69">
        <f>IF(ListLayout[[#This Row],[List Name for Layout]]="","id",COUNTA($AU$2:ListLayout[[#This Row],[List Name for Layout]])+IF(ISNUMBER(VLOOKUP('Table Seed Map'!$A$27,SeedMap[],9,0)),VLOOKUP('Table Seed Map'!$A$27,SeedMap[],9,0),0))</f>
        <v>2126169</v>
      </c>
      <c r="AW71" s="69">
        <f>IFERROR(VLOOKUP(ListLayout[[#This Row],[List Name for Layout]],ResourceList[[ListDisplayName]:[No]],2,0),"resource_list")</f>
        <v>2123119</v>
      </c>
      <c r="AX71" s="69" t="s">
        <v>1045</v>
      </c>
      <c r="AY71" s="107" t="s">
        <v>847</v>
      </c>
      <c r="AZ71" s="69" t="str">
        <f>IF(ListLayout[[#This Row],[List Name for Layout]]="","relation",IFERROR(VLOOKUP(ListLayout[[#This Row],[Relation]],RelationTable[[Display]:[RELID]],2,0),""))</f>
        <v/>
      </c>
      <c r="BA71" s="69" t="str">
        <f>IF(ListLayout[[#This Row],[List Name for Layout]]="","nest_relation1",IFERROR(VLOOKUP(ListLayout[[#This Row],[Relation 1]],RelationTable[[Display]:[RELID]],2,0),""))</f>
        <v/>
      </c>
      <c r="BB71" s="69" t="str">
        <f>IF(ListLayout[[#This Row],[List Name for Layout]]="","nest_relation2",IFERROR(VLOOKUP(ListLayout[[#This Row],[Relation 2]],RelationTable[[Display]:[RELID]],2,0),""))</f>
        <v/>
      </c>
      <c r="BC71" s="107"/>
      <c r="BD71" s="107"/>
      <c r="BE71" s="107"/>
    </row>
    <row r="72" spans="2:57">
      <c r="M72" s="2" t="s">
        <v>2008</v>
      </c>
      <c r="N72" s="63">
        <f>VLOOKUP(ListExtras[[#This Row],[List Name]],ResourceList[[ListDisplayName]:[No]],2,0)</f>
        <v>2123141</v>
      </c>
      <c r="O72" s="62" t="s">
        <v>1892</v>
      </c>
      <c r="P72" s="62"/>
      <c r="Q72" s="62"/>
      <c r="R72" s="62"/>
      <c r="S72" s="62"/>
      <c r="T72" s="63" t="str">
        <f>'Table Seed Map'!$A$25&amp;"-"&amp;COUNT($W$1:ListExtras[[#This Row],[Scope ID]])</f>
        <v>List Scopes-26</v>
      </c>
      <c r="U72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2124126</v>
      </c>
      <c r="V72" s="69">
        <f>IF(ListExtras[[#This Row],[LID]]=0,"resource_list",ListExtras[[#This Row],[LID]])</f>
        <v>2123141</v>
      </c>
      <c r="W72" s="69">
        <f>IFERROR(VLOOKUP(ListExtras[[#This Row],[Scope Name]],ResourceScopes[[ScopesDisplayNames]:[No]],2,0),IF(ListExtras[[#This Row],[LID]]=0,"scope",""))</f>
        <v>2108115</v>
      </c>
      <c r="X72" s="63" t="str">
        <f>'Table Seed Map'!$A$26&amp;"-"&amp;COUNT($AA$1:ListExtras[[#This Row],[Relation]])</f>
        <v>List Relation-59</v>
      </c>
      <c r="Y72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2" s="69">
        <f>IF(ListExtras[[#This Row],[LID]]=0,"resource_list",ListExtras[[#This Row],[LID]])</f>
        <v>2123141</v>
      </c>
      <c r="AA72" s="69" t="str">
        <f>IFERROR(VLOOKUP(ListExtras[[#This Row],[Relation Name]],RelationTable[[Display]:[RELID]],2,0),IF(ListExtras[[#This Row],[LID]]=0,"relation",""))</f>
        <v/>
      </c>
      <c r="AB72" s="69" t="str">
        <f>IFERROR(VLOOKUP(ListExtras[[#This Row],[R1 Name]],RelationTable[[Display]:[RELID]],2,0),IF(ListExtras[[#This Row],[LID]]=0,"nest_relation1",""))</f>
        <v/>
      </c>
      <c r="AC72" s="69" t="str">
        <f>IFERROR(VLOOKUP(ListExtras[[#This Row],[R2 Name]],RelationTable[[Display]:[RELID]],2,0),IF(ListExtras[[#This Row],[LID]]=0,"nest_relation2",""))</f>
        <v/>
      </c>
      <c r="AD72" s="69" t="str">
        <f>IFERROR(VLOOKUP(ListExtras[[#This Row],[R3 Name]],RelationTable[[Display]:[RELID]],2,0),IF(ListExtras[[#This Row],[LID]]=0,"nest_relation3",""))</f>
        <v/>
      </c>
      <c r="AT72" s="69" t="str">
        <f>'Table Seed Map'!$A$27&amp;"-"&amp;COUNTA($AV$1:ListLayout[[#This Row],[No]])-2</f>
        <v>List Layout-70</v>
      </c>
      <c r="AU72" s="62" t="s">
        <v>1602</v>
      </c>
      <c r="AV72" s="69">
        <f>IF(ListLayout[[#This Row],[List Name for Layout]]="","id",COUNTA($AU$2:ListLayout[[#This Row],[List Name for Layout]])+IF(ISNUMBER(VLOOKUP('Table Seed Map'!$A$27,SeedMap[],9,0)),VLOOKUP('Table Seed Map'!$A$27,SeedMap[],9,0),0))</f>
        <v>2126170</v>
      </c>
      <c r="AW72" s="69">
        <f>IFERROR(VLOOKUP(ListLayout[[#This Row],[List Name for Layout]],ResourceList[[ListDisplayName]:[No]],2,0),"resource_list")</f>
        <v>2123119</v>
      </c>
      <c r="AX72" s="69" t="s">
        <v>1190</v>
      </c>
      <c r="AY72" s="107" t="s">
        <v>804</v>
      </c>
      <c r="AZ72" s="69" t="str">
        <f>IF(ListLayout[[#This Row],[List Name for Layout]]="","relation",IFERROR(VLOOKUP(ListLayout[[#This Row],[Relation]],RelationTable[[Display]:[RELID]],2,0),""))</f>
        <v/>
      </c>
      <c r="BA72" s="69" t="str">
        <f>IF(ListLayout[[#This Row],[List Name for Layout]]="","nest_relation1",IFERROR(VLOOKUP(ListLayout[[#This Row],[Relation 1]],RelationTable[[Display]:[RELID]],2,0),""))</f>
        <v/>
      </c>
      <c r="BB72" s="69" t="str">
        <f>IF(ListLayout[[#This Row],[List Name for Layout]]="","nest_relation2",IFERROR(VLOOKUP(ListLayout[[#This Row],[Relation 2]],RelationTable[[Display]:[RELID]],2,0),""))</f>
        <v/>
      </c>
      <c r="BC72" s="107"/>
      <c r="BD72" s="107"/>
      <c r="BE72" s="107"/>
    </row>
    <row r="73" spans="2:57">
      <c r="M73" s="2" t="s">
        <v>2015</v>
      </c>
      <c r="N73" s="63">
        <f>VLOOKUP(ListExtras[[#This Row],[List Name]],ResourceList[[ListDisplayName]:[No]],2,0)</f>
        <v>2123142</v>
      </c>
      <c r="O73" s="62" t="s">
        <v>1901</v>
      </c>
      <c r="P73" s="62" t="s">
        <v>1642</v>
      </c>
      <c r="Q73" s="62"/>
      <c r="R73" s="62"/>
      <c r="S73" s="62"/>
      <c r="T73" s="63" t="str">
        <f>'Table Seed Map'!$A$25&amp;"-"&amp;COUNT($W$1:ListExtras[[#This Row],[Scope ID]])</f>
        <v>List Scopes-27</v>
      </c>
      <c r="U7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2124127</v>
      </c>
      <c r="V73" s="69">
        <f>IF(ListExtras[[#This Row],[LID]]=0,"resource_list",ListExtras[[#This Row],[LID]])</f>
        <v>2123142</v>
      </c>
      <c r="W73" s="69">
        <f>IFERROR(VLOOKUP(ListExtras[[#This Row],[Scope Name]],ResourceScopes[[ScopesDisplayNames]:[No]],2,0),IF(ListExtras[[#This Row],[LID]]=0,"scope",""))</f>
        <v>2108116</v>
      </c>
      <c r="X73" s="63" t="str">
        <f>'Table Seed Map'!$A$26&amp;"-"&amp;COUNT($AA$1:ListExtras[[#This Row],[Relation]])</f>
        <v>List Relation-60</v>
      </c>
      <c r="Y7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2125160</v>
      </c>
      <c r="Z73" s="69">
        <f>IF(ListExtras[[#This Row],[LID]]=0,"resource_list",ListExtras[[#This Row],[LID]])</f>
        <v>2123142</v>
      </c>
      <c r="AA73" s="69">
        <f>IFERROR(VLOOKUP(ListExtras[[#This Row],[Relation Name]],RelationTable[[Display]:[RELID]],2,0),IF(ListExtras[[#This Row],[LID]]=0,"relation",""))</f>
        <v>2109158</v>
      </c>
      <c r="AB73" s="69" t="str">
        <f>IFERROR(VLOOKUP(ListExtras[[#This Row],[R1 Name]],RelationTable[[Display]:[RELID]],2,0),IF(ListExtras[[#This Row],[LID]]=0,"nest_relation1",""))</f>
        <v/>
      </c>
      <c r="AC73" s="69" t="str">
        <f>IFERROR(VLOOKUP(ListExtras[[#This Row],[R2 Name]],RelationTable[[Display]:[RELID]],2,0),IF(ListExtras[[#This Row],[LID]]=0,"nest_relation2",""))</f>
        <v/>
      </c>
      <c r="AD73" s="69" t="str">
        <f>IFERROR(VLOOKUP(ListExtras[[#This Row],[R3 Name]],RelationTable[[Display]:[RELID]],2,0),IF(ListExtras[[#This Row],[LID]]=0,"nest_relation3",""))</f>
        <v/>
      </c>
      <c r="AT73" s="69" t="str">
        <f>'Table Seed Map'!$A$27&amp;"-"&amp;COUNTA($AV$1:ListLayout[[#This Row],[No]])-2</f>
        <v>List Layout-71</v>
      </c>
      <c r="AU73" s="62" t="s">
        <v>1613</v>
      </c>
      <c r="AV73" s="69">
        <f>IF(ListLayout[[#This Row],[List Name for Layout]]="","id",COUNTA($AU$2:ListLayout[[#This Row],[List Name for Layout]])+IF(ISNUMBER(VLOOKUP('Table Seed Map'!$A$27,SeedMap[],9,0)),VLOOKUP('Table Seed Map'!$A$27,SeedMap[],9,0),0))</f>
        <v>2126171</v>
      </c>
      <c r="AW73" s="69">
        <f>IFERROR(VLOOKUP(ListLayout[[#This Row],[List Name for Layout]],ResourceList[[ListDisplayName]:[No]],2,0),"resource_list")</f>
        <v>2123120</v>
      </c>
      <c r="AX73" s="69" t="s">
        <v>1</v>
      </c>
      <c r="AY73" s="107" t="s">
        <v>23</v>
      </c>
      <c r="AZ73" s="69" t="str">
        <f>IF(ListLayout[[#This Row],[List Name for Layout]]="","relation",IFERROR(VLOOKUP(ListLayout[[#This Row],[Relation]],RelationTable[[Display]:[RELID]],2,0),""))</f>
        <v/>
      </c>
      <c r="BA73" s="69" t="str">
        <f>IF(ListLayout[[#This Row],[List Name for Layout]]="","nest_relation1",IFERROR(VLOOKUP(ListLayout[[#This Row],[Relation 1]],RelationTable[[Display]:[RELID]],2,0),""))</f>
        <v/>
      </c>
      <c r="BB73" s="69" t="str">
        <f>IF(ListLayout[[#This Row],[List Name for Layout]]="","nest_relation2",IFERROR(VLOOKUP(ListLayout[[#This Row],[Relation 2]],RelationTable[[Display]:[RELID]],2,0),""))</f>
        <v/>
      </c>
      <c r="BC73" s="107"/>
      <c r="BD73" s="107"/>
      <c r="BE73" s="107"/>
    </row>
    <row r="74" spans="2:57">
      <c r="M74" s="2" t="s">
        <v>2015</v>
      </c>
      <c r="N74" s="63">
        <f>VLOOKUP(ListExtras[[#This Row],[List Name]],ResourceList[[ListDisplayName]:[No]],2,0)</f>
        <v>2123142</v>
      </c>
      <c r="O74" s="62" t="s">
        <v>2016</v>
      </c>
      <c r="P74" s="62" t="s">
        <v>1644</v>
      </c>
      <c r="Q74" s="62"/>
      <c r="R74" s="62"/>
      <c r="S74" s="62"/>
      <c r="T74" s="63" t="str">
        <f>'Table Seed Map'!$A$25&amp;"-"&amp;COUNT($W$1:ListExtras[[#This Row],[Scope ID]])</f>
        <v>List Scopes-28</v>
      </c>
      <c r="U74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2124128</v>
      </c>
      <c r="V74" s="69">
        <f>IF(ListExtras[[#This Row],[LID]]=0,"resource_list",ListExtras[[#This Row],[LID]])</f>
        <v>2123142</v>
      </c>
      <c r="W74" s="69">
        <f>IFERROR(VLOOKUP(ListExtras[[#This Row],[Scope Name]],ResourceScopes[[ScopesDisplayNames]:[No]],2,0),IF(ListExtras[[#This Row],[LID]]=0,"scope",""))</f>
        <v>2108123</v>
      </c>
      <c r="X74" s="63" t="str">
        <f>'Table Seed Map'!$A$26&amp;"-"&amp;COUNT($AA$1:ListExtras[[#This Row],[Relation]])</f>
        <v>List Relation-61</v>
      </c>
      <c r="Y7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2125161</v>
      </c>
      <c r="Z74" s="69">
        <f>IF(ListExtras[[#This Row],[LID]]=0,"resource_list",ListExtras[[#This Row],[LID]])</f>
        <v>2123142</v>
      </c>
      <c r="AA74" s="69">
        <f>IFERROR(VLOOKUP(ListExtras[[#This Row],[Relation Name]],RelationTable[[Display]:[RELID]],2,0),IF(ListExtras[[#This Row],[LID]]=0,"relation",""))</f>
        <v>2109159</v>
      </c>
      <c r="AB74" s="69" t="str">
        <f>IFERROR(VLOOKUP(ListExtras[[#This Row],[R1 Name]],RelationTable[[Display]:[RELID]],2,0),IF(ListExtras[[#This Row],[LID]]=0,"nest_relation1",""))</f>
        <v/>
      </c>
      <c r="AC74" s="69" t="str">
        <f>IFERROR(VLOOKUP(ListExtras[[#This Row],[R2 Name]],RelationTable[[Display]:[RELID]],2,0),IF(ListExtras[[#This Row],[LID]]=0,"nest_relation2",""))</f>
        <v/>
      </c>
      <c r="AD74" s="69" t="str">
        <f>IFERROR(VLOOKUP(ListExtras[[#This Row],[R3 Name]],RelationTable[[Display]:[RELID]],2,0),IF(ListExtras[[#This Row],[LID]]=0,"nest_relation3",""))</f>
        <v/>
      </c>
      <c r="AT74" s="69" t="str">
        <f>'Table Seed Map'!$A$27&amp;"-"&amp;COUNTA($AV$1:ListLayout[[#This Row],[No]])-2</f>
        <v>List Layout-72</v>
      </c>
      <c r="AU74" s="62" t="s">
        <v>1613</v>
      </c>
      <c r="AV74" s="69">
        <f>IF(ListLayout[[#This Row],[List Name for Layout]]="","id",COUNTA($AU$2:ListLayout[[#This Row],[List Name for Layout]])+IF(ISNUMBER(VLOOKUP('Table Seed Map'!$A$27,SeedMap[],9,0)),VLOOKUP('Table Seed Map'!$A$27,SeedMap[],9,0),0))</f>
        <v>2126172</v>
      </c>
      <c r="AW74" s="69">
        <f>IFERROR(VLOOKUP(ListLayout[[#This Row],[List Name for Layout]],ResourceList[[ListDisplayName]:[No]],2,0),"resource_list")</f>
        <v>2123120</v>
      </c>
      <c r="AX74" s="69" t="s">
        <v>779</v>
      </c>
      <c r="AY74" s="107" t="s">
        <v>23</v>
      </c>
      <c r="AZ74" s="69">
        <f>IF(ListLayout[[#This Row],[List Name for Layout]]="","relation",IFERROR(VLOOKUP(ListLayout[[#This Row],[Relation]],RelationTable[[Display]:[RELID]],2,0),""))</f>
        <v>2109131</v>
      </c>
      <c r="BA74" s="69" t="str">
        <f>IF(ListLayout[[#This Row],[List Name for Layout]]="","nest_relation1",IFERROR(VLOOKUP(ListLayout[[#This Row],[Relation 1]],RelationTable[[Display]:[RELID]],2,0),""))</f>
        <v/>
      </c>
      <c r="BB74" s="69" t="str">
        <f>IF(ListLayout[[#This Row],[List Name for Layout]]="","nest_relation2",IFERROR(VLOOKUP(ListLayout[[#This Row],[Relation 2]],RelationTable[[Display]:[RELID]],2,0),""))</f>
        <v/>
      </c>
      <c r="BC74" s="107" t="s">
        <v>1614</v>
      </c>
      <c r="BD74" s="107"/>
      <c r="BE74" s="107"/>
    </row>
    <row r="75" spans="2:57">
      <c r="M75" s="2" t="s">
        <v>2015</v>
      </c>
      <c r="N75" s="61">
        <f>VLOOKUP(ListExtras[[#This Row],[List Name]],ResourceList[[ListDisplayName]:[No]],2,0)</f>
        <v>2123142</v>
      </c>
      <c r="O75" s="60"/>
      <c r="P75" s="62" t="s">
        <v>1645</v>
      </c>
      <c r="Q75" s="60"/>
      <c r="R75" s="60"/>
      <c r="S75" s="60"/>
      <c r="T75" s="61" t="str">
        <f>'Table Seed Map'!$A$25&amp;"-"&amp;COUNT($W$1:ListExtras[[#This Row],[Scope ID]])</f>
        <v>List Scopes-28</v>
      </c>
      <c r="U75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5" s="68">
        <f>IF(ListExtras[[#This Row],[LID]]=0,"resource_list",ListExtras[[#This Row],[LID]])</f>
        <v>2123142</v>
      </c>
      <c r="W75" s="68" t="str">
        <f>IFERROR(VLOOKUP(ListExtras[[#This Row],[Scope Name]],ResourceScopes[[ScopesDisplayNames]:[No]],2,0),IF(ListExtras[[#This Row],[LID]]=0,"scope",""))</f>
        <v/>
      </c>
      <c r="X75" s="61" t="str">
        <f>'Table Seed Map'!$A$26&amp;"-"&amp;COUNT($AA$1:ListExtras[[#This Row],[Relation]])</f>
        <v>List Relation-62</v>
      </c>
      <c r="Y75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2125162</v>
      </c>
      <c r="Z75" s="68">
        <f>IF(ListExtras[[#This Row],[LID]]=0,"resource_list",ListExtras[[#This Row],[LID]])</f>
        <v>2123142</v>
      </c>
      <c r="AA75" s="68">
        <f>IFERROR(VLOOKUP(ListExtras[[#This Row],[Relation Name]],RelationTable[[Display]:[RELID]],2,0),IF(ListExtras[[#This Row],[LID]]=0,"relation",""))</f>
        <v>2109189</v>
      </c>
      <c r="AB75" s="68" t="str">
        <f>IFERROR(VLOOKUP(ListExtras[[#This Row],[R1 Name]],RelationTable[[Display]:[RELID]],2,0),IF(ListExtras[[#This Row],[LID]]=0,"nest_relation1",""))</f>
        <v/>
      </c>
      <c r="AC75" s="68" t="str">
        <f>IFERROR(VLOOKUP(ListExtras[[#This Row],[R2 Name]],RelationTable[[Display]:[RELID]],2,0),IF(ListExtras[[#This Row],[LID]]=0,"nest_relation2",""))</f>
        <v/>
      </c>
      <c r="AD75" s="68" t="str">
        <f>IFERROR(VLOOKUP(ListExtras[[#This Row],[R3 Name]],RelationTable[[Display]:[RELID]],2,0),IF(ListExtras[[#This Row],[LID]]=0,"nest_relation3",""))</f>
        <v/>
      </c>
      <c r="AT75" s="69" t="str">
        <f>'Table Seed Map'!$A$27&amp;"-"&amp;COUNTA($AV$1:ListLayout[[#This Row],[No]])-2</f>
        <v>List Layout-73</v>
      </c>
      <c r="AU75" s="62" t="s">
        <v>1613</v>
      </c>
      <c r="AV75" s="69">
        <f>IF(ListLayout[[#This Row],[List Name for Layout]]="","id",COUNTA($AU$2:ListLayout[[#This Row],[List Name for Layout]])+IF(ISNUMBER(VLOOKUP('Table Seed Map'!$A$27,SeedMap[],9,0)),VLOOKUP('Table Seed Map'!$A$27,SeedMap[],9,0),0))</f>
        <v>2126173</v>
      </c>
      <c r="AW75" s="69">
        <f>IFERROR(VLOOKUP(ListLayout[[#This Row],[List Name for Layout]],ResourceList[[ListDisplayName]:[No]],2,0),"resource_list")</f>
        <v>2123120</v>
      </c>
      <c r="AX75" s="69" t="s">
        <v>778</v>
      </c>
      <c r="AY75" s="107" t="s">
        <v>23</v>
      </c>
      <c r="AZ75" s="69">
        <f>IF(ListLayout[[#This Row],[List Name for Layout]]="","relation",IFERROR(VLOOKUP(ListLayout[[#This Row],[Relation]],RelationTable[[Display]:[RELID]],2,0),""))</f>
        <v>2109132</v>
      </c>
      <c r="BA75" s="69" t="str">
        <f>IF(ListLayout[[#This Row],[List Name for Layout]]="","nest_relation1",IFERROR(VLOOKUP(ListLayout[[#This Row],[Relation 1]],RelationTable[[Display]:[RELID]],2,0),""))</f>
        <v/>
      </c>
      <c r="BB75" s="69" t="str">
        <f>IF(ListLayout[[#This Row],[List Name for Layout]]="","nest_relation2",IFERROR(VLOOKUP(ListLayout[[#This Row],[Relation 2]],RelationTable[[Display]:[RELID]],2,0),""))</f>
        <v/>
      </c>
      <c r="BC75" s="107" t="s">
        <v>1462</v>
      </c>
      <c r="BD75" s="107"/>
      <c r="BE75" s="107"/>
    </row>
    <row r="76" spans="2:57">
      <c r="B76" s="20"/>
      <c r="F76" s="20"/>
      <c r="M76" s="2" t="s">
        <v>2021</v>
      </c>
      <c r="N76" s="63">
        <f>VLOOKUP(ListExtras[[#This Row],[List Name]],ResourceList[[ListDisplayName]:[No]],2,0)</f>
        <v>2123143</v>
      </c>
      <c r="O76" s="62" t="s">
        <v>2019</v>
      </c>
      <c r="P76" s="62" t="s">
        <v>1472</v>
      </c>
      <c r="Q76" s="62"/>
      <c r="R76" s="62"/>
      <c r="S76" s="62"/>
      <c r="T76" s="63" t="str">
        <f>'Table Seed Map'!$A$25&amp;"-"&amp;COUNT($W$1:ListExtras[[#This Row],[Scope ID]])</f>
        <v>List Scopes-29</v>
      </c>
      <c r="U7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2124129</v>
      </c>
      <c r="V76" s="69">
        <f>IF(ListExtras[[#This Row],[LID]]=0,"resource_list",ListExtras[[#This Row],[LID]])</f>
        <v>2123143</v>
      </c>
      <c r="W76" s="69">
        <f>IFERROR(VLOOKUP(ListExtras[[#This Row],[Scope Name]],ResourceScopes[[ScopesDisplayNames]:[No]],2,0),IF(ListExtras[[#This Row],[LID]]=0,"scope",""))</f>
        <v>2108108</v>
      </c>
      <c r="X76" s="63" t="str">
        <f>'Table Seed Map'!$A$26&amp;"-"&amp;COUNT($AA$1:ListExtras[[#This Row],[Relation]])</f>
        <v>List Relation-63</v>
      </c>
      <c r="Y7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2125163</v>
      </c>
      <c r="Z76" s="69">
        <f>IF(ListExtras[[#This Row],[LID]]=0,"resource_list",ListExtras[[#This Row],[LID]])</f>
        <v>2123143</v>
      </c>
      <c r="AA76" s="69">
        <f>IFERROR(VLOOKUP(ListExtras[[#This Row],[Relation Name]],RelationTable[[Display]:[RELID]],2,0),IF(ListExtras[[#This Row],[LID]]=0,"relation",""))</f>
        <v>2109147</v>
      </c>
      <c r="AB76" s="69" t="str">
        <f>IFERROR(VLOOKUP(ListExtras[[#This Row],[R1 Name]],RelationTable[[Display]:[RELID]],2,0),IF(ListExtras[[#This Row],[LID]]=0,"nest_relation1",""))</f>
        <v/>
      </c>
      <c r="AC76" s="69" t="str">
        <f>IFERROR(VLOOKUP(ListExtras[[#This Row],[R2 Name]],RelationTable[[Display]:[RELID]],2,0),IF(ListExtras[[#This Row],[LID]]=0,"nest_relation2",""))</f>
        <v/>
      </c>
      <c r="AD76" s="69" t="str">
        <f>IFERROR(VLOOKUP(ListExtras[[#This Row],[R3 Name]],RelationTable[[Display]:[RELID]],2,0),IF(ListExtras[[#This Row],[LID]]=0,"nest_relation3",""))</f>
        <v/>
      </c>
      <c r="AT76" s="69" t="str">
        <f>'Table Seed Map'!$A$27&amp;"-"&amp;COUNTA($AV$1:ListLayout[[#This Row],[No]])-2</f>
        <v>List Layout-74</v>
      </c>
      <c r="AU76" s="62" t="s">
        <v>1613</v>
      </c>
      <c r="AV76" s="69">
        <f>IF(ListLayout[[#This Row],[List Name for Layout]]="","id",COUNTA($AU$2:ListLayout[[#This Row],[List Name for Layout]])+IF(ISNUMBER(VLOOKUP('Table Seed Map'!$A$27,SeedMap[],9,0)),VLOOKUP('Table Seed Map'!$A$27,SeedMap[],9,0),0))</f>
        <v>2126174</v>
      </c>
      <c r="AW76" s="69">
        <f>IFERROR(VLOOKUP(ListLayout[[#This Row],[List Name for Layout]],ResourceList[[ListDisplayName]:[No]],2,0),"resource_list")</f>
        <v>2123120</v>
      </c>
      <c r="AX76" s="69" t="s">
        <v>1045</v>
      </c>
      <c r="AY76" s="107" t="s">
        <v>1616</v>
      </c>
      <c r="AZ76" s="69">
        <f>IF(ListLayout[[#This Row],[List Name for Layout]]="","relation",IFERROR(VLOOKUP(ListLayout[[#This Row],[Relation]],RelationTable[[Display]:[RELID]],2,0),""))</f>
        <v>2109133</v>
      </c>
      <c r="BA76" s="69" t="str">
        <f>IF(ListLayout[[#This Row],[List Name for Layout]]="","nest_relation1",IFERROR(VLOOKUP(ListLayout[[#This Row],[Relation 1]],RelationTable[[Display]:[RELID]],2,0),""))</f>
        <v/>
      </c>
      <c r="BB76" s="69" t="str">
        <f>IF(ListLayout[[#This Row],[List Name for Layout]]="","nest_relation2",IFERROR(VLOOKUP(ListLayout[[#This Row],[Relation 2]],RelationTable[[Display]:[RELID]],2,0),""))</f>
        <v/>
      </c>
      <c r="BC76" s="107" t="s">
        <v>1615</v>
      </c>
      <c r="BD76" s="107"/>
      <c r="BE76" s="107"/>
    </row>
    <row r="77" spans="2:57">
      <c r="M77" s="2" t="s">
        <v>2021</v>
      </c>
      <c r="N77" s="63">
        <f>VLOOKUP(ListExtras[[#This Row],[List Name]],ResourceList[[ListDisplayName]:[No]],2,0)</f>
        <v>2123143</v>
      </c>
      <c r="O77" s="62" t="s">
        <v>1892</v>
      </c>
      <c r="P77" s="62"/>
      <c r="Q77" s="62"/>
      <c r="R77" s="62"/>
      <c r="S77" s="62"/>
      <c r="T77" s="63" t="str">
        <f>'Table Seed Map'!$A$25&amp;"-"&amp;COUNT($W$1:ListExtras[[#This Row],[Scope ID]])</f>
        <v>List Scopes-30</v>
      </c>
      <c r="U7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2124130</v>
      </c>
      <c r="V77" s="69">
        <f>IF(ListExtras[[#This Row],[LID]]=0,"resource_list",ListExtras[[#This Row],[LID]])</f>
        <v>2123143</v>
      </c>
      <c r="W77" s="69">
        <f>IFERROR(VLOOKUP(ListExtras[[#This Row],[Scope Name]],ResourceScopes[[ScopesDisplayNames]:[No]],2,0),IF(ListExtras[[#This Row],[LID]]=0,"scope",""))</f>
        <v>2108115</v>
      </c>
      <c r="X77" s="63" t="str">
        <f>'Table Seed Map'!$A$26&amp;"-"&amp;COUNT($AA$1:ListExtras[[#This Row],[Relation]])</f>
        <v>List Relation-63</v>
      </c>
      <c r="Y77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7" s="69">
        <f>IF(ListExtras[[#This Row],[LID]]=0,"resource_list",ListExtras[[#This Row],[LID]])</f>
        <v>2123143</v>
      </c>
      <c r="AA77" s="69" t="str">
        <f>IFERROR(VLOOKUP(ListExtras[[#This Row],[Relation Name]],RelationTable[[Display]:[RELID]],2,0),IF(ListExtras[[#This Row],[LID]]=0,"relation",""))</f>
        <v/>
      </c>
      <c r="AB77" s="69" t="str">
        <f>IFERROR(VLOOKUP(ListExtras[[#This Row],[R1 Name]],RelationTable[[Display]:[RELID]],2,0),IF(ListExtras[[#This Row],[LID]]=0,"nest_relation1",""))</f>
        <v/>
      </c>
      <c r="AC77" s="69" t="str">
        <f>IFERROR(VLOOKUP(ListExtras[[#This Row],[R2 Name]],RelationTable[[Display]:[RELID]],2,0),IF(ListExtras[[#This Row],[LID]]=0,"nest_relation2",""))</f>
        <v/>
      </c>
      <c r="AD77" s="69" t="str">
        <f>IFERROR(VLOOKUP(ListExtras[[#This Row],[R3 Name]],RelationTable[[Display]:[RELID]],2,0),IF(ListExtras[[#This Row],[LID]]=0,"nest_relation3",""))</f>
        <v/>
      </c>
      <c r="AT77" s="69" t="str">
        <f>'Table Seed Map'!$A$27&amp;"-"&amp;COUNTA($AV$1:ListLayout[[#This Row],[No]])-2</f>
        <v>List Layout-75</v>
      </c>
      <c r="AU77" s="62" t="s">
        <v>1627</v>
      </c>
      <c r="AV77" s="69">
        <f>IF(ListLayout[[#This Row],[List Name for Layout]]="","id",COUNTA($AU$2:ListLayout[[#This Row],[List Name for Layout]])+IF(ISNUMBER(VLOOKUP('Table Seed Map'!$A$27,SeedMap[],9,0)),VLOOKUP('Table Seed Map'!$A$27,SeedMap[],9,0),0))</f>
        <v>2126175</v>
      </c>
      <c r="AW77" s="69">
        <f>IFERROR(VLOOKUP(ListLayout[[#This Row],[List Name for Layout]],ResourceList[[ListDisplayName]:[No]],2,0),"resource_list")</f>
        <v>2123121</v>
      </c>
      <c r="AX77" s="69" t="s">
        <v>779</v>
      </c>
      <c r="AY77" s="107" t="s">
        <v>23</v>
      </c>
      <c r="AZ77" s="69">
        <f>IF(ListLayout[[#This Row],[List Name for Layout]]="","relation",IFERROR(VLOOKUP(ListLayout[[#This Row],[Relation]],RelationTable[[Display]:[RELID]],2,0),""))</f>
        <v>2109153</v>
      </c>
      <c r="BA77" s="69" t="str">
        <f>IF(ListLayout[[#This Row],[List Name for Layout]]="","nest_relation1",IFERROR(VLOOKUP(ListLayout[[#This Row],[Relation 1]],RelationTable[[Display]:[RELID]],2,0),""))</f>
        <v/>
      </c>
      <c r="BB77" s="69" t="str">
        <f>IF(ListLayout[[#This Row],[List Name for Layout]]="","nest_relation2",IFERROR(VLOOKUP(ListLayout[[#This Row],[Relation 2]],RelationTable[[Display]:[RELID]],2,0),""))</f>
        <v/>
      </c>
      <c r="BC77" s="107" t="s">
        <v>1628</v>
      </c>
      <c r="BD77" s="107"/>
      <c r="BE77" s="107"/>
    </row>
    <row r="78" spans="2:57">
      <c r="M78" s="2" t="s">
        <v>2029</v>
      </c>
      <c r="N78" s="63">
        <f>VLOOKUP(ListExtras[[#This Row],[List Name]],ResourceList[[ListDisplayName]:[No]],2,0)</f>
        <v>2123144</v>
      </c>
      <c r="O78" s="62" t="s">
        <v>2027</v>
      </c>
      <c r="P78" s="62" t="s">
        <v>1848</v>
      </c>
      <c r="Q78" s="62"/>
      <c r="R78" s="62"/>
      <c r="S78" s="62"/>
      <c r="T78" s="63" t="str">
        <f>'Table Seed Map'!$A$25&amp;"-"&amp;COUNT($W$1:ListExtras[[#This Row],[Scope ID]])</f>
        <v>List Scopes-31</v>
      </c>
      <c r="U7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2124131</v>
      </c>
      <c r="V78" s="69">
        <f>IF(ListExtras[[#This Row],[LID]]=0,"resource_list",ListExtras[[#This Row],[LID]])</f>
        <v>2123144</v>
      </c>
      <c r="W78" s="69">
        <f>IFERROR(VLOOKUP(ListExtras[[#This Row],[Scope Name]],ResourceScopes[[ScopesDisplayNames]:[No]],2,0),IF(ListExtras[[#This Row],[LID]]=0,"scope",""))</f>
        <v>2108124</v>
      </c>
      <c r="X78" s="63" t="str">
        <f>'Table Seed Map'!$A$26&amp;"-"&amp;COUNT($AA$1:ListExtras[[#This Row],[Relation]])</f>
        <v>List Relation-64</v>
      </c>
      <c r="Y7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2125164</v>
      </c>
      <c r="Z78" s="69">
        <f>IF(ListExtras[[#This Row],[LID]]=0,"resource_list",ListExtras[[#This Row],[LID]])</f>
        <v>2123144</v>
      </c>
      <c r="AA78" s="69">
        <f>IFERROR(VLOOKUP(ListExtras[[#This Row],[Relation Name]],RelationTable[[Display]:[RELID]],2,0),IF(ListExtras[[#This Row],[LID]]=0,"relation",""))</f>
        <v>2109194</v>
      </c>
      <c r="AB78" s="69" t="str">
        <f>IFERROR(VLOOKUP(ListExtras[[#This Row],[R1 Name]],RelationTable[[Display]:[RELID]],2,0),IF(ListExtras[[#This Row],[LID]]=0,"nest_relation1",""))</f>
        <v/>
      </c>
      <c r="AC78" s="69" t="str">
        <f>IFERROR(VLOOKUP(ListExtras[[#This Row],[R2 Name]],RelationTable[[Display]:[RELID]],2,0),IF(ListExtras[[#This Row],[LID]]=0,"nest_relation2",""))</f>
        <v/>
      </c>
      <c r="AD78" s="69" t="str">
        <f>IFERROR(VLOOKUP(ListExtras[[#This Row],[R3 Name]],RelationTable[[Display]:[RELID]],2,0),IF(ListExtras[[#This Row],[LID]]=0,"nest_relation3",""))</f>
        <v/>
      </c>
      <c r="AT78" s="69" t="str">
        <f>'Table Seed Map'!$A$27&amp;"-"&amp;COUNTA($AV$1:ListLayout[[#This Row],[No]])-2</f>
        <v>List Layout-76</v>
      </c>
      <c r="AU78" s="62" t="s">
        <v>1627</v>
      </c>
      <c r="AV78" s="69">
        <f>IF(ListLayout[[#This Row],[List Name for Layout]]="","id",COUNTA($AU$2:ListLayout[[#This Row],[List Name for Layout]])+IF(ISNUMBER(VLOOKUP('Table Seed Map'!$A$27,SeedMap[],9,0)),VLOOKUP('Table Seed Map'!$A$27,SeedMap[],9,0),0))</f>
        <v>2126176</v>
      </c>
      <c r="AW78" s="69">
        <f>IFERROR(VLOOKUP(ListLayout[[#This Row],[List Name for Layout]],ResourceList[[ListDisplayName]:[No]],2,0),"resource_list")</f>
        <v>2123121</v>
      </c>
      <c r="AX78" s="69" t="s">
        <v>896</v>
      </c>
      <c r="AY78" s="107" t="s">
        <v>23</v>
      </c>
      <c r="AZ78" s="69">
        <f>IF(ListLayout[[#This Row],[List Name for Layout]]="","relation",IFERROR(VLOOKUP(ListLayout[[#This Row],[Relation]],RelationTable[[Display]:[RELID]],2,0),""))</f>
        <v>2109188</v>
      </c>
      <c r="BA78" s="69" t="str">
        <f>IF(ListLayout[[#This Row],[List Name for Layout]]="","nest_relation1",IFERROR(VLOOKUP(ListLayout[[#This Row],[Relation 1]],RelationTable[[Display]:[RELID]],2,0),""))</f>
        <v/>
      </c>
      <c r="BB78" s="69" t="str">
        <f>IF(ListLayout[[#This Row],[List Name for Layout]]="","nest_relation2",IFERROR(VLOOKUP(ListLayout[[#This Row],[Relation 2]],RelationTable[[Display]:[RELID]],2,0),""))</f>
        <v/>
      </c>
      <c r="BC78" s="107" t="s">
        <v>1251</v>
      </c>
      <c r="BD78" s="107"/>
      <c r="BE78" s="107"/>
    </row>
    <row r="79" spans="2:57">
      <c r="M79" s="2" t="s">
        <v>2029</v>
      </c>
      <c r="N79" s="61">
        <f>VLOOKUP(ListExtras[[#This Row],[List Name]],ResourceList[[ListDisplayName]:[No]],2,0)</f>
        <v>2123144</v>
      </c>
      <c r="O79" s="60"/>
      <c r="P79" s="62" t="s">
        <v>1630</v>
      </c>
      <c r="Q79" s="60"/>
      <c r="R79" s="60"/>
      <c r="S79" s="60"/>
      <c r="T79" s="61" t="str">
        <f>'Table Seed Map'!$A$25&amp;"-"&amp;COUNT($W$1:ListExtras[[#This Row],[Scope ID]])</f>
        <v>List Scopes-31</v>
      </c>
      <c r="U79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9" s="68">
        <f>IF(ListExtras[[#This Row],[LID]]=0,"resource_list",ListExtras[[#This Row],[LID]])</f>
        <v>2123144</v>
      </c>
      <c r="W79" s="68" t="str">
        <f>IFERROR(VLOOKUP(ListExtras[[#This Row],[Scope Name]],ResourceScopes[[ScopesDisplayNames]:[No]],2,0),IF(ListExtras[[#This Row],[LID]]=0,"scope",""))</f>
        <v/>
      </c>
      <c r="X79" s="61" t="str">
        <f>'Table Seed Map'!$A$26&amp;"-"&amp;COUNT($AA$1:ListExtras[[#This Row],[Relation]])</f>
        <v>List Relation-65</v>
      </c>
      <c r="Y79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2125165</v>
      </c>
      <c r="Z79" s="68">
        <f>IF(ListExtras[[#This Row],[LID]]=0,"resource_list",ListExtras[[#This Row],[LID]])</f>
        <v>2123144</v>
      </c>
      <c r="AA79" s="68">
        <f>IFERROR(VLOOKUP(ListExtras[[#This Row],[Relation Name]],RelationTable[[Display]:[RELID]],2,0),IF(ListExtras[[#This Row],[LID]]=0,"relation",""))</f>
        <v>2109155</v>
      </c>
      <c r="AB79" s="68" t="str">
        <f>IFERROR(VLOOKUP(ListExtras[[#This Row],[R1 Name]],RelationTable[[Display]:[RELID]],2,0),IF(ListExtras[[#This Row],[LID]]=0,"nest_relation1",""))</f>
        <v/>
      </c>
      <c r="AC79" s="68" t="str">
        <f>IFERROR(VLOOKUP(ListExtras[[#This Row],[R2 Name]],RelationTable[[Display]:[RELID]],2,0),IF(ListExtras[[#This Row],[LID]]=0,"nest_relation2",""))</f>
        <v/>
      </c>
      <c r="AD79" s="68" t="str">
        <f>IFERROR(VLOOKUP(ListExtras[[#This Row],[R3 Name]],RelationTable[[Display]:[RELID]],2,0),IF(ListExtras[[#This Row],[LID]]=0,"nest_relation3",""))</f>
        <v/>
      </c>
      <c r="AT79" s="69" t="str">
        <f>'Table Seed Map'!$A$27&amp;"-"&amp;COUNTA($AV$1:ListLayout[[#This Row],[No]])-2</f>
        <v>List Layout-77</v>
      </c>
      <c r="AU79" s="62" t="s">
        <v>1627</v>
      </c>
      <c r="AV79" s="69">
        <f>IF(ListLayout[[#This Row],[List Name for Layout]]="","id",COUNTA($AU$2:ListLayout[[#This Row],[List Name for Layout]])+IF(ISNUMBER(VLOOKUP('Table Seed Map'!$A$27,SeedMap[],9,0)),VLOOKUP('Table Seed Map'!$A$27,SeedMap[],9,0),0))</f>
        <v>2126177</v>
      </c>
      <c r="AW79" s="69">
        <f>IFERROR(VLOOKUP(ListLayout[[#This Row],[List Name for Layout]],ResourceList[[ListDisplayName]:[No]],2,0),"resource_list")</f>
        <v>2123121</v>
      </c>
      <c r="AX79" s="69" t="s">
        <v>777</v>
      </c>
      <c r="AY79" s="107" t="s">
        <v>23</v>
      </c>
      <c r="AZ79" s="69">
        <f>IF(ListLayout[[#This Row],[List Name for Layout]]="","relation",IFERROR(VLOOKUP(ListLayout[[#This Row],[Relation]],RelationTable[[Display]:[RELID]],2,0),""))</f>
        <v>2109194</v>
      </c>
      <c r="BA79" s="69" t="str">
        <f>IF(ListLayout[[#This Row],[List Name for Layout]]="","nest_relation1",IFERROR(VLOOKUP(ListLayout[[#This Row],[Relation 1]],RelationTable[[Display]:[RELID]],2,0),""))</f>
        <v/>
      </c>
      <c r="BB79" s="69" t="str">
        <f>IF(ListLayout[[#This Row],[List Name for Layout]]="","nest_relation2",IFERROR(VLOOKUP(ListLayout[[#This Row],[Relation 2]],RelationTable[[Display]:[RELID]],2,0),""))</f>
        <v/>
      </c>
      <c r="BC79" s="107" t="s">
        <v>1848</v>
      </c>
      <c r="BD79" s="107"/>
      <c r="BE79" s="107"/>
    </row>
    <row r="80" spans="2:57">
      <c r="M80" s="2" t="s">
        <v>2029</v>
      </c>
      <c r="N80" s="61">
        <f>VLOOKUP(ListExtras[[#This Row],[List Name]],ResourceList[[ListDisplayName]:[No]],2,0)</f>
        <v>2123144</v>
      </c>
      <c r="O80" s="60"/>
      <c r="P80" s="62" t="s">
        <v>1629</v>
      </c>
      <c r="Q80" s="60"/>
      <c r="R80" s="60"/>
      <c r="S80" s="60"/>
      <c r="T80" s="61" t="str">
        <f>'Table Seed Map'!$A$25&amp;"-"&amp;COUNT($W$1:ListExtras[[#This Row],[Scope ID]])</f>
        <v>List Scopes-31</v>
      </c>
      <c r="U80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0" s="68">
        <f>IF(ListExtras[[#This Row],[LID]]=0,"resource_list",ListExtras[[#This Row],[LID]])</f>
        <v>2123144</v>
      </c>
      <c r="W80" s="68" t="str">
        <f>IFERROR(VLOOKUP(ListExtras[[#This Row],[Scope Name]],ResourceScopes[[ScopesDisplayNames]:[No]],2,0),IF(ListExtras[[#This Row],[LID]]=0,"scope",""))</f>
        <v/>
      </c>
      <c r="X80" s="61" t="str">
        <f>'Table Seed Map'!$A$26&amp;"-"&amp;COUNT($AA$1:ListExtras[[#This Row],[Relation]])</f>
        <v>List Relation-66</v>
      </c>
      <c r="Y80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2125166</v>
      </c>
      <c r="Z80" s="68">
        <f>IF(ListExtras[[#This Row],[LID]]=0,"resource_list",ListExtras[[#This Row],[LID]])</f>
        <v>2123144</v>
      </c>
      <c r="AA80" s="68">
        <f>IFERROR(VLOOKUP(ListExtras[[#This Row],[Relation Name]],RelationTable[[Display]:[RELID]],2,0),IF(ListExtras[[#This Row],[LID]]=0,"relation",""))</f>
        <v>2109154</v>
      </c>
      <c r="AB80" s="68" t="str">
        <f>IFERROR(VLOOKUP(ListExtras[[#This Row],[R1 Name]],RelationTable[[Display]:[RELID]],2,0),IF(ListExtras[[#This Row],[LID]]=0,"nest_relation1",""))</f>
        <v/>
      </c>
      <c r="AC80" s="68" t="str">
        <f>IFERROR(VLOOKUP(ListExtras[[#This Row],[R2 Name]],RelationTable[[Display]:[RELID]],2,0),IF(ListExtras[[#This Row],[LID]]=0,"nest_relation2",""))</f>
        <v/>
      </c>
      <c r="AD80" s="68" t="str">
        <f>IFERROR(VLOOKUP(ListExtras[[#This Row],[R3 Name]],RelationTable[[Display]:[RELID]],2,0),IF(ListExtras[[#This Row],[LID]]=0,"nest_relation3",""))</f>
        <v/>
      </c>
      <c r="AT80" s="69" t="str">
        <f>'Table Seed Map'!$A$27&amp;"-"&amp;COUNTA($AV$1:ListLayout[[#This Row],[No]])-2</f>
        <v>List Layout-78</v>
      </c>
      <c r="AU80" s="62" t="s">
        <v>1627</v>
      </c>
      <c r="AV80" s="69">
        <f>IF(ListLayout[[#This Row],[List Name for Layout]]="","id",COUNTA($AU$2:ListLayout[[#This Row],[List Name for Layout]])+IF(ISNUMBER(VLOOKUP('Table Seed Map'!$A$27,SeedMap[],9,0)),VLOOKUP('Table Seed Map'!$A$27,SeedMap[],9,0),0))</f>
        <v>2126178</v>
      </c>
      <c r="AW80" s="69">
        <f>IFERROR(VLOOKUP(ListLayout[[#This Row],[List Name for Layout]],ResourceList[[ListDisplayName]:[No]],2,0),"resource_list")</f>
        <v>2123121</v>
      </c>
      <c r="AX80" s="69" t="s">
        <v>104</v>
      </c>
      <c r="AY80" s="107" t="s">
        <v>850</v>
      </c>
      <c r="AZ80" s="69">
        <f>IF(ListLayout[[#This Row],[List Name for Layout]]="","relation",IFERROR(VLOOKUP(ListLayout[[#This Row],[Relation]],RelationTable[[Display]:[RELID]],2,0),""))</f>
        <v>2109154</v>
      </c>
      <c r="BA80" s="69" t="str">
        <f>IF(ListLayout[[#This Row],[List Name for Layout]]="","nest_relation1",IFERROR(VLOOKUP(ListLayout[[#This Row],[Relation 1]],RelationTable[[Display]:[RELID]],2,0),""))</f>
        <v/>
      </c>
      <c r="BB80" s="69" t="str">
        <f>IF(ListLayout[[#This Row],[List Name for Layout]]="","nest_relation2",IFERROR(VLOOKUP(ListLayout[[#This Row],[Relation 2]],RelationTable[[Display]:[RELID]],2,0),""))</f>
        <v/>
      </c>
      <c r="BC80" s="107" t="s">
        <v>1629</v>
      </c>
      <c r="BD80" s="107"/>
      <c r="BE80" s="107"/>
    </row>
    <row r="81" spans="13:57">
      <c r="M81" s="2" t="s">
        <v>2029</v>
      </c>
      <c r="N81" s="61">
        <f>VLOOKUP(ListExtras[[#This Row],[List Name]],ResourceList[[ListDisplayName]:[No]],2,0)</f>
        <v>2123144</v>
      </c>
      <c r="O81" s="60"/>
      <c r="P81" s="62" t="s">
        <v>1628</v>
      </c>
      <c r="Q81" s="60"/>
      <c r="R81" s="60"/>
      <c r="S81" s="60"/>
      <c r="T81" s="61" t="str">
        <f>'Table Seed Map'!$A$25&amp;"-"&amp;COUNT($W$1:ListExtras[[#This Row],[Scope ID]])</f>
        <v>List Scopes-31</v>
      </c>
      <c r="U81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1" s="68">
        <f>IF(ListExtras[[#This Row],[LID]]=0,"resource_list",ListExtras[[#This Row],[LID]])</f>
        <v>2123144</v>
      </c>
      <c r="W81" s="68" t="str">
        <f>IFERROR(VLOOKUP(ListExtras[[#This Row],[Scope Name]],ResourceScopes[[ScopesDisplayNames]:[No]],2,0),IF(ListExtras[[#This Row],[LID]]=0,"scope",""))</f>
        <v/>
      </c>
      <c r="X81" s="61" t="str">
        <f>'Table Seed Map'!$A$26&amp;"-"&amp;COUNT($AA$1:ListExtras[[#This Row],[Relation]])</f>
        <v>List Relation-67</v>
      </c>
      <c r="Y81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2125167</v>
      </c>
      <c r="Z81" s="68">
        <f>IF(ListExtras[[#This Row],[LID]]=0,"resource_list",ListExtras[[#This Row],[LID]])</f>
        <v>2123144</v>
      </c>
      <c r="AA81" s="68">
        <f>IFERROR(VLOOKUP(ListExtras[[#This Row],[Relation Name]],RelationTable[[Display]:[RELID]],2,0),IF(ListExtras[[#This Row],[LID]]=0,"relation",""))</f>
        <v>2109153</v>
      </c>
      <c r="AB81" s="68" t="str">
        <f>IFERROR(VLOOKUP(ListExtras[[#This Row],[R1 Name]],RelationTable[[Display]:[RELID]],2,0),IF(ListExtras[[#This Row],[LID]]=0,"nest_relation1",""))</f>
        <v/>
      </c>
      <c r="AC81" s="68" t="str">
        <f>IFERROR(VLOOKUP(ListExtras[[#This Row],[R2 Name]],RelationTable[[Display]:[RELID]],2,0),IF(ListExtras[[#This Row],[LID]]=0,"nest_relation2",""))</f>
        <v/>
      </c>
      <c r="AD81" s="68" t="str">
        <f>IFERROR(VLOOKUP(ListExtras[[#This Row],[R3 Name]],RelationTable[[Display]:[RELID]],2,0),IF(ListExtras[[#This Row],[LID]]=0,"nest_relation3",""))</f>
        <v/>
      </c>
      <c r="AT81" s="69" t="str">
        <f>'Table Seed Map'!$A$27&amp;"-"&amp;COUNTA($AV$1:ListLayout[[#This Row],[No]])-2</f>
        <v>List Layout-79</v>
      </c>
      <c r="AU81" s="62" t="s">
        <v>1627</v>
      </c>
      <c r="AV81" s="69">
        <f>IF(ListLayout[[#This Row],[List Name for Layout]]="","id",COUNTA($AU$2:ListLayout[[#This Row],[List Name for Layout]])+IF(ISNUMBER(VLOOKUP('Table Seed Map'!$A$27,SeedMap[],9,0)),VLOOKUP('Table Seed Map'!$A$27,SeedMap[],9,0),0))</f>
        <v>2126179</v>
      </c>
      <c r="AW81" s="69">
        <f>IFERROR(VLOOKUP(ListLayout[[#This Row],[List Name for Layout]],ResourceList[[ListDisplayName]:[No]],2,0),"resource_list")</f>
        <v>2123121</v>
      </c>
      <c r="AX81" s="69" t="s">
        <v>1029</v>
      </c>
      <c r="AY81" s="107" t="s">
        <v>1636</v>
      </c>
      <c r="AZ81" s="69">
        <f>IF(ListLayout[[#This Row],[List Name for Layout]]="","relation",IFERROR(VLOOKUP(ListLayout[[#This Row],[Relation]],RelationTable[[Display]:[RELID]],2,0),""))</f>
        <v>2109155</v>
      </c>
      <c r="BA81" s="69" t="str">
        <f>IF(ListLayout[[#This Row],[List Name for Layout]]="","nest_relation1",IFERROR(VLOOKUP(ListLayout[[#This Row],[Relation 1]],RelationTable[[Display]:[RELID]],2,0),""))</f>
        <v/>
      </c>
      <c r="BB81" s="69" t="str">
        <f>IF(ListLayout[[#This Row],[List Name for Layout]]="","nest_relation2",IFERROR(VLOOKUP(ListLayout[[#This Row],[Relation 2]],RelationTable[[Display]:[RELID]],2,0),""))</f>
        <v/>
      </c>
      <c r="BC81" s="107" t="s">
        <v>1630</v>
      </c>
      <c r="BD81" s="107"/>
      <c r="BE81" s="107"/>
    </row>
    <row r="82" spans="13:57">
      <c r="M82" s="2" t="s">
        <v>2029</v>
      </c>
      <c r="N82" s="61">
        <f>VLOOKUP(ListExtras[[#This Row],[List Name]],ResourceList[[ListDisplayName]:[No]],2,0)</f>
        <v>2123144</v>
      </c>
      <c r="O82" s="60"/>
      <c r="P82" s="62" t="s">
        <v>1251</v>
      </c>
      <c r="Q82" s="60"/>
      <c r="R82" s="60"/>
      <c r="S82" s="60"/>
      <c r="T82" s="61" t="str">
        <f>'Table Seed Map'!$A$25&amp;"-"&amp;COUNT($W$1:ListExtras[[#This Row],[Scope ID]])</f>
        <v>List Scopes-31</v>
      </c>
      <c r="U82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2" s="68">
        <f>IF(ListExtras[[#This Row],[LID]]=0,"resource_list",ListExtras[[#This Row],[LID]])</f>
        <v>2123144</v>
      </c>
      <c r="W82" s="68" t="str">
        <f>IFERROR(VLOOKUP(ListExtras[[#This Row],[Scope Name]],ResourceScopes[[ScopesDisplayNames]:[No]],2,0),IF(ListExtras[[#This Row],[LID]]=0,"scope",""))</f>
        <v/>
      </c>
      <c r="X82" s="61" t="str">
        <f>'Table Seed Map'!$A$26&amp;"-"&amp;COUNT($AA$1:ListExtras[[#This Row],[Relation]])</f>
        <v>List Relation-68</v>
      </c>
      <c r="Y82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2125168</v>
      </c>
      <c r="Z82" s="68">
        <f>IF(ListExtras[[#This Row],[LID]]=0,"resource_list",ListExtras[[#This Row],[LID]])</f>
        <v>2123144</v>
      </c>
      <c r="AA82" s="68">
        <f>IFERROR(VLOOKUP(ListExtras[[#This Row],[Relation Name]],RelationTable[[Display]:[RELID]],2,0),IF(ListExtras[[#This Row],[LID]]=0,"relation",""))</f>
        <v>2109188</v>
      </c>
      <c r="AB82" s="68" t="str">
        <f>IFERROR(VLOOKUP(ListExtras[[#This Row],[R1 Name]],RelationTable[[Display]:[RELID]],2,0),IF(ListExtras[[#This Row],[LID]]=0,"nest_relation1",""))</f>
        <v/>
      </c>
      <c r="AC82" s="68" t="str">
        <f>IFERROR(VLOOKUP(ListExtras[[#This Row],[R2 Name]],RelationTable[[Display]:[RELID]],2,0),IF(ListExtras[[#This Row],[LID]]=0,"nest_relation2",""))</f>
        <v/>
      </c>
      <c r="AD82" s="68" t="str">
        <f>IFERROR(VLOOKUP(ListExtras[[#This Row],[R3 Name]],RelationTable[[Display]:[RELID]],2,0),IF(ListExtras[[#This Row],[LID]]=0,"nest_relation3",""))</f>
        <v/>
      </c>
      <c r="AT82" s="69" t="str">
        <f>'Table Seed Map'!$A$27&amp;"-"&amp;COUNTA($AV$1:ListLayout[[#This Row],[No]])-2</f>
        <v>List Layout-80</v>
      </c>
      <c r="AU82" s="62" t="s">
        <v>1627</v>
      </c>
      <c r="AV82" s="69">
        <f>IF(ListLayout[[#This Row],[List Name for Layout]]="","id",COUNTA($AU$2:ListLayout[[#This Row],[List Name for Layout]])+IF(ISNUMBER(VLOOKUP('Table Seed Map'!$A$27,SeedMap[],9,0)),VLOOKUP('Table Seed Map'!$A$27,SeedMap[],9,0),0))</f>
        <v>2126180</v>
      </c>
      <c r="AW82" s="69">
        <f>IFERROR(VLOOKUP(ListLayout[[#This Row],[List Name for Layout]],ResourceList[[ListDisplayName]:[No]],2,0),"resource_list")</f>
        <v>2123121</v>
      </c>
      <c r="AX82" s="69" t="s">
        <v>1256</v>
      </c>
      <c r="AY82" s="107" t="s">
        <v>852</v>
      </c>
      <c r="AZ82" s="69" t="str">
        <f>IF(ListLayout[[#This Row],[List Name for Layout]]="","relation",IFERROR(VLOOKUP(ListLayout[[#This Row],[Relation]],RelationTable[[Display]:[RELID]],2,0),""))</f>
        <v/>
      </c>
      <c r="BA82" s="69" t="str">
        <f>IF(ListLayout[[#This Row],[List Name for Layout]]="","nest_relation1",IFERROR(VLOOKUP(ListLayout[[#This Row],[Relation 1]],RelationTable[[Display]:[RELID]],2,0),""))</f>
        <v/>
      </c>
      <c r="BB82" s="69" t="str">
        <f>IF(ListLayout[[#This Row],[List Name for Layout]]="","nest_relation2",IFERROR(VLOOKUP(ListLayout[[#This Row],[Relation 2]],RelationTable[[Display]:[RELID]],2,0),""))</f>
        <v/>
      </c>
      <c r="BC82" s="107"/>
      <c r="BD82" s="107"/>
      <c r="BE82" s="107"/>
    </row>
    <row r="83" spans="13:57">
      <c r="M83" s="2" t="s">
        <v>2041</v>
      </c>
      <c r="N83" s="63">
        <f>VLOOKUP(ListExtras[[#This Row],[List Name]],ResourceList[[ListDisplayName]:[No]],2,0)</f>
        <v>2123145</v>
      </c>
      <c r="O83" s="62" t="s">
        <v>2042</v>
      </c>
      <c r="P83" s="62" t="s">
        <v>1474</v>
      </c>
      <c r="Q83" s="62"/>
      <c r="R83" s="62"/>
      <c r="S83" s="62"/>
      <c r="T83" s="63" t="str">
        <f>'Table Seed Map'!$A$25&amp;"-"&amp;COUNT($W$1:ListExtras[[#This Row],[Scope ID]])</f>
        <v>List Scopes-32</v>
      </c>
      <c r="U8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2124132</v>
      </c>
      <c r="V83" s="69">
        <f>IF(ListExtras[[#This Row],[LID]]=0,"resource_list",ListExtras[[#This Row],[LID]])</f>
        <v>2123145</v>
      </c>
      <c r="W83" s="69">
        <f>IFERROR(VLOOKUP(ListExtras[[#This Row],[Scope Name]],ResourceScopes[[ScopesDisplayNames]:[No]],2,0),IF(ListExtras[[#This Row],[LID]]=0,"scope",""))</f>
        <v>2108125</v>
      </c>
      <c r="X83" s="63" t="str">
        <f>'Table Seed Map'!$A$26&amp;"-"&amp;COUNT($AA$1:ListExtras[[#This Row],[Relation]])</f>
        <v>List Relation-69</v>
      </c>
      <c r="Y8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2125169</v>
      </c>
      <c r="Z83" s="69">
        <f>IF(ListExtras[[#This Row],[LID]]=0,"resource_list",ListExtras[[#This Row],[LID]])</f>
        <v>2123145</v>
      </c>
      <c r="AA83" s="69">
        <f>IFERROR(VLOOKUP(ListExtras[[#This Row],[Relation Name]],RelationTable[[Display]:[RELID]],2,0),IF(ListExtras[[#This Row],[LID]]=0,"relation",""))</f>
        <v>2109162</v>
      </c>
      <c r="AB83" s="69" t="str">
        <f>IFERROR(VLOOKUP(ListExtras[[#This Row],[R1 Name]],RelationTable[[Display]:[RELID]],2,0),IF(ListExtras[[#This Row],[LID]]=0,"nest_relation1",""))</f>
        <v/>
      </c>
      <c r="AC83" s="69" t="str">
        <f>IFERROR(VLOOKUP(ListExtras[[#This Row],[R2 Name]],RelationTable[[Display]:[RELID]],2,0),IF(ListExtras[[#This Row],[LID]]=0,"nest_relation2",""))</f>
        <v/>
      </c>
      <c r="AD83" s="69" t="str">
        <f>IFERROR(VLOOKUP(ListExtras[[#This Row],[R3 Name]],RelationTable[[Display]:[RELID]],2,0),IF(ListExtras[[#This Row],[LID]]=0,"nest_relation3",""))</f>
        <v/>
      </c>
      <c r="AT83" s="69" t="str">
        <f>'Table Seed Map'!$A$27&amp;"-"&amp;COUNTA($AV$1:ListLayout[[#This Row],[No]])-2</f>
        <v>List Layout-81</v>
      </c>
      <c r="AU83" s="62" t="s">
        <v>1627</v>
      </c>
      <c r="AV83" s="69">
        <f>IF(ListLayout[[#This Row],[List Name for Layout]]="","id",COUNTA($AU$2:ListLayout[[#This Row],[List Name for Layout]])+IF(ISNUMBER(VLOOKUP('Table Seed Map'!$A$27,SeedMap[],9,0)),VLOOKUP('Table Seed Map'!$A$27,SeedMap[],9,0),0))</f>
        <v>2126181</v>
      </c>
      <c r="AW83" s="69">
        <f>IFERROR(VLOOKUP(ListLayout[[#This Row],[List Name for Layout]],ResourceList[[ListDisplayName]:[No]],2,0),"resource_list")</f>
        <v>2123121</v>
      </c>
      <c r="AX83" s="69" t="s">
        <v>1471</v>
      </c>
      <c r="AY83" s="107" t="s">
        <v>882</v>
      </c>
      <c r="AZ83" s="69" t="str">
        <f>IF(ListLayout[[#This Row],[List Name for Layout]]="","relation",IFERROR(VLOOKUP(ListLayout[[#This Row],[Relation]],RelationTable[[Display]:[RELID]],2,0),""))</f>
        <v/>
      </c>
      <c r="BA83" s="69" t="str">
        <f>IF(ListLayout[[#This Row],[List Name for Layout]]="","nest_relation1",IFERROR(VLOOKUP(ListLayout[[#This Row],[Relation 1]],RelationTable[[Display]:[RELID]],2,0),""))</f>
        <v/>
      </c>
      <c r="BB83" s="69" t="str">
        <f>IF(ListLayout[[#This Row],[List Name for Layout]]="","nest_relation2",IFERROR(VLOOKUP(ListLayout[[#This Row],[Relation 2]],RelationTable[[Display]:[RELID]],2,0),""))</f>
        <v/>
      </c>
      <c r="BC83" s="107"/>
      <c r="BD83" s="107"/>
      <c r="BE83" s="107"/>
    </row>
    <row r="84" spans="13:57">
      <c r="M84" s="2" t="s">
        <v>2041</v>
      </c>
      <c r="N84" s="63">
        <f>VLOOKUP(ListExtras[[#This Row],[List Name]],ResourceList[[ListDisplayName]:[No]],2,0)</f>
        <v>2123145</v>
      </c>
      <c r="O84" s="62"/>
      <c r="P84" s="62" t="s">
        <v>1475</v>
      </c>
      <c r="Q84" s="62"/>
      <c r="R84" s="62"/>
      <c r="S84" s="62"/>
      <c r="T84" s="63" t="str">
        <f>'Table Seed Map'!$A$25&amp;"-"&amp;COUNT($W$1:ListExtras[[#This Row],[Scope ID]])</f>
        <v>List Scopes-32</v>
      </c>
      <c r="U8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4" s="69">
        <f>IF(ListExtras[[#This Row],[LID]]=0,"resource_list",ListExtras[[#This Row],[LID]])</f>
        <v>2123145</v>
      </c>
      <c r="W84" s="69" t="str">
        <f>IFERROR(VLOOKUP(ListExtras[[#This Row],[Scope Name]],ResourceScopes[[ScopesDisplayNames]:[No]],2,0),IF(ListExtras[[#This Row],[LID]]=0,"scope",""))</f>
        <v/>
      </c>
      <c r="X84" s="63" t="str">
        <f>'Table Seed Map'!$A$26&amp;"-"&amp;COUNT($AA$1:ListExtras[[#This Row],[Relation]])</f>
        <v>List Relation-70</v>
      </c>
      <c r="Y8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2125170</v>
      </c>
      <c r="Z84" s="69">
        <f>IF(ListExtras[[#This Row],[LID]]=0,"resource_list",ListExtras[[#This Row],[LID]])</f>
        <v>2123145</v>
      </c>
      <c r="AA84" s="69">
        <f>IFERROR(VLOOKUP(ListExtras[[#This Row],[Relation Name]],RelationTable[[Display]:[RELID]],2,0),IF(ListExtras[[#This Row],[LID]]=0,"relation",""))</f>
        <v>2109161</v>
      </c>
      <c r="AB84" s="69" t="str">
        <f>IFERROR(VLOOKUP(ListExtras[[#This Row],[R1 Name]],RelationTable[[Display]:[RELID]],2,0),IF(ListExtras[[#This Row],[LID]]=0,"nest_relation1",""))</f>
        <v/>
      </c>
      <c r="AC84" s="69" t="str">
        <f>IFERROR(VLOOKUP(ListExtras[[#This Row],[R2 Name]],RelationTable[[Display]:[RELID]],2,0),IF(ListExtras[[#This Row],[LID]]=0,"nest_relation2",""))</f>
        <v/>
      </c>
      <c r="AD84" s="69" t="str">
        <f>IFERROR(VLOOKUP(ListExtras[[#This Row],[R3 Name]],RelationTable[[Display]:[RELID]],2,0),IF(ListExtras[[#This Row],[LID]]=0,"nest_relation3",""))</f>
        <v/>
      </c>
      <c r="AT84" s="69" t="str">
        <f>'Table Seed Map'!$A$27&amp;"-"&amp;COUNTA($AV$1:ListLayout[[#This Row],[No]])-2</f>
        <v>List Layout-82</v>
      </c>
      <c r="AU84" s="62" t="s">
        <v>1641</v>
      </c>
      <c r="AV84" s="69">
        <f>IF(ListLayout[[#This Row],[List Name for Layout]]="","id",COUNTA($AU$2:ListLayout[[#This Row],[List Name for Layout]])+IF(ISNUMBER(VLOOKUP('Table Seed Map'!$A$27,SeedMap[],9,0)),VLOOKUP('Table Seed Map'!$A$27,SeedMap[],9,0),0))</f>
        <v>2126182</v>
      </c>
      <c r="AW84" s="69">
        <f>IFERROR(VLOOKUP(ListLayout[[#This Row],[List Name for Layout]],ResourceList[[ListDisplayName]:[No]],2,0),"resource_list")</f>
        <v>2123122</v>
      </c>
      <c r="AX84" s="69" t="s">
        <v>1643</v>
      </c>
      <c r="AY84" s="107" t="s">
        <v>23</v>
      </c>
      <c r="AZ84" s="69">
        <f>IF(ListLayout[[#This Row],[List Name for Layout]]="","relation",IFERROR(VLOOKUP(ListLayout[[#This Row],[Relation]],RelationTable[[Display]:[RELID]],2,0),""))</f>
        <v>2109158</v>
      </c>
      <c r="BA84" s="69" t="str">
        <f>IF(ListLayout[[#This Row],[List Name for Layout]]="","nest_relation1",IFERROR(VLOOKUP(ListLayout[[#This Row],[Relation 1]],RelationTable[[Display]:[RELID]],2,0),""))</f>
        <v/>
      </c>
      <c r="BB84" s="69" t="str">
        <f>IF(ListLayout[[#This Row],[List Name for Layout]]="","nest_relation2",IFERROR(VLOOKUP(ListLayout[[#This Row],[Relation 2]],RelationTable[[Display]:[RELID]],2,0),""))</f>
        <v/>
      </c>
      <c r="BC84" s="107" t="s">
        <v>1642</v>
      </c>
      <c r="BD84" s="107"/>
      <c r="BE84" s="107"/>
    </row>
    <row r="85" spans="13:57">
      <c r="M85" s="2" t="s">
        <v>2046</v>
      </c>
      <c r="N85" s="63">
        <f>VLOOKUP(ListExtras[[#This Row],[List Name]],ResourceList[[ListDisplayName]:[No]],2,0)</f>
        <v>2123146</v>
      </c>
      <c r="O85" s="62" t="s">
        <v>2042</v>
      </c>
      <c r="P85" s="62" t="s">
        <v>1474</v>
      </c>
      <c r="Q85" s="62"/>
      <c r="R85" s="62"/>
      <c r="S85" s="62"/>
      <c r="T85" s="63" t="str">
        <f>'Table Seed Map'!$A$25&amp;"-"&amp;COUNT($W$1:ListExtras[[#This Row],[Scope ID]])</f>
        <v>List Scopes-33</v>
      </c>
      <c r="U85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2124133</v>
      </c>
      <c r="V85" s="69">
        <f>IF(ListExtras[[#This Row],[LID]]=0,"resource_list",ListExtras[[#This Row],[LID]])</f>
        <v>2123146</v>
      </c>
      <c r="W85" s="69">
        <f>IFERROR(VLOOKUP(ListExtras[[#This Row],[Scope Name]],ResourceScopes[[ScopesDisplayNames]:[No]],2,0),IF(ListExtras[[#This Row],[LID]]=0,"scope",""))</f>
        <v>2108125</v>
      </c>
      <c r="X85" s="63" t="str">
        <f>'Table Seed Map'!$A$26&amp;"-"&amp;COUNT($AA$1:ListExtras[[#This Row],[Relation]])</f>
        <v>List Relation-71</v>
      </c>
      <c r="Y8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2125171</v>
      </c>
      <c r="Z85" s="69">
        <f>IF(ListExtras[[#This Row],[LID]]=0,"resource_list",ListExtras[[#This Row],[LID]])</f>
        <v>2123146</v>
      </c>
      <c r="AA85" s="69">
        <f>IFERROR(VLOOKUP(ListExtras[[#This Row],[Relation Name]],RelationTable[[Display]:[RELID]],2,0),IF(ListExtras[[#This Row],[LID]]=0,"relation",""))</f>
        <v>2109162</v>
      </c>
      <c r="AB85" s="69" t="str">
        <f>IFERROR(VLOOKUP(ListExtras[[#This Row],[R1 Name]],RelationTable[[Display]:[RELID]],2,0),IF(ListExtras[[#This Row],[LID]]=0,"nest_relation1",""))</f>
        <v/>
      </c>
      <c r="AC85" s="69" t="str">
        <f>IFERROR(VLOOKUP(ListExtras[[#This Row],[R2 Name]],RelationTable[[Display]:[RELID]],2,0),IF(ListExtras[[#This Row],[LID]]=0,"nest_relation2",""))</f>
        <v/>
      </c>
      <c r="AD85" s="69" t="str">
        <f>IFERROR(VLOOKUP(ListExtras[[#This Row],[R3 Name]],RelationTable[[Display]:[RELID]],2,0),IF(ListExtras[[#This Row],[LID]]=0,"nest_relation3",""))</f>
        <v/>
      </c>
      <c r="AT85" s="69" t="str">
        <f>'Table Seed Map'!$A$27&amp;"-"&amp;COUNTA($AV$1:ListLayout[[#This Row],[No]])-2</f>
        <v>List Layout-83</v>
      </c>
      <c r="AU85" s="62" t="s">
        <v>1641</v>
      </c>
      <c r="AV85" s="69">
        <f>IF(ListLayout[[#This Row],[List Name for Layout]]="","id",COUNTA($AU$2:ListLayout[[#This Row],[List Name for Layout]])+IF(ISNUMBER(VLOOKUP('Table Seed Map'!$A$27,SeedMap[],9,0)),VLOOKUP('Table Seed Map'!$A$27,SeedMap[],9,0),0))</f>
        <v>2126183</v>
      </c>
      <c r="AW85" s="69">
        <f>IFERROR(VLOOKUP(ListLayout[[#This Row],[List Name for Layout]],ResourceList[[ListDisplayName]:[No]],2,0),"resource_list")</f>
        <v>2123122</v>
      </c>
      <c r="AX85" s="69" t="s">
        <v>777</v>
      </c>
      <c r="AY85" s="107" t="s">
        <v>23</v>
      </c>
      <c r="AZ85" s="69">
        <f>IF(ListLayout[[#This Row],[List Name for Layout]]="","relation",IFERROR(VLOOKUP(ListLayout[[#This Row],[Relation]],RelationTable[[Display]:[RELID]],2,0),""))</f>
        <v>2109158</v>
      </c>
      <c r="BA85" s="69">
        <f>IF(ListLayout[[#This Row],[List Name for Layout]]="","nest_relation1",IFERROR(VLOOKUP(ListLayout[[#This Row],[Relation 1]],RelationTable[[Display]:[RELID]],2,0),""))</f>
        <v>2109194</v>
      </c>
      <c r="BB85" s="69" t="str">
        <f>IF(ListLayout[[#This Row],[List Name for Layout]]="","nest_relation2",IFERROR(VLOOKUP(ListLayout[[#This Row],[Relation 2]],RelationTable[[Display]:[RELID]],2,0),""))</f>
        <v/>
      </c>
      <c r="BC85" s="107" t="s">
        <v>1642</v>
      </c>
      <c r="BD85" s="107" t="s">
        <v>1848</v>
      </c>
      <c r="BE85" s="107"/>
    </row>
    <row r="86" spans="13:57">
      <c r="M86" s="2" t="s">
        <v>2046</v>
      </c>
      <c r="N86" s="63">
        <f>VLOOKUP(ListExtras[[#This Row],[List Name]],ResourceList[[ListDisplayName]:[No]],2,0)</f>
        <v>2123146</v>
      </c>
      <c r="O86" s="62" t="s">
        <v>1806</v>
      </c>
      <c r="P86" s="62" t="s">
        <v>1475</v>
      </c>
      <c r="Q86" s="62"/>
      <c r="R86" s="62"/>
      <c r="S86" s="62"/>
      <c r="T86" s="63" t="str">
        <f>'Table Seed Map'!$A$25&amp;"-"&amp;COUNT($W$1:ListExtras[[#This Row],[Scope ID]])</f>
        <v>List Scopes-34</v>
      </c>
      <c r="U8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2124134</v>
      </c>
      <c r="V86" s="69">
        <f>IF(ListExtras[[#This Row],[LID]]=0,"resource_list",ListExtras[[#This Row],[LID]])</f>
        <v>2123146</v>
      </c>
      <c r="W86" s="69">
        <f>IFERROR(VLOOKUP(ListExtras[[#This Row],[Scope Name]],ResourceScopes[[ScopesDisplayNames]:[No]],2,0),IF(ListExtras[[#This Row],[LID]]=0,"scope",""))</f>
        <v>2108111</v>
      </c>
      <c r="X86" s="63" t="str">
        <f>'Table Seed Map'!$A$26&amp;"-"&amp;COUNT($AA$1:ListExtras[[#This Row],[Relation]])</f>
        <v>List Relation-72</v>
      </c>
      <c r="Y8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2125172</v>
      </c>
      <c r="Z86" s="69">
        <f>IF(ListExtras[[#This Row],[LID]]=0,"resource_list",ListExtras[[#This Row],[LID]])</f>
        <v>2123146</v>
      </c>
      <c r="AA86" s="69">
        <f>IFERROR(VLOOKUP(ListExtras[[#This Row],[Relation Name]],RelationTable[[Display]:[RELID]],2,0),IF(ListExtras[[#This Row],[LID]]=0,"relation",""))</f>
        <v>2109161</v>
      </c>
      <c r="AB86" s="69" t="str">
        <f>IFERROR(VLOOKUP(ListExtras[[#This Row],[R1 Name]],RelationTable[[Display]:[RELID]],2,0),IF(ListExtras[[#This Row],[LID]]=0,"nest_relation1",""))</f>
        <v/>
      </c>
      <c r="AC86" s="69" t="str">
        <f>IFERROR(VLOOKUP(ListExtras[[#This Row],[R2 Name]],RelationTable[[Display]:[RELID]],2,0),IF(ListExtras[[#This Row],[LID]]=0,"nest_relation2",""))</f>
        <v/>
      </c>
      <c r="AD86" s="69" t="str">
        <f>IFERROR(VLOOKUP(ListExtras[[#This Row],[R3 Name]],RelationTable[[Display]:[RELID]],2,0),IF(ListExtras[[#This Row],[LID]]=0,"nest_relation3",""))</f>
        <v/>
      </c>
      <c r="AT86" s="69" t="str">
        <f>'Table Seed Map'!$A$27&amp;"-"&amp;COUNTA($AV$1:ListLayout[[#This Row],[No]])-2</f>
        <v>List Layout-84</v>
      </c>
      <c r="AU86" s="62" t="s">
        <v>1641</v>
      </c>
      <c r="AV86" s="69">
        <f>IF(ListLayout[[#This Row],[List Name for Layout]]="","id",COUNTA($AU$2:ListLayout[[#This Row],[List Name for Layout]])+IF(ISNUMBER(VLOOKUP('Table Seed Map'!$A$27,SeedMap[],9,0)),VLOOKUP('Table Seed Map'!$A$27,SeedMap[],9,0),0))</f>
        <v>2126184</v>
      </c>
      <c r="AW86" s="69">
        <f>IFERROR(VLOOKUP(ListLayout[[#This Row],[List Name for Layout]],ResourceList[[ListDisplayName]:[No]],2,0),"resource_list")</f>
        <v>2123122</v>
      </c>
      <c r="AX86" s="69" t="s">
        <v>778</v>
      </c>
      <c r="AY86" s="107" t="s">
        <v>23</v>
      </c>
      <c r="AZ86" s="69">
        <f>IF(ListLayout[[#This Row],[List Name for Layout]]="","relation",IFERROR(VLOOKUP(ListLayout[[#This Row],[Relation]],RelationTable[[Display]:[RELID]],2,0),""))</f>
        <v>2109159</v>
      </c>
      <c r="BA86" s="69" t="str">
        <f>IF(ListLayout[[#This Row],[List Name for Layout]]="","nest_relation1",IFERROR(VLOOKUP(ListLayout[[#This Row],[Relation 1]],RelationTable[[Display]:[RELID]],2,0),""))</f>
        <v/>
      </c>
      <c r="BB86" s="69" t="str">
        <f>IF(ListLayout[[#This Row],[List Name for Layout]]="","nest_relation2",IFERROR(VLOOKUP(ListLayout[[#This Row],[Relation 2]],RelationTable[[Display]:[RELID]],2,0),""))</f>
        <v/>
      </c>
      <c r="BC86" s="107" t="s">
        <v>1644</v>
      </c>
      <c r="BD86" s="107"/>
      <c r="BE86" s="107"/>
    </row>
    <row r="87" spans="13:57">
      <c r="M87" s="2" t="s">
        <v>2047</v>
      </c>
      <c r="N87" s="63">
        <f>VLOOKUP(ListExtras[[#This Row],[List Name]],ResourceList[[ListDisplayName]:[No]],2,0)</f>
        <v>2123147</v>
      </c>
      <c r="O87" s="62" t="s">
        <v>2042</v>
      </c>
      <c r="P87" s="62" t="s">
        <v>1474</v>
      </c>
      <c r="Q87" s="62"/>
      <c r="R87" s="62"/>
      <c r="S87" s="62"/>
      <c r="T87" s="63" t="str">
        <f>'Table Seed Map'!$A$25&amp;"-"&amp;COUNT($W$1:ListExtras[[#This Row],[Scope ID]])</f>
        <v>List Scopes-35</v>
      </c>
      <c r="U8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2124135</v>
      </c>
      <c r="V87" s="69">
        <f>IF(ListExtras[[#This Row],[LID]]=0,"resource_list",ListExtras[[#This Row],[LID]])</f>
        <v>2123147</v>
      </c>
      <c r="W87" s="69">
        <f>IFERROR(VLOOKUP(ListExtras[[#This Row],[Scope Name]],ResourceScopes[[ScopesDisplayNames]:[No]],2,0),IF(ListExtras[[#This Row],[LID]]=0,"scope",""))</f>
        <v>2108125</v>
      </c>
      <c r="X87" s="63" t="str">
        <f>'Table Seed Map'!$A$26&amp;"-"&amp;COUNT($AA$1:ListExtras[[#This Row],[Relation]])</f>
        <v>List Relation-73</v>
      </c>
      <c r="Y8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2125173</v>
      </c>
      <c r="Z87" s="69">
        <f>IF(ListExtras[[#This Row],[LID]]=0,"resource_list",ListExtras[[#This Row],[LID]])</f>
        <v>2123147</v>
      </c>
      <c r="AA87" s="69">
        <f>IFERROR(VLOOKUP(ListExtras[[#This Row],[Relation Name]],RelationTable[[Display]:[RELID]],2,0),IF(ListExtras[[#This Row],[LID]]=0,"relation",""))</f>
        <v>2109162</v>
      </c>
      <c r="AB87" s="69" t="str">
        <f>IFERROR(VLOOKUP(ListExtras[[#This Row],[R1 Name]],RelationTable[[Display]:[RELID]],2,0),IF(ListExtras[[#This Row],[LID]]=0,"nest_relation1",""))</f>
        <v/>
      </c>
      <c r="AC87" s="69" t="str">
        <f>IFERROR(VLOOKUP(ListExtras[[#This Row],[R2 Name]],RelationTable[[Display]:[RELID]],2,0),IF(ListExtras[[#This Row],[LID]]=0,"nest_relation2",""))</f>
        <v/>
      </c>
      <c r="AD87" s="69" t="str">
        <f>IFERROR(VLOOKUP(ListExtras[[#This Row],[R3 Name]],RelationTable[[Display]:[RELID]],2,0),IF(ListExtras[[#This Row],[LID]]=0,"nest_relation3",""))</f>
        <v/>
      </c>
      <c r="AT87" s="69" t="str">
        <f>'Table Seed Map'!$A$27&amp;"-"&amp;COUNTA($AV$1:ListLayout[[#This Row],[No]])-2</f>
        <v>List Layout-85</v>
      </c>
      <c r="AU87" s="62" t="s">
        <v>1641</v>
      </c>
      <c r="AV87" s="69">
        <f>IF(ListLayout[[#This Row],[List Name for Layout]]="","id",COUNTA($AU$2:ListLayout[[#This Row],[List Name for Layout]])+IF(ISNUMBER(VLOOKUP('Table Seed Map'!$A$27,SeedMap[],9,0)),VLOOKUP('Table Seed Map'!$A$27,SeedMap[],9,0),0))</f>
        <v>2126185</v>
      </c>
      <c r="AW87" s="69">
        <f>IFERROR(VLOOKUP(ListLayout[[#This Row],[List Name for Layout]],ResourceList[[ListDisplayName]:[No]],2,0),"resource_list")</f>
        <v>2123122</v>
      </c>
      <c r="AX87" s="69" t="s">
        <v>1090</v>
      </c>
      <c r="AY87" s="107" t="s">
        <v>23</v>
      </c>
      <c r="AZ87" s="69">
        <f>IF(ListLayout[[#This Row],[List Name for Layout]]="","relation",IFERROR(VLOOKUP(ListLayout[[#This Row],[Relation]],RelationTable[[Display]:[RELID]],2,0),""))</f>
        <v>2109189</v>
      </c>
      <c r="BA87" s="69" t="str">
        <f>IF(ListLayout[[#This Row],[List Name for Layout]]="","nest_relation1",IFERROR(VLOOKUP(ListLayout[[#This Row],[Relation 1]],RelationTable[[Display]:[RELID]],2,0),""))</f>
        <v/>
      </c>
      <c r="BB87" s="69" t="str">
        <f>IF(ListLayout[[#This Row],[List Name for Layout]]="","nest_relation2",IFERROR(VLOOKUP(ListLayout[[#This Row],[Relation 2]],RelationTable[[Display]:[RELID]],2,0),""))</f>
        <v/>
      </c>
      <c r="BC87" s="107" t="s">
        <v>1645</v>
      </c>
      <c r="BD87" s="107"/>
      <c r="BE87" s="107"/>
    </row>
    <row r="88" spans="13:57">
      <c r="M88" s="2" t="s">
        <v>2047</v>
      </c>
      <c r="N88" s="63">
        <f>VLOOKUP(ListExtras[[#This Row],[List Name]],ResourceList[[ListDisplayName]:[No]],2,0)</f>
        <v>2123147</v>
      </c>
      <c r="O88" s="62" t="s">
        <v>1834</v>
      </c>
      <c r="P88" s="62" t="s">
        <v>1475</v>
      </c>
      <c r="Q88" s="62"/>
      <c r="R88" s="62"/>
      <c r="S88" s="62"/>
      <c r="T88" s="63" t="str">
        <f>'Table Seed Map'!$A$25&amp;"-"&amp;COUNT($W$1:ListExtras[[#This Row],[Scope ID]])</f>
        <v>List Scopes-36</v>
      </c>
      <c r="U8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2124136</v>
      </c>
      <c r="V88" s="69">
        <f>IF(ListExtras[[#This Row],[LID]]=0,"resource_list",ListExtras[[#This Row],[LID]])</f>
        <v>2123147</v>
      </c>
      <c r="W88" s="69">
        <f>IFERROR(VLOOKUP(ListExtras[[#This Row],[Scope Name]],ResourceScopes[[ScopesDisplayNames]:[No]],2,0),IF(ListExtras[[#This Row],[LID]]=0,"scope",""))</f>
        <v>2108112</v>
      </c>
      <c r="X88" s="63" t="str">
        <f>'Table Seed Map'!$A$26&amp;"-"&amp;COUNT($AA$1:ListExtras[[#This Row],[Relation]])</f>
        <v>List Relation-74</v>
      </c>
      <c r="Y8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2125174</v>
      </c>
      <c r="Z88" s="69">
        <f>IF(ListExtras[[#This Row],[LID]]=0,"resource_list",ListExtras[[#This Row],[LID]])</f>
        <v>2123147</v>
      </c>
      <c r="AA88" s="69">
        <f>IFERROR(VLOOKUP(ListExtras[[#This Row],[Relation Name]],RelationTable[[Display]:[RELID]],2,0),IF(ListExtras[[#This Row],[LID]]=0,"relation",""))</f>
        <v>2109161</v>
      </c>
      <c r="AB88" s="69" t="str">
        <f>IFERROR(VLOOKUP(ListExtras[[#This Row],[R1 Name]],RelationTable[[Display]:[RELID]],2,0),IF(ListExtras[[#This Row],[LID]]=0,"nest_relation1",""))</f>
        <v/>
      </c>
      <c r="AC88" s="69" t="str">
        <f>IFERROR(VLOOKUP(ListExtras[[#This Row],[R2 Name]],RelationTable[[Display]:[RELID]],2,0),IF(ListExtras[[#This Row],[LID]]=0,"nest_relation2",""))</f>
        <v/>
      </c>
      <c r="AD88" s="69" t="str">
        <f>IFERROR(VLOOKUP(ListExtras[[#This Row],[R3 Name]],RelationTable[[Display]:[RELID]],2,0),IF(ListExtras[[#This Row],[LID]]=0,"nest_relation3",""))</f>
        <v/>
      </c>
      <c r="AT88" s="69" t="str">
        <f>'Table Seed Map'!$A$27&amp;"-"&amp;COUNTA($AV$1:ListLayout[[#This Row],[No]])-2</f>
        <v>List Layout-86</v>
      </c>
      <c r="AU88" s="62" t="s">
        <v>1641</v>
      </c>
      <c r="AV88" s="69">
        <f>IF(ListLayout[[#This Row],[List Name for Layout]]="","id",COUNTA($AU$2:ListLayout[[#This Row],[List Name for Layout]])+IF(ISNUMBER(VLOOKUP('Table Seed Map'!$A$27,SeedMap[],9,0)),VLOOKUP('Table Seed Map'!$A$27,SeedMap[],9,0),0))</f>
        <v>2126186</v>
      </c>
      <c r="AW88" s="69">
        <f>IFERROR(VLOOKUP(ListLayout[[#This Row],[List Name for Layout]],ResourceList[[ListDisplayName]:[No]],2,0),"resource_list")</f>
        <v>2123122</v>
      </c>
      <c r="AX88" s="69" t="s">
        <v>1471</v>
      </c>
      <c r="AY88" s="107" t="s">
        <v>882</v>
      </c>
      <c r="AZ88" s="69" t="str">
        <f>IF(ListLayout[[#This Row],[List Name for Layout]]="","relation",IFERROR(VLOOKUP(ListLayout[[#This Row],[Relation]],RelationTable[[Display]:[RELID]],2,0),""))</f>
        <v/>
      </c>
      <c r="BA88" s="69" t="str">
        <f>IF(ListLayout[[#This Row],[List Name for Layout]]="","nest_relation1",IFERROR(VLOOKUP(ListLayout[[#This Row],[Relation 1]],RelationTable[[Display]:[RELID]],2,0),""))</f>
        <v/>
      </c>
      <c r="BB88" s="69" t="str">
        <f>IF(ListLayout[[#This Row],[List Name for Layout]]="","nest_relation2",IFERROR(VLOOKUP(ListLayout[[#This Row],[Relation 2]],RelationTable[[Display]:[RELID]],2,0),""))</f>
        <v/>
      </c>
      <c r="BC88" s="107"/>
      <c r="BD88" s="107"/>
      <c r="BE88" s="107"/>
    </row>
    <row r="89" spans="13:57">
      <c r="M89" s="2" t="s">
        <v>2057</v>
      </c>
      <c r="N89" s="63">
        <f>VLOOKUP(ListExtras[[#This Row],[List Name]],ResourceList[[ListDisplayName]:[No]],2,0)</f>
        <v>2123148</v>
      </c>
      <c r="O89" s="62" t="s">
        <v>2057</v>
      </c>
      <c r="P89" s="62" t="s">
        <v>1477</v>
      </c>
      <c r="Q89" s="62" t="s">
        <v>1474</v>
      </c>
      <c r="R89" s="62"/>
      <c r="S89" s="62"/>
      <c r="T89" s="63" t="str">
        <f>'Table Seed Map'!$A$25&amp;"-"&amp;COUNT($W$1:ListExtras[[#This Row],[Scope ID]])</f>
        <v>List Scopes-37</v>
      </c>
      <c r="U89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2124137</v>
      </c>
      <c r="V89" s="69">
        <f>IF(ListExtras[[#This Row],[LID]]=0,"resource_list",ListExtras[[#This Row],[LID]])</f>
        <v>2123148</v>
      </c>
      <c r="W89" s="69">
        <f>IFERROR(VLOOKUP(ListExtras[[#This Row],[Scope Name]],ResourceScopes[[ScopesDisplayNames]:[No]],2,0),IF(ListExtras[[#This Row],[LID]]=0,"scope",""))</f>
        <v>2108126</v>
      </c>
      <c r="X89" s="63" t="str">
        <f>'Table Seed Map'!$A$26&amp;"-"&amp;COUNT($AA$1:ListExtras[[#This Row],[Relation]])</f>
        <v>List Relation-75</v>
      </c>
      <c r="Y8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2125175</v>
      </c>
      <c r="Z89" s="69">
        <f>IF(ListExtras[[#This Row],[LID]]=0,"resource_list",ListExtras[[#This Row],[LID]])</f>
        <v>2123148</v>
      </c>
      <c r="AA89" s="69">
        <f>IFERROR(VLOOKUP(ListExtras[[#This Row],[Relation Name]],RelationTable[[Display]:[RELID]],2,0),IF(ListExtras[[#This Row],[LID]]=0,"relation",""))</f>
        <v>2109170</v>
      </c>
      <c r="AB89" s="69">
        <f>IFERROR(VLOOKUP(ListExtras[[#This Row],[R1 Name]],RelationTable[[Display]:[RELID]],2,0),IF(ListExtras[[#This Row],[LID]]=0,"nest_relation1",""))</f>
        <v>2109162</v>
      </c>
      <c r="AC89" s="69" t="str">
        <f>IFERROR(VLOOKUP(ListExtras[[#This Row],[R2 Name]],RelationTable[[Display]:[RELID]],2,0),IF(ListExtras[[#This Row],[LID]]=0,"nest_relation2",""))</f>
        <v/>
      </c>
      <c r="AD89" s="69" t="str">
        <f>IFERROR(VLOOKUP(ListExtras[[#This Row],[R3 Name]],RelationTable[[Display]:[RELID]],2,0),IF(ListExtras[[#This Row],[LID]]=0,"nest_relation3",""))</f>
        <v/>
      </c>
      <c r="AT89" s="69" t="str">
        <f>'Table Seed Map'!$A$27&amp;"-"&amp;COUNTA($AV$1:ListLayout[[#This Row],[No]])-2</f>
        <v>List Layout-87</v>
      </c>
      <c r="AU89" s="62" t="s">
        <v>1655</v>
      </c>
      <c r="AV89" s="69">
        <f>IF(ListLayout[[#This Row],[List Name for Layout]]="","id",COUNTA($AU$2:ListLayout[[#This Row],[List Name for Layout]])+IF(ISNUMBER(VLOOKUP('Table Seed Map'!$A$27,SeedMap[],9,0)),VLOOKUP('Table Seed Map'!$A$27,SeedMap[],9,0),0))</f>
        <v>2126187</v>
      </c>
      <c r="AW89" s="69">
        <f>IFERROR(VLOOKUP(ListLayout[[#This Row],[List Name for Layout]],ResourceList[[ListDisplayName]:[No]],2,0),"resource_list")</f>
        <v>2123123</v>
      </c>
      <c r="AX89" s="69" t="s">
        <v>1658</v>
      </c>
      <c r="AY89" s="107" t="s">
        <v>23</v>
      </c>
      <c r="AZ89" s="69">
        <f>IF(ListLayout[[#This Row],[List Name for Layout]]="","relation",IFERROR(VLOOKUP(ListLayout[[#This Row],[Relation]],RelationTable[[Display]:[RELID]],2,0),""))</f>
        <v>2109168</v>
      </c>
      <c r="BA89" s="69" t="str">
        <f>IF(ListLayout[[#This Row],[List Name for Layout]]="","nest_relation1",IFERROR(VLOOKUP(ListLayout[[#This Row],[Relation 1]],RelationTable[[Display]:[RELID]],2,0),""))</f>
        <v/>
      </c>
      <c r="BB89" s="69" t="str">
        <f>IF(ListLayout[[#This Row],[List Name for Layout]]="","nest_relation2",IFERROR(VLOOKUP(ListLayout[[#This Row],[Relation 2]],RelationTable[[Display]:[RELID]],2,0),""))</f>
        <v/>
      </c>
      <c r="BC89" s="107" t="s">
        <v>1656</v>
      </c>
      <c r="BD89" s="107"/>
      <c r="BE89" s="107"/>
    </row>
    <row r="90" spans="13:57">
      <c r="M90" s="2" t="s">
        <v>2063</v>
      </c>
      <c r="N90" s="63">
        <f>VLOOKUP(ListExtras[[#This Row],[List Name]],ResourceList[[ListDisplayName]:[No]],2,0)</f>
        <v>2123149</v>
      </c>
      <c r="O90" s="62" t="s">
        <v>2063</v>
      </c>
      <c r="P90" s="62" t="s">
        <v>1486</v>
      </c>
      <c r="Q90" s="62"/>
      <c r="R90" s="62"/>
      <c r="S90" s="62"/>
      <c r="T90" s="63" t="str">
        <f>'Table Seed Map'!$A$25&amp;"-"&amp;COUNT($W$1:ListExtras[[#This Row],[Scope ID]])</f>
        <v>List Scopes-38</v>
      </c>
      <c r="U90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2124138</v>
      </c>
      <c r="V90" s="69">
        <f>IF(ListExtras[[#This Row],[LID]]=0,"resource_list",ListExtras[[#This Row],[LID]])</f>
        <v>2123149</v>
      </c>
      <c r="W90" s="69">
        <f>IFERROR(VLOOKUP(ListExtras[[#This Row],[Scope Name]],ResourceScopes[[ScopesDisplayNames]:[No]],2,0),IF(ListExtras[[#This Row],[LID]]=0,"scope",""))</f>
        <v>2108127</v>
      </c>
      <c r="X90" s="63" t="str">
        <f>'Table Seed Map'!$A$26&amp;"-"&amp;COUNT($AA$1:ListExtras[[#This Row],[Relation]])</f>
        <v>List Relation-76</v>
      </c>
      <c r="Y9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2125176</v>
      </c>
      <c r="Z90" s="69">
        <f>IF(ListExtras[[#This Row],[LID]]=0,"resource_list",ListExtras[[#This Row],[LID]])</f>
        <v>2123149</v>
      </c>
      <c r="AA90" s="69">
        <f>IFERROR(VLOOKUP(ListExtras[[#This Row],[Relation Name]],RelationTable[[Display]:[RELID]],2,0),IF(ListExtras[[#This Row],[LID]]=0,"relation",""))</f>
        <v>2109171</v>
      </c>
      <c r="AB90" s="69" t="str">
        <f>IFERROR(VLOOKUP(ListExtras[[#This Row],[R1 Name]],RelationTable[[Display]:[RELID]],2,0),IF(ListExtras[[#This Row],[LID]]=0,"nest_relation1",""))</f>
        <v/>
      </c>
      <c r="AC90" s="69" t="str">
        <f>IFERROR(VLOOKUP(ListExtras[[#This Row],[R2 Name]],RelationTable[[Display]:[RELID]],2,0),IF(ListExtras[[#This Row],[LID]]=0,"nest_relation2",""))</f>
        <v/>
      </c>
      <c r="AD90" s="69" t="str">
        <f>IFERROR(VLOOKUP(ListExtras[[#This Row],[R3 Name]],RelationTable[[Display]:[RELID]],2,0),IF(ListExtras[[#This Row],[LID]]=0,"nest_relation3",""))</f>
        <v/>
      </c>
      <c r="AT90" s="69" t="str">
        <f>'Table Seed Map'!$A$27&amp;"-"&amp;COUNTA($AV$1:ListLayout[[#This Row],[No]])-2</f>
        <v>List Layout-88</v>
      </c>
      <c r="AU90" s="62" t="s">
        <v>1655</v>
      </c>
      <c r="AV90" s="69">
        <f>IF(ListLayout[[#This Row],[List Name for Layout]]="","id",COUNTA($AU$2:ListLayout[[#This Row],[List Name for Layout]])+IF(ISNUMBER(VLOOKUP('Table Seed Map'!$A$27,SeedMap[],9,0)),VLOOKUP('Table Seed Map'!$A$27,SeedMap[],9,0),0))</f>
        <v>2126188</v>
      </c>
      <c r="AW90" s="69">
        <f>IFERROR(VLOOKUP(ListLayout[[#This Row],[List Name for Layout]],ResourceList[[ListDisplayName]:[No]],2,0),"resource_list")</f>
        <v>2123123</v>
      </c>
      <c r="AX90" s="69" t="s">
        <v>1666</v>
      </c>
      <c r="AY90" s="107" t="s">
        <v>23</v>
      </c>
      <c r="AZ90" s="69">
        <f>IF(ListLayout[[#This Row],[List Name for Layout]]="","relation",IFERROR(VLOOKUP(ListLayout[[#This Row],[Relation]],RelationTable[[Display]:[RELID]],2,0),""))</f>
        <v>2109169</v>
      </c>
      <c r="BA90" s="69" t="str">
        <f>IF(ListLayout[[#This Row],[List Name for Layout]]="","nest_relation1",IFERROR(VLOOKUP(ListLayout[[#This Row],[Relation 1]],RelationTable[[Display]:[RELID]],2,0),""))</f>
        <v/>
      </c>
      <c r="BB90" s="69" t="str">
        <f>IF(ListLayout[[#This Row],[List Name for Layout]]="","nest_relation2",IFERROR(VLOOKUP(ListLayout[[#This Row],[Relation 2]],RelationTable[[Display]:[RELID]],2,0),""))</f>
        <v/>
      </c>
      <c r="BC90" s="107" t="s">
        <v>1657</v>
      </c>
      <c r="BD90" s="107"/>
      <c r="BE90" s="107"/>
    </row>
    <row r="91" spans="13:57">
      <c r="M91" s="2" t="s">
        <v>2063</v>
      </c>
      <c r="N91" s="61">
        <f>VLOOKUP(ListExtras[[#This Row],[List Name]],ResourceList[[ListDisplayName]:[No]],2,0)</f>
        <v>2123149</v>
      </c>
      <c r="O91" s="60"/>
      <c r="P91" s="62" t="s">
        <v>1480</v>
      </c>
      <c r="Q91" s="60"/>
      <c r="R91" s="60"/>
      <c r="S91" s="60"/>
      <c r="T91" s="61" t="str">
        <f>'Table Seed Map'!$A$25&amp;"-"&amp;COUNT($W$1:ListExtras[[#This Row],[Scope ID]])</f>
        <v>List Scopes-38</v>
      </c>
      <c r="U91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1" s="68">
        <f>IF(ListExtras[[#This Row],[LID]]=0,"resource_list",ListExtras[[#This Row],[LID]])</f>
        <v>2123149</v>
      </c>
      <c r="W91" s="68" t="str">
        <f>IFERROR(VLOOKUP(ListExtras[[#This Row],[Scope Name]],ResourceScopes[[ScopesDisplayNames]:[No]],2,0),IF(ListExtras[[#This Row],[LID]]=0,"scope",""))</f>
        <v/>
      </c>
      <c r="X91" s="61" t="str">
        <f>'Table Seed Map'!$A$26&amp;"-"&amp;COUNT($AA$1:ListExtras[[#This Row],[Relation]])</f>
        <v>List Relation-77</v>
      </c>
      <c r="Y91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2125177</v>
      </c>
      <c r="Z91" s="68">
        <f>IF(ListExtras[[#This Row],[LID]]=0,"resource_list",ListExtras[[#This Row],[LID]])</f>
        <v>2123149</v>
      </c>
      <c r="AA91" s="68">
        <f>IFERROR(VLOOKUP(ListExtras[[#This Row],[Relation Name]],RelationTable[[Display]:[RELID]],2,0),IF(ListExtras[[#This Row],[LID]]=0,"relation",""))</f>
        <v>2109172</v>
      </c>
      <c r="AB91" s="68" t="str">
        <f>IFERROR(VLOOKUP(ListExtras[[#This Row],[R1 Name]],RelationTable[[Display]:[RELID]],2,0),IF(ListExtras[[#This Row],[LID]]=0,"nest_relation1",""))</f>
        <v/>
      </c>
      <c r="AC91" s="68" t="str">
        <f>IFERROR(VLOOKUP(ListExtras[[#This Row],[R2 Name]],RelationTable[[Display]:[RELID]],2,0),IF(ListExtras[[#This Row],[LID]]=0,"nest_relation2",""))</f>
        <v/>
      </c>
      <c r="AD91" s="68" t="str">
        <f>IFERROR(VLOOKUP(ListExtras[[#This Row],[R3 Name]],RelationTable[[Display]:[RELID]],2,0),IF(ListExtras[[#This Row],[LID]]=0,"nest_relation3",""))</f>
        <v/>
      </c>
      <c r="AT91" s="69" t="str">
        <f>'Table Seed Map'!$A$27&amp;"-"&amp;COUNTA($AV$1:ListLayout[[#This Row],[No]])-2</f>
        <v>List Layout-89</v>
      </c>
      <c r="AU91" s="62" t="s">
        <v>1655</v>
      </c>
      <c r="AV91" s="69">
        <f>IF(ListLayout[[#This Row],[List Name for Layout]]="","id",COUNTA($AU$2:ListLayout[[#This Row],[List Name for Layout]])+IF(ISNUMBER(VLOOKUP('Table Seed Map'!$A$27,SeedMap[],9,0)),VLOOKUP('Table Seed Map'!$A$27,SeedMap[],9,0),0))</f>
        <v>2126189</v>
      </c>
      <c r="AW91" s="69">
        <f>IFERROR(VLOOKUP(ListLayout[[#This Row],[List Name for Layout]],ResourceList[[ListDisplayName]:[No]],2,0),"resource_list")</f>
        <v>2123123</v>
      </c>
      <c r="AX91" s="69" t="s">
        <v>974</v>
      </c>
      <c r="AY91" s="107" t="s">
        <v>1665</v>
      </c>
      <c r="AZ91" s="69" t="str">
        <f>IF(ListLayout[[#This Row],[List Name for Layout]]="","relation",IFERROR(VLOOKUP(ListLayout[[#This Row],[Relation]],RelationTable[[Display]:[RELID]],2,0),""))</f>
        <v/>
      </c>
      <c r="BA91" s="69" t="str">
        <f>IF(ListLayout[[#This Row],[List Name for Layout]]="","nest_relation1",IFERROR(VLOOKUP(ListLayout[[#This Row],[Relation 1]],RelationTable[[Display]:[RELID]],2,0),""))</f>
        <v/>
      </c>
      <c r="BB91" s="69" t="str">
        <f>IF(ListLayout[[#This Row],[List Name for Layout]]="","nest_relation2",IFERROR(VLOOKUP(ListLayout[[#This Row],[Relation 2]],RelationTable[[Display]:[RELID]],2,0),""))</f>
        <v/>
      </c>
      <c r="BC91" s="107"/>
      <c r="BD91" s="107"/>
      <c r="BE91" s="107"/>
    </row>
    <row r="92" spans="13:57">
      <c r="M92" s="2" t="s">
        <v>2069</v>
      </c>
      <c r="N92" s="63">
        <f>VLOOKUP(ListExtras[[#This Row],[List Name]],ResourceList[[ListDisplayName]:[No]],2,0)</f>
        <v>2123150</v>
      </c>
      <c r="O92" s="62" t="s">
        <v>2070</v>
      </c>
      <c r="P92" s="62" t="s">
        <v>1484</v>
      </c>
      <c r="Q92" s="62"/>
      <c r="R92" s="62"/>
      <c r="S92" s="62"/>
      <c r="T92" s="63" t="str">
        <f>'Table Seed Map'!$A$25&amp;"-"&amp;COUNT($W$1:ListExtras[[#This Row],[Scope ID]])</f>
        <v>List Scopes-39</v>
      </c>
      <c r="U92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2124139</v>
      </c>
      <c r="V92" s="69">
        <f>IF(ListExtras[[#This Row],[LID]]=0,"resource_list",ListExtras[[#This Row],[LID]])</f>
        <v>2123150</v>
      </c>
      <c r="W92" s="69">
        <f>IFERROR(VLOOKUP(ListExtras[[#This Row],[Scope Name]],ResourceScopes[[ScopesDisplayNames]:[No]],2,0),IF(ListExtras[[#This Row],[LID]]=0,"scope",""))</f>
        <v>2108128</v>
      </c>
      <c r="X92" s="63" t="str">
        <f>'Table Seed Map'!$A$26&amp;"-"&amp;COUNT($AA$1:ListExtras[[#This Row],[Relation]])</f>
        <v>List Relation-78</v>
      </c>
      <c r="Y9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2125178</v>
      </c>
      <c r="Z92" s="69">
        <f>IF(ListExtras[[#This Row],[LID]]=0,"resource_list",ListExtras[[#This Row],[LID]])</f>
        <v>2123150</v>
      </c>
      <c r="AA92" s="69">
        <f>IFERROR(VLOOKUP(ListExtras[[#This Row],[Relation Name]],RelationTable[[Display]:[RELID]],2,0),IF(ListExtras[[#This Row],[LID]]=0,"relation",""))</f>
        <v>2109177</v>
      </c>
      <c r="AB92" s="69" t="str">
        <f>IFERROR(VLOOKUP(ListExtras[[#This Row],[R1 Name]],RelationTable[[Display]:[RELID]],2,0),IF(ListExtras[[#This Row],[LID]]=0,"nest_relation1",""))</f>
        <v/>
      </c>
      <c r="AC92" s="69" t="str">
        <f>IFERROR(VLOOKUP(ListExtras[[#This Row],[R2 Name]],RelationTable[[Display]:[RELID]],2,0),IF(ListExtras[[#This Row],[LID]]=0,"nest_relation2",""))</f>
        <v/>
      </c>
      <c r="AD92" s="69" t="str">
        <f>IFERROR(VLOOKUP(ListExtras[[#This Row],[R3 Name]],RelationTable[[Display]:[RELID]],2,0),IF(ListExtras[[#This Row],[LID]]=0,"nest_relation3",""))</f>
        <v/>
      </c>
      <c r="AT92" s="69" t="str">
        <f>'Table Seed Map'!$A$27&amp;"-"&amp;COUNTA($AV$1:ListLayout[[#This Row],[No]])-2</f>
        <v>List Layout-90</v>
      </c>
      <c r="AU92" s="62" t="s">
        <v>1655</v>
      </c>
      <c r="AV92" s="69">
        <f>IF(ListLayout[[#This Row],[List Name for Layout]]="","id",COUNTA($AU$2:ListLayout[[#This Row],[List Name for Layout]])+IF(ISNUMBER(VLOOKUP('Table Seed Map'!$A$27,SeedMap[],9,0)),VLOOKUP('Table Seed Map'!$A$27,SeedMap[],9,0),0))</f>
        <v>2126190</v>
      </c>
      <c r="AW92" s="69">
        <f>IFERROR(VLOOKUP(ListLayout[[#This Row],[List Name for Layout]],ResourceList[[ListDisplayName]:[No]],2,0),"resource_list")</f>
        <v>2123123</v>
      </c>
      <c r="AX92" s="69" t="s">
        <v>1659</v>
      </c>
      <c r="AY92" s="107" t="s">
        <v>863</v>
      </c>
      <c r="AZ92" s="69" t="str">
        <f>IF(ListLayout[[#This Row],[List Name for Layout]]="","relation",IFERROR(VLOOKUP(ListLayout[[#This Row],[Relation]],RelationTable[[Display]:[RELID]],2,0),""))</f>
        <v/>
      </c>
      <c r="BA92" s="69" t="str">
        <f>IF(ListLayout[[#This Row],[List Name for Layout]]="","nest_relation1",IFERROR(VLOOKUP(ListLayout[[#This Row],[Relation 1]],RelationTable[[Display]:[RELID]],2,0),""))</f>
        <v/>
      </c>
      <c r="BB92" s="69" t="str">
        <f>IF(ListLayout[[#This Row],[List Name for Layout]]="","nest_relation2",IFERROR(VLOOKUP(ListLayout[[#This Row],[Relation 2]],RelationTable[[Display]:[RELID]],2,0),""))</f>
        <v/>
      </c>
      <c r="BC92" s="107"/>
      <c r="BD92" s="107"/>
      <c r="BE92" s="107"/>
    </row>
    <row r="93" spans="13:57">
      <c r="M93" s="2" t="s">
        <v>2069</v>
      </c>
      <c r="N93" s="61">
        <f>VLOOKUP(ListExtras[[#This Row],[List Name]],ResourceList[[ListDisplayName]:[No]],2,0)</f>
        <v>2123150</v>
      </c>
      <c r="O93" s="60"/>
      <c r="P93" s="62" t="s">
        <v>1485</v>
      </c>
      <c r="Q93" s="60"/>
      <c r="R93" s="60"/>
      <c r="S93" s="60"/>
      <c r="T93" s="61" t="str">
        <f>'Table Seed Map'!$A$25&amp;"-"&amp;COUNT($W$1:ListExtras[[#This Row],[Scope ID]])</f>
        <v>List Scopes-39</v>
      </c>
      <c r="U93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3" s="68">
        <f>IF(ListExtras[[#This Row],[LID]]=0,"resource_list",ListExtras[[#This Row],[LID]])</f>
        <v>2123150</v>
      </c>
      <c r="W93" s="68" t="str">
        <f>IFERROR(VLOOKUP(ListExtras[[#This Row],[Scope Name]],ResourceScopes[[ScopesDisplayNames]:[No]],2,0),IF(ListExtras[[#This Row],[LID]]=0,"scope",""))</f>
        <v/>
      </c>
      <c r="X93" s="61" t="str">
        <f>'Table Seed Map'!$A$26&amp;"-"&amp;COUNT($AA$1:ListExtras[[#This Row],[Relation]])</f>
        <v>List Relation-79</v>
      </c>
      <c r="Y93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2125179</v>
      </c>
      <c r="Z93" s="68">
        <f>IF(ListExtras[[#This Row],[LID]]=0,"resource_list",ListExtras[[#This Row],[LID]])</f>
        <v>2123150</v>
      </c>
      <c r="AA93" s="68">
        <f>IFERROR(VLOOKUP(ListExtras[[#This Row],[Relation Name]],RelationTable[[Display]:[RELID]],2,0),IF(ListExtras[[#This Row],[LID]]=0,"relation",""))</f>
        <v>2109178</v>
      </c>
      <c r="AB93" s="68" t="str">
        <f>IFERROR(VLOOKUP(ListExtras[[#This Row],[R1 Name]],RelationTable[[Display]:[RELID]],2,0),IF(ListExtras[[#This Row],[LID]]=0,"nest_relation1",""))</f>
        <v/>
      </c>
      <c r="AC93" s="68" t="str">
        <f>IFERROR(VLOOKUP(ListExtras[[#This Row],[R2 Name]],RelationTable[[Display]:[RELID]],2,0),IF(ListExtras[[#This Row],[LID]]=0,"nest_relation2",""))</f>
        <v/>
      </c>
      <c r="AD93" s="68" t="str">
        <f>IFERROR(VLOOKUP(ListExtras[[#This Row],[R3 Name]],RelationTable[[Display]:[RELID]],2,0),IF(ListExtras[[#This Row],[LID]]=0,"nest_relation3",""))</f>
        <v/>
      </c>
      <c r="AT93" s="69" t="str">
        <f>'Table Seed Map'!$A$27&amp;"-"&amp;COUNTA($AV$1:ListLayout[[#This Row],[No]])-2</f>
        <v>List Layout-91</v>
      </c>
      <c r="AU93" s="62" t="s">
        <v>1655</v>
      </c>
      <c r="AV93" s="69">
        <f>IF(ListLayout[[#This Row],[List Name for Layout]]="","id",COUNTA($AU$2:ListLayout[[#This Row],[List Name for Layout]])+IF(ISNUMBER(VLOOKUP('Table Seed Map'!$A$27,SeedMap[],9,0)),VLOOKUP('Table Seed Map'!$A$27,SeedMap[],9,0),0))</f>
        <v>2126191</v>
      </c>
      <c r="AW93" s="69">
        <f>IFERROR(VLOOKUP(ListLayout[[#This Row],[List Name for Layout]],ResourceList[[ListDisplayName]:[No]],2,0),"resource_list")</f>
        <v>2123123</v>
      </c>
      <c r="AX93" s="69" t="s">
        <v>1660</v>
      </c>
      <c r="AY93" s="107" t="s">
        <v>865</v>
      </c>
      <c r="AZ93" s="69" t="str">
        <f>IF(ListLayout[[#This Row],[List Name for Layout]]="","relation",IFERROR(VLOOKUP(ListLayout[[#This Row],[Relation]],RelationTable[[Display]:[RELID]],2,0),""))</f>
        <v/>
      </c>
      <c r="BA93" s="69" t="str">
        <f>IF(ListLayout[[#This Row],[List Name for Layout]]="","nest_relation1",IFERROR(VLOOKUP(ListLayout[[#This Row],[Relation 1]],RelationTable[[Display]:[RELID]],2,0),""))</f>
        <v/>
      </c>
      <c r="BB93" s="69" t="str">
        <f>IF(ListLayout[[#This Row],[List Name for Layout]]="","nest_relation2",IFERROR(VLOOKUP(ListLayout[[#This Row],[Relation 2]],RelationTable[[Display]:[RELID]],2,0),""))</f>
        <v/>
      </c>
      <c r="BC93" s="107"/>
      <c r="BD93" s="107"/>
      <c r="BE93" s="107"/>
    </row>
    <row r="94" spans="13:57">
      <c r="AT94" s="69" t="str">
        <f>'Table Seed Map'!$A$27&amp;"-"&amp;COUNTA($AV$1:ListLayout[[#This Row],[No]])-2</f>
        <v>List Layout-92</v>
      </c>
      <c r="AU94" s="62" t="s">
        <v>1655</v>
      </c>
      <c r="AV94" s="69">
        <f>IF(ListLayout[[#This Row],[List Name for Layout]]="","id",COUNTA($AU$2:ListLayout[[#This Row],[List Name for Layout]])+IF(ISNUMBER(VLOOKUP('Table Seed Map'!$A$27,SeedMap[],9,0)),VLOOKUP('Table Seed Map'!$A$27,SeedMap[],9,0),0))</f>
        <v>2126192</v>
      </c>
      <c r="AW94" s="69">
        <f>IFERROR(VLOOKUP(ListLayout[[#This Row],[List Name for Layout]],ResourceList[[ListDisplayName]:[No]],2,0),"resource_list")</f>
        <v>2123123</v>
      </c>
      <c r="AX94" s="69" t="s">
        <v>1661</v>
      </c>
      <c r="AY94" s="107" t="s">
        <v>868</v>
      </c>
      <c r="AZ94" s="69" t="str">
        <f>IF(ListLayout[[#This Row],[List Name for Layout]]="","relation",IFERROR(VLOOKUP(ListLayout[[#This Row],[Relation]],RelationTable[[Display]:[RELID]],2,0),""))</f>
        <v/>
      </c>
      <c r="BA94" s="69" t="str">
        <f>IF(ListLayout[[#This Row],[List Name for Layout]]="","nest_relation1",IFERROR(VLOOKUP(ListLayout[[#This Row],[Relation 1]],RelationTable[[Display]:[RELID]],2,0),""))</f>
        <v/>
      </c>
      <c r="BB94" s="69" t="str">
        <f>IF(ListLayout[[#This Row],[List Name for Layout]]="","nest_relation2",IFERROR(VLOOKUP(ListLayout[[#This Row],[Relation 2]],RelationTable[[Display]:[RELID]],2,0),""))</f>
        <v/>
      </c>
      <c r="BC94" s="107"/>
      <c r="BD94" s="107"/>
      <c r="BE94" s="107"/>
    </row>
    <row r="95" spans="13:57">
      <c r="AT95" s="69" t="str">
        <f>'Table Seed Map'!$A$27&amp;"-"&amp;COUNTA($AV$1:ListLayout[[#This Row],[No]])-2</f>
        <v>List Layout-93</v>
      </c>
      <c r="AU95" s="62" t="s">
        <v>1655</v>
      </c>
      <c r="AV95" s="69">
        <f>IF(ListLayout[[#This Row],[List Name for Layout]]="","id",COUNTA($AU$2:ListLayout[[#This Row],[List Name for Layout]])+IF(ISNUMBER(VLOOKUP('Table Seed Map'!$A$27,SeedMap[],9,0)),VLOOKUP('Table Seed Map'!$A$27,SeedMap[],9,0),0))</f>
        <v>2126193</v>
      </c>
      <c r="AW95" s="69">
        <f>IFERROR(VLOOKUP(ListLayout[[#This Row],[List Name for Layout]],ResourceList[[ListDisplayName]:[No]],2,0),"resource_list")</f>
        <v>2123123</v>
      </c>
      <c r="AX95" s="69" t="s">
        <v>1662</v>
      </c>
      <c r="AY95" s="107" t="s">
        <v>869</v>
      </c>
      <c r="AZ95" s="69" t="str">
        <f>IF(ListLayout[[#This Row],[List Name for Layout]]="","relation",IFERROR(VLOOKUP(ListLayout[[#This Row],[Relation]],RelationTable[[Display]:[RELID]],2,0),""))</f>
        <v/>
      </c>
      <c r="BA95" s="69" t="str">
        <f>IF(ListLayout[[#This Row],[List Name for Layout]]="","nest_relation1",IFERROR(VLOOKUP(ListLayout[[#This Row],[Relation 1]],RelationTable[[Display]:[RELID]],2,0),""))</f>
        <v/>
      </c>
      <c r="BB95" s="69" t="str">
        <f>IF(ListLayout[[#This Row],[List Name for Layout]]="","nest_relation2",IFERROR(VLOOKUP(ListLayout[[#This Row],[Relation 2]],RelationTable[[Display]:[RELID]],2,0),""))</f>
        <v/>
      </c>
      <c r="BC95" s="107"/>
      <c r="BD95" s="107"/>
      <c r="BE95" s="107"/>
    </row>
    <row r="96" spans="13:57">
      <c r="AT96" s="68" t="str">
        <f>'Table Seed Map'!$A$27&amp;"-"&amp;COUNTA($AV$1:ListLayout[[#This Row],[No]])-2</f>
        <v>List Layout-94</v>
      </c>
      <c r="AU96" s="62" t="s">
        <v>1700</v>
      </c>
      <c r="AV96" s="68">
        <f>IF(ListLayout[[#This Row],[List Name for Layout]]="","id",COUNTA($AU$2:ListLayout[[#This Row],[List Name for Layout]])+IF(ISNUMBER(VLOOKUP('Table Seed Map'!$A$27,SeedMap[],9,0)),VLOOKUP('Table Seed Map'!$A$27,SeedMap[],9,0),0))</f>
        <v>2126194</v>
      </c>
      <c r="AW96" s="68">
        <f>IFERROR(VLOOKUP(ListLayout[[#This Row],[List Name for Layout]],ResourceList[[ListDisplayName]:[No]],2,0),"resource_list")</f>
        <v>2123125</v>
      </c>
      <c r="AX96" s="69" t="s">
        <v>307</v>
      </c>
      <c r="AY96" s="107" t="s">
        <v>21</v>
      </c>
      <c r="AZ96" s="69" t="str">
        <f>IF(ListLayout[[#This Row],[List Name for Layout]]="","relation",IFERROR(VLOOKUP(ListLayout[[#This Row],[Relation]],RelationTable[[Display]:[RELID]],2,0),""))</f>
        <v/>
      </c>
      <c r="BA96" s="69" t="str">
        <f>IF(ListLayout[[#This Row],[List Name for Layout]]="","nest_relation1",IFERROR(VLOOKUP(ListLayout[[#This Row],[Relation 1]],RelationTable[[Display]:[RELID]],2,0),""))</f>
        <v/>
      </c>
      <c r="BB96" s="69" t="str">
        <f>IF(ListLayout[[#This Row],[List Name for Layout]]="","nest_relation2",IFERROR(VLOOKUP(ListLayout[[#This Row],[Relation 2]],RelationTable[[Display]:[RELID]],2,0),""))</f>
        <v/>
      </c>
      <c r="BC96" s="107"/>
      <c r="BD96" s="108"/>
      <c r="BE96" s="108"/>
    </row>
    <row r="97" spans="46:57">
      <c r="AT97" s="68" t="str">
        <f>'Table Seed Map'!$A$27&amp;"-"&amp;COUNTA($AV$1:ListLayout[[#This Row],[No]])-2</f>
        <v>List Layout-95</v>
      </c>
      <c r="AU97" s="62" t="s">
        <v>1700</v>
      </c>
      <c r="AV97" s="68">
        <f>IF(ListLayout[[#This Row],[List Name for Layout]]="","id",COUNTA($AU$2:ListLayout[[#This Row],[List Name for Layout]])+IF(ISNUMBER(VLOOKUP('Table Seed Map'!$A$27,SeedMap[],9,0)),VLOOKUP('Table Seed Map'!$A$27,SeedMap[],9,0),0))</f>
        <v>2126195</v>
      </c>
      <c r="AW97" s="68">
        <f>IFERROR(VLOOKUP(ListLayout[[#This Row],[List Name for Layout]],ResourceList[[ListDisplayName]:[No]],2,0),"resource_list")</f>
        <v>2123125</v>
      </c>
      <c r="AX97" s="69" t="s">
        <v>785</v>
      </c>
      <c r="AY97" s="107" t="s">
        <v>23</v>
      </c>
      <c r="AZ97" s="69">
        <f>IF(ListLayout[[#This Row],[List Name for Layout]]="","relation",IFERROR(VLOOKUP(ListLayout[[#This Row],[Relation]],RelationTable[[Display]:[RELID]],2,0),""))</f>
        <v>2109147</v>
      </c>
      <c r="BA97" s="69" t="str">
        <f>IF(ListLayout[[#This Row],[List Name for Layout]]="","nest_relation1",IFERROR(VLOOKUP(ListLayout[[#This Row],[Relation 1]],RelationTable[[Display]:[RELID]],2,0),""))</f>
        <v/>
      </c>
      <c r="BB97" s="69" t="str">
        <f>IF(ListLayout[[#This Row],[List Name for Layout]]="","nest_relation2",IFERROR(VLOOKUP(ListLayout[[#This Row],[Relation 2]],RelationTable[[Display]:[RELID]],2,0),""))</f>
        <v/>
      </c>
      <c r="BC97" s="107" t="s">
        <v>1472</v>
      </c>
      <c r="BD97" s="108"/>
      <c r="BE97" s="108"/>
    </row>
    <row r="98" spans="46:57">
      <c r="AT98" s="68" t="str">
        <f>'Table Seed Map'!$A$27&amp;"-"&amp;COUNTA($AV$1:ListLayout[[#This Row],[No]])-2</f>
        <v>List Layout-96</v>
      </c>
      <c r="AU98" s="62" t="s">
        <v>1700</v>
      </c>
      <c r="AV98" s="68">
        <f>IF(ListLayout[[#This Row],[List Name for Layout]]="","id",COUNTA($AU$2:ListLayout[[#This Row],[List Name for Layout]])+IF(ISNUMBER(VLOOKUP('Table Seed Map'!$A$27,SeedMap[],9,0)),VLOOKUP('Table Seed Map'!$A$27,SeedMap[],9,0),0))</f>
        <v>2126196</v>
      </c>
      <c r="AW98" s="68">
        <f>IFERROR(VLOOKUP(ListLayout[[#This Row],[List Name for Layout]],ResourceList[[ListDisplayName]:[No]],2,0),"resource_list")</f>
        <v>2123125</v>
      </c>
      <c r="AX98" s="69" t="s">
        <v>1331</v>
      </c>
      <c r="AY98" s="107" t="s">
        <v>827</v>
      </c>
      <c r="AZ98" s="69" t="str">
        <f>IF(ListLayout[[#This Row],[List Name for Layout]]="","relation",IFERROR(VLOOKUP(ListLayout[[#This Row],[Relation]],RelationTable[[Display]:[RELID]],2,0),""))</f>
        <v/>
      </c>
      <c r="BA98" s="69" t="str">
        <f>IF(ListLayout[[#This Row],[List Name for Layout]]="","nest_relation1",IFERROR(VLOOKUP(ListLayout[[#This Row],[Relation 1]],RelationTable[[Display]:[RELID]],2,0),""))</f>
        <v/>
      </c>
      <c r="BB98" s="69" t="str">
        <f>IF(ListLayout[[#This Row],[List Name for Layout]]="","nest_relation2",IFERROR(VLOOKUP(ListLayout[[#This Row],[Relation 2]],RelationTable[[Display]:[RELID]],2,0),""))</f>
        <v/>
      </c>
      <c r="BC98" s="107"/>
      <c r="BD98" s="108"/>
      <c r="BE98" s="108"/>
    </row>
    <row r="99" spans="46:57">
      <c r="AT99" s="69" t="str">
        <f>'Table Seed Map'!$A$27&amp;"-"&amp;COUNTA($AV$1:ListLayout[[#This Row],[No]])-2</f>
        <v>List Layout-97</v>
      </c>
      <c r="AU99" s="62" t="s">
        <v>1700</v>
      </c>
      <c r="AV99" s="69">
        <f>IF(ListLayout[[#This Row],[List Name for Layout]]="","id",COUNTA($AU$2:ListLayout[[#This Row],[List Name for Layout]])+IF(ISNUMBER(VLOOKUP('Table Seed Map'!$A$27,SeedMap[],9,0)),VLOOKUP('Table Seed Map'!$A$27,SeedMap[],9,0),0))</f>
        <v>2126197</v>
      </c>
      <c r="AW99" s="69">
        <f>IFERROR(VLOOKUP(ListLayout[[#This Row],[List Name for Layout]],ResourceList[[ListDisplayName]:[No]],2,0),"resource_list")</f>
        <v>2123125</v>
      </c>
      <c r="AX99" s="69" t="s">
        <v>1471</v>
      </c>
      <c r="AY99" s="107" t="s">
        <v>882</v>
      </c>
      <c r="AZ99" s="69" t="str">
        <f>IF(ListLayout[[#This Row],[List Name for Layout]]="","relation",IFERROR(VLOOKUP(ListLayout[[#This Row],[Relation]],RelationTable[[Display]:[RELID]],2,0),""))</f>
        <v/>
      </c>
      <c r="BA99" s="69" t="str">
        <f>IF(ListLayout[[#This Row],[List Name for Layout]]="","nest_relation1",IFERROR(VLOOKUP(ListLayout[[#This Row],[Relation 1]],RelationTable[[Display]:[RELID]],2,0),""))</f>
        <v/>
      </c>
      <c r="BB99" s="69" t="str">
        <f>IF(ListLayout[[#This Row],[List Name for Layout]]="","nest_relation2",IFERROR(VLOOKUP(ListLayout[[#This Row],[Relation 2]],RelationTable[[Display]:[RELID]],2,0),""))</f>
        <v/>
      </c>
      <c r="BC99" s="107"/>
      <c r="BD99" s="107"/>
      <c r="BE99" s="107"/>
    </row>
    <row r="100" spans="46:57">
      <c r="AT100" s="69" t="str">
        <f>'Table Seed Map'!$A$27&amp;"-"&amp;COUNTA($AV$1:ListLayout[[#This Row],[No]])-2</f>
        <v>List Layout-98</v>
      </c>
      <c r="AU100" s="62" t="s">
        <v>1793</v>
      </c>
      <c r="AV100" s="69">
        <f>IF(ListLayout[[#This Row],[List Name for Layout]]="","id",COUNTA($AU$2:ListLayout[[#This Row],[List Name for Layout]])+IF(ISNUMBER(VLOOKUP('Table Seed Map'!$A$27,SeedMap[],9,0)),VLOOKUP('Table Seed Map'!$A$27,SeedMap[],9,0),0))</f>
        <v>2126198</v>
      </c>
      <c r="AW100" s="69">
        <f>IFERROR(VLOOKUP(ListLayout[[#This Row],[List Name for Layout]],ResourceList[[ListDisplayName]:[No]],2,0),"resource_list")</f>
        <v>2123126</v>
      </c>
      <c r="AX100" s="69" t="s">
        <v>779</v>
      </c>
      <c r="AY100" s="107" t="s">
        <v>23</v>
      </c>
      <c r="AZ100" s="69">
        <f>IF(ListLayout[[#This Row],[List Name for Layout]]="","relation",IFERROR(VLOOKUP(ListLayout[[#This Row],[Relation]],RelationTable[[Display]:[RELID]],2,0),""))</f>
        <v>2109166</v>
      </c>
      <c r="BA100" s="69" t="str">
        <f>IF(ListLayout[[#This Row],[List Name for Layout]]="","nest_relation1",IFERROR(VLOOKUP(ListLayout[[#This Row],[Relation 1]],RelationTable[[Display]:[RELID]],2,0),""))</f>
        <v/>
      </c>
      <c r="BB100" s="69" t="str">
        <f>IF(ListLayout[[#This Row],[List Name for Layout]]="","nest_relation2",IFERROR(VLOOKUP(ListLayout[[#This Row],[Relation 2]],RelationTable[[Display]:[RELID]],2,0),""))</f>
        <v/>
      </c>
      <c r="BC100" s="107" t="s">
        <v>1794</v>
      </c>
      <c r="BD100" s="107"/>
      <c r="BE100" s="107"/>
    </row>
    <row r="101" spans="46:57">
      <c r="AT101" s="69" t="str">
        <f>'Table Seed Map'!$A$27&amp;"-"&amp;COUNTA($AV$1:ListLayout[[#This Row],[No]])-2</f>
        <v>List Layout-99</v>
      </c>
      <c r="AU101" s="62" t="s">
        <v>1793</v>
      </c>
      <c r="AV101" s="69">
        <f>IF(ListLayout[[#This Row],[List Name for Layout]]="","id",COUNTA($AU$2:ListLayout[[#This Row],[List Name for Layout]])+IF(ISNUMBER(VLOOKUP('Table Seed Map'!$A$27,SeedMap[],9,0)),VLOOKUP('Table Seed Map'!$A$27,SeedMap[],9,0),0))</f>
        <v>2126199</v>
      </c>
      <c r="AW101" s="69">
        <f>IFERROR(VLOOKUP(ListLayout[[#This Row],[List Name for Layout]],ResourceList[[ListDisplayName]:[No]],2,0),"resource_list")</f>
        <v>2123126</v>
      </c>
      <c r="AX101" s="69" t="s">
        <v>778</v>
      </c>
      <c r="AY101" s="107" t="s">
        <v>23</v>
      </c>
      <c r="AZ101" s="69">
        <f>IF(ListLayout[[#This Row],[List Name for Layout]]="","relation",IFERROR(VLOOKUP(ListLayout[[#This Row],[Relation]],RelationTable[[Display]:[RELID]],2,0),""))</f>
        <v>2109167</v>
      </c>
      <c r="BA101" s="69" t="str">
        <f>IF(ListLayout[[#This Row],[List Name for Layout]]="","nest_relation1",IFERROR(VLOOKUP(ListLayout[[#This Row],[Relation 1]],RelationTable[[Display]:[RELID]],2,0),""))</f>
        <v/>
      </c>
      <c r="BB101" s="69" t="str">
        <f>IF(ListLayout[[#This Row],[List Name for Layout]]="","nest_relation2",IFERROR(VLOOKUP(ListLayout[[#This Row],[Relation 2]],RelationTable[[Display]:[RELID]],2,0),""))</f>
        <v/>
      </c>
      <c r="BC101" s="107" t="s">
        <v>1795</v>
      </c>
      <c r="BD101" s="107"/>
      <c r="BE101" s="107"/>
    </row>
    <row r="102" spans="46:57">
      <c r="AT102" s="69" t="str">
        <f>'Table Seed Map'!$A$27&amp;"-"&amp;COUNTA($AV$1:ListLayout[[#This Row],[No]])-2</f>
        <v>List Layout-100</v>
      </c>
      <c r="AU102" s="62" t="s">
        <v>1793</v>
      </c>
      <c r="AV102" s="69">
        <f>IF(ListLayout[[#This Row],[List Name for Layout]]="","id",COUNTA($AU$2:ListLayout[[#This Row],[List Name for Layout]])+IF(ISNUMBER(VLOOKUP('Table Seed Map'!$A$27,SeedMap[],9,0)),VLOOKUP('Table Seed Map'!$A$27,SeedMap[],9,0),0))</f>
        <v>2126200</v>
      </c>
      <c r="AW102" s="69">
        <f>IFERROR(VLOOKUP(ListLayout[[#This Row],[List Name for Layout]],ResourceList[[ListDisplayName]:[No]],2,0),"resource_list")</f>
        <v>2123126</v>
      </c>
      <c r="AX102" s="69" t="s">
        <v>1045</v>
      </c>
      <c r="AY102" s="107" t="s">
        <v>847</v>
      </c>
      <c r="AZ102" s="69" t="str">
        <f>IF(ListLayout[[#This Row],[List Name for Layout]]="","relation",IFERROR(VLOOKUP(ListLayout[[#This Row],[Relation]],RelationTable[[Display]:[RELID]],2,0),""))</f>
        <v/>
      </c>
      <c r="BA102" s="69" t="str">
        <f>IF(ListLayout[[#This Row],[List Name for Layout]]="","nest_relation1",IFERROR(VLOOKUP(ListLayout[[#This Row],[Relation 1]],RelationTable[[Display]:[RELID]],2,0),""))</f>
        <v/>
      </c>
      <c r="BB102" s="69" t="str">
        <f>IF(ListLayout[[#This Row],[List Name for Layout]]="","nest_relation2",IFERROR(VLOOKUP(ListLayout[[#This Row],[Relation 2]],RelationTable[[Display]:[RELID]],2,0),""))</f>
        <v/>
      </c>
      <c r="BC102" s="107"/>
      <c r="BD102" s="107"/>
      <c r="BE102" s="107"/>
    </row>
    <row r="103" spans="46:57">
      <c r="AT103" s="69" t="str">
        <f>'Table Seed Map'!$A$27&amp;"-"&amp;COUNTA($AV$1:ListLayout[[#This Row],[No]])-2</f>
        <v>List Layout-101</v>
      </c>
      <c r="AU103" s="62" t="s">
        <v>1805</v>
      </c>
      <c r="AV103" s="69">
        <f>IF(ListLayout[[#This Row],[List Name for Layout]]="","id",COUNTA($AU$2:ListLayout[[#This Row],[List Name for Layout]])+IF(ISNUMBER(VLOOKUP('Table Seed Map'!$A$27,SeedMap[],9,0)),VLOOKUP('Table Seed Map'!$A$27,SeedMap[],9,0),0))</f>
        <v>2126201</v>
      </c>
      <c r="AW103" s="69">
        <f>IFERROR(VLOOKUP(ListLayout[[#This Row],[List Name for Layout]],ResourceList[[ListDisplayName]:[No]],2,0),"resource_list")</f>
        <v>2123127</v>
      </c>
      <c r="AX103" s="69" t="s">
        <v>307</v>
      </c>
      <c r="AY103" s="107" t="s">
        <v>21</v>
      </c>
      <c r="AZ103" s="69" t="str">
        <f>IF(ListLayout[[#This Row],[List Name for Layout]]="","relation",IFERROR(VLOOKUP(ListLayout[[#This Row],[Relation]],RelationTable[[Display]:[RELID]],2,0),""))</f>
        <v/>
      </c>
      <c r="BA103" s="69" t="str">
        <f>IF(ListLayout[[#This Row],[List Name for Layout]]="","nest_relation1",IFERROR(VLOOKUP(ListLayout[[#This Row],[Relation 1]],RelationTable[[Display]:[RELID]],2,0),""))</f>
        <v/>
      </c>
      <c r="BB103" s="69" t="str">
        <f>IF(ListLayout[[#This Row],[List Name for Layout]]="","nest_relation2",IFERROR(VLOOKUP(ListLayout[[#This Row],[Relation 2]],RelationTable[[Display]:[RELID]],2,0),""))</f>
        <v/>
      </c>
      <c r="BC103" s="107"/>
      <c r="BD103" s="107"/>
      <c r="BE103" s="107"/>
    </row>
    <row r="104" spans="46:57">
      <c r="AT104" s="68" t="str">
        <f>'Table Seed Map'!$A$27&amp;"-"&amp;COUNTA($AV$1:ListLayout[[#This Row],[No]])-2</f>
        <v>List Layout-102</v>
      </c>
      <c r="AU104" s="62" t="s">
        <v>1805</v>
      </c>
      <c r="AV104" s="68">
        <f>IF(ListLayout[[#This Row],[List Name for Layout]]="","id",COUNTA($AU$2:ListLayout[[#This Row],[List Name for Layout]])+IF(ISNUMBER(VLOOKUP('Table Seed Map'!$A$27,SeedMap[],9,0)),VLOOKUP('Table Seed Map'!$A$27,SeedMap[],9,0),0))</f>
        <v>2126202</v>
      </c>
      <c r="AW104" s="68">
        <f>IFERROR(VLOOKUP(ListLayout[[#This Row],[List Name for Layout]],ResourceList[[ListDisplayName]:[No]],2,0),"resource_list")</f>
        <v>2123127</v>
      </c>
      <c r="AX104" s="69" t="s">
        <v>785</v>
      </c>
      <c r="AY104" s="107" t="s">
        <v>23</v>
      </c>
      <c r="AZ104" s="69">
        <f>IF(ListLayout[[#This Row],[List Name for Layout]]="","relation",IFERROR(VLOOKUP(ListLayout[[#This Row],[Relation]],RelationTable[[Display]:[RELID]],2,0),""))</f>
        <v>2109162</v>
      </c>
      <c r="BA104" s="68" t="str">
        <f>IF(ListLayout[[#This Row],[List Name for Layout]]="","nest_relation1",IFERROR(VLOOKUP(ListLayout[[#This Row],[Relation 1]],RelationTable[[Display]:[RELID]],2,0),""))</f>
        <v/>
      </c>
      <c r="BB104" s="68" t="str">
        <f>IF(ListLayout[[#This Row],[List Name for Layout]]="","nest_relation2",IFERROR(VLOOKUP(ListLayout[[#This Row],[Relation 2]],RelationTable[[Display]:[RELID]],2,0),""))</f>
        <v/>
      </c>
      <c r="BC104" s="107" t="s">
        <v>1474</v>
      </c>
      <c r="BD104" s="108"/>
      <c r="BE104" s="108"/>
    </row>
    <row r="105" spans="46:57">
      <c r="AT105" s="68" t="str">
        <f>'Table Seed Map'!$A$27&amp;"-"&amp;COUNTA($AV$1:ListLayout[[#This Row],[No]])-2</f>
        <v>List Layout-103</v>
      </c>
      <c r="AU105" s="62" t="s">
        <v>1805</v>
      </c>
      <c r="AV105" s="68">
        <f>IF(ListLayout[[#This Row],[List Name for Layout]]="","id",COUNTA($AU$2:ListLayout[[#This Row],[List Name for Layout]])+IF(ISNUMBER(VLOOKUP('Table Seed Map'!$A$27,SeedMap[],9,0)),VLOOKUP('Table Seed Map'!$A$27,SeedMap[],9,0),0))</f>
        <v>2126203</v>
      </c>
      <c r="AW105" s="68">
        <f>IFERROR(VLOOKUP(ListLayout[[#This Row],[List Name for Layout]],ResourceList[[ListDisplayName]:[No]],2,0),"resource_list")</f>
        <v>2123127</v>
      </c>
      <c r="AX105" s="69" t="s">
        <v>1331</v>
      </c>
      <c r="AY105" s="107" t="s">
        <v>827</v>
      </c>
      <c r="AZ105" s="69" t="str">
        <f>IF(ListLayout[[#This Row],[List Name for Layout]]="","relation",IFERROR(VLOOKUP(ListLayout[[#This Row],[Relation]],RelationTable[[Display]:[RELID]],2,0),""))</f>
        <v/>
      </c>
      <c r="BA105" s="68" t="str">
        <f>IF(ListLayout[[#This Row],[List Name for Layout]]="","nest_relation1",IFERROR(VLOOKUP(ListLayout[[#This Row],[Relation 1]],RelationTable[[Display]:[RELID]],2,0),""))</f>
        <v/>
      </c>
      <c r="BB105" s="68" t="str">
        <f>IF(ListLayout[[#This Row],[List Name for Layout]]="","nest_relation2",IFERROR(VLOOKUP(ListLayout[[#This Row],[Relation 2]],RelationTable[[Display]:[RELID]],2,0),""))</f>
        <v/>
      </c>
      <c r="BC105" s="108"/>
      <c r="BD105" s="108"/>
      <c r="BE105" s="108"/>
    </row>
    <row r="106" spans="46:57">
      <c r="AT106" s="68" t="str">
        <f>'Table Seed Map'!$A$27&amp;"-"&amp;COUNTA($AV$1:ListLayout[[#This Row],[No]])-2</f>
        <v>List Layout-104</v>
      </c>
      <c r="AU106" s="62" t="s">
        <v>1805</v>
      </c>
      <c r="AV106" s="68">
        <f>IF(ListLayout[[#This Row],[List Name for Layout]]="","id",COUNTA($AU$2:ListLayout[[#This Row],[List Name for Layout]])+IF(ISNUMBER(VLOOKUP('Table Seed Map'!$A$27,SeedMap[],9,0)),VLOOKUP('Table Seed Map'!$A$27,SeedMap[],9,0),0))</f>
        <v>2126204</v>
      </c>
      <c r="AW106" s="68">
        <f>IFERROR(VLOOKUP(ListLayout[[#This Row],[List Name for Layout]],ResourceList[[ListDisplayName]:[No]],2,0),"resource_list")</f>
        <v>2123127</v>
      </c>
      <c r="AX106" s="69" t="s">
        <v>1799</v>
      </c>
      <c r="AY106" s="107" t="s">
        <v>1800</v>
      </c>
      <c r="AZ106" s="69" t="str">
        <f>IF(ListLayout[[#This Row],[List Name for Layout]]="","relation",IFERROR(VLOOKUP(ListLayout[[#This Row],[Relation]],RelationTable[[Display]:[RELID]],2,0),""))</f>
        <v/>
      </c>
      <c r="BA106" s="68" t="str">
        <f>IF(ListLayout[[#This Row],[List Name for Layout]]="","nest_relation1",IFERROR(VLOOKUP(ListLayout[[#This Row],[Relation 1]],RelationTable[[Display]:[RELID]],2,0),""))</f>
        <v/>
      </c>
      <c r="BB106" s="68" t="str">
        <f>IF(ListLayout[[#This Row],[List Name for Layout]]="","nest_relation2",IFERROR(VLOOKUP(ListLayout[[#This Row],[Relation 2]],RelationTable[[Display]:[RELID]],2,0),""))</f>
        <v/>
      </c>
      <c r="BC106" s="108"/>
      <c r="BD106" s="108"/>
      <c r="BE106" s="108"/>
    </row>
    <row r="107" spans="46:57">
      <c r="AT107" s="68" t="str">
        <f>'Table Seed Map'!$A$27&amp;"-"&amp;COUNTA($AV$1:ListLayout[[#This Row],[No]])-2</f>
        <v>List Layout-105</v>
      </c>
      <c r="AU107" s="62" t="s">
        <v>1805</v>
      </c>
      <c r="AV107" s="68">
        <f>IF(ListLayout[[#This Row],[List Name for Layout]]="","id",COUNTA($AU$2:ListLayout[[#This Row],[List Name for Layout]])+IF(ISNUMBER(VLOOKUP('Table Seed Map'!$A$27,SeedMap[],9,0)),VLOOKUP('Table Seed Map'!$A$27,SeedMap[],9,0),0))</f>
        <v>2126205</v>
      </c>
      <c r="AW107" s="68">
        <f>IFERROR(VLOOKUP(ListLayout[[#This Row],[List Name for Layout]],ResourceList[[ListDisplayName]:[No]],2,0),"resource_list")</f>
        <v>2123127</v>
      </c>
      <c r="AX107" s="69" t="s">
        <v>1826</v>
      </c>
      <c r="AY107" s="107" t="s">
        <v>1827</v>
      </c>
      <c r="AZ107" s="69" t="str">
        <f>IF(ListLayout[[#This Row],[List Name for Layout]]="","relation",IFERROR(VLOOKUP(ListLayout[[#This Row],[Relation]],RelationTable[[Display]:[RELID]],2,0),""))</f>
        <v/>
      </c>
      <c r="BA107" s="68" t="str">
        <f>IF(ListLayout[[#This Row],[List Name for Layout]]="","nest_relation1",IFERROR(VLOOKUP(ListLayout[[#This Row],[Relation 1]],RelationTable[[Display]:[RELID]],2,0),""))</f>
        <v/>
      </c>
      <c r="BB107" s="68" t="str">
        <f>IF(ListLayout[[#This Row],[List Name for Layout]]="","nest_relation2",IFERROR(VLOOKUP(ListLayout[[#This Row],[Relation 2]],RelationTable[[Display]:[RELID]],2,0),""))</f>
        <v/>
      </c>
      <c r="BC107" s="107"/>
      <c r="BD107" s="108"/>
      <c r="BE107" s="108"/>
    </row>
    <row r="108" spans="46:57">
      <c r="AT108" s="69" t="str">
        <f>'Table Seed Map'!$A$27&amp;"-"&amp;COUNTA($AV$1:ListLayout[[#This Row],[No]])-2</f>
        <v>List Layout-106</v>
      </c>
      <c r="AU108" s="62" t="s">
        <v>1805</v>
      </c>
      <c r="AV108" s="69">
        <f>IF(ListLayout[[#This Row],[List Name for Layout]]="","id",COUNTA($AU$2:ListLayout[[#This Row],[List Name for Layout]])+IF(ISNUMBER(VLOOKUP('Table Seed Map'!$A$27,SeedMap[],9,0)),VLOOKUP('Table Seed Map'!$A$27,SeedMap[],9,0),0))</f>
        <v>2126206</v>
      </c>
      <c r="AW108" s="69">
        <f>IFERROR(VLOOKUP(ListLayout[[#This Row],[List Name for Layout]],ResourceList[[ListDisplayName]:[No]],2,0),"resource_list")</f>
        <v>2123127</v>
      </c>
      <c r="AX108" s="69" t="s">
        <v>787</v>
      </c>
      <c r="AY108" s="107" t="s">
        <v>21</v>
      </c>
      <c r="AZ108" s="69">
        <f>IF(ListLayout[[#This Row],[List Name for Layout]]="","relation",IFERROR(VLOOKUP(ListLayout[[#This Row],[Relation]],RelationTable[[Display]:[RELID]],2,0),""))</f>
        <v>2109161</v>
      </c>
      <c r="BA108" s="69" t="str">
        <f>IF(ListLayout[[#This Row],[List Name for Layout]]="","nest_relation1",IFERROR(VLOOKUP(ListLayout[[#This Row],[Relation 1]],RelationTable[[Display]:[RELID]],2,0),""))</f>
        <v/>
      </c>
      <c r="BB108" s="69" t="str">
        <f>IF(ListLayout[[#This Row],[List Name for Layout]]="","nest_relation2",IFERROR(VLOOKUP(ListLayout[[#This Row],[Relation 2]],RelationTable[[Display]:[RELID]],2,0),""))</f>
        <v/>
      </c>
      <c r="BC108" s="107" t="s">
        <v>1475</v>
      </c>
      <c r="BD108" s="107"/>
      <c r="BE108" s="107"/>
    </row>
    <row r="109" spans="46:57">
      <c r="AT109" s="69" t="str">
        <f>'Table Seed Map'!$A$27&amp;"-"&amp;COUNTA($AV$1:ListLayout[[#This Row],[No]])-2</f>
        <v>List Layout-107</v>
      </c>
      <c r="AU109" s="62" t="s">
        <v>1805</v>
      </c>
      <c r="AV109" s="69">
        <f>IF(ListLayout[[#This Row],[List Name for Layout]]="","id",COUNTA($AU$2:ListLayout[[#This Row],[List Name for Layout]])+IF(ISNUMBER(VLOOKUP('Table Seed Map'!$A$27,SeedMap[],9,0)),VLOOKUP('Table Seed Map'!$A$27,SeedMap[],9,0),0))</f>
        <v>2126207</v>
      </c>
      <c r="AW109" s="69">
        <f>IFERROR(VLOOKUP(ListLayout[[#This Row],[List Name for Layout]],ResourceList[[ListDisplayName]:[No]],2,0),"resource_list")</f>
        <v>2123127</v>
      </c>
      <c r="AX109" s="69" t="s">
        <v>1471</v>
      </c>
      <c r="AY109" s="107" t="s">
        <v>882</v>
      </c>
      <c r="AZ109" s="69" t="str">
        <f>IF(ListLayout[[#This Row],[List Name for Layout]]="","relation",IFERROR(VLOOKUP(ListLayout[[#This Row],[Relation]],RelationTable[[Display]:[RELID]],2,0),""))</f>
        <v/>
      </c>
      <c r="BA109" s="69" t="str">
        <f>IF(ListLayout[[#This Row],[List Name for Layout]]="","nest_relation1",IFERROR(VLOOKUP(ListLayout[[#This Row],[Relation 1]],RelationTable[[Display]:[RELID]],2,0),""))</f>
        <v/>
      </c>
      <c r="BB109" s="69" t="str">
        <f>IF(ListLayout[[#This Row],[List Name for Layout]]="","nest_relation2",IFERROR(VLOOKUP(ListLayout[[#This Row],[Relation 2]],RelationTable[[Display]:[RELID]],2,0),""))</f>
        <v/>
      </c>
      <c r="BC109" s="107"/>
      <c r="BD109" s="107"/>
      <c r="BE109" s="107"/>
    </row>
    <row r="110" spans="46:57">
      <c r="AT110" s="69" t="str">
        <f>'Table Seed Map'!$A$27&amp;"-"&amp;COUNTA($AV$1:ListLayout[[#This Row],[No]])-2</f>
        <v>List Layout-108</v>
      </c>
      <c r="AU110" s="62" t="s">
        <v>1830</v>
      </c>
      <c r="AV110" s="69">
        <f>IF(ListLayout[[#This Row],[List Name for Layout]]="","id",COUNTA($AU$2:ListLayout[[#This Row],[List Name for Layout]])+IF(ISNUMBER(VLOOKUP('Table Seed Map'!$A$27,SeedMap[],9,0)),VLOOKUP('Table Seed Map'!$A$27,SeedMap[],9,0),0))</f>
        <v>2126208</v>
      </c>
      <c r="AW110" s="69">
        <f>IFERROR(VLOOKUP(ListLayout[[#This Row],[List Name for Layout]],ResourceList[[ListDisplayName]:[No]],2,0),"resource_list")</f>
        <v>2123128</v>
      </c>
      <c r="AX110" s="69" t="s">
        <v>307</v>
      </c>
      <c r="AY110" s="107" t="s">
        <v>21</v>
      </c>
      <c r="AZ110" s="69" t="str">
        <f>IF(ListLayout[[#This Row],[List Name for Layout]]="","relation",IFERROR(VLOOKUP(ListLayout[[#This Row],[Relation]],RelationTable[[Display]:[RELID]],2,0),""))</f>
        <v/>
      </c>
      <c r="BA110" s="69" t="str">
        <f>IF(ListLayout[[#This Row],[List Name for Layout]]="","nest_relation1",IFERROR(VLOOKUP(ListLayout[[#This Row],[Relation 1]],RelationTable[[Display]:[RELID]],2,0),""))</f>
        <v/>
      </c>
      <c r="BB110" s="69" t="str">
        <f>IF(ListLayout[[#This Row],[List Name for Layout]]="","nest_relation2",IFERROR(VLOOKUP(ListLayout[[#This Row],[Relation 2]],RelationTable[[Display]:[RELID]],2,0),""))</f>
        <v/>
      </c>
      <c r="BC110" s="107"/>
      <c r="BD110" s="107"/>
      <c r="BE110" s="107"/>
    </row>
    <row r="111" spans="46:57">
      <c r="AT111" s="68" t="str">
        <f>'Table Seed Map'!$A$27&amp;"-"&amp;COUNTA($AV$1:ListLayout[[#This Row],[No]])-2</f>
        <v>List Layout-109</v>
      </c>
      <c r="AU111" s="62" t="s">
        <v>1830</v>
      </c>
      <c r="AV111" s="68">
        <f>IF(ListLayout[[#This Row],[List Name for Layout]]="","id",COUNTA($AU$2:ListLayout[[#This Row],[List Name for Layout]])+IF(ISNUMBER(VLOOKUP('Table Seed Map'!$A$27,SeedMap[],9,0)),VLOOKUP('Table Seed Map'!$A$27,SeedMap[],9,0),0))</f>
        <v>2126209</v>
      </c>
      <c r="AW111" s="68">
        <f>IFERROR(VLOOKUP(ListLayout[[#This Row],[List Name for Layout]],ResourceList[[ListDisplayName]:[No]],2,0),"resource_list")</f>
        <v>2123128</v>
      </c>
      <c r="AX111" s="69" t="s">
        <v>785</v>
      </c>
      <c r="AY111" s="107" t="s">
        <v>23</v>
      </c>
      <c r="AZ111" s="68">
        <f>IF(ListLayout[[#This Row],[List Name for Layout]]="","relation",IFERROR(VLOOKUP(ListLayout[[#This Row],[Relation]],RelationTable[[Display]:[RELID]],2,0),""))</f>
        <v>2109162</v>
      </c>
      <c r="BA111" s="68" t="str">
        <f>IF(ListLayout[[#This Row],[List Name for Layout]]="","nest_relation1",IFERROR(VLOOKUP(ListLayout[[#This Row],[Relation 1]],RelationTable[[Display]:[RELID]],2,0),""))</f>
        <v/>
      </c>
      <c r="BB111" s="68" t="str">
        <f>IF(ListLayout[[#This Row],[List Name for Layout]]="","nest_relation2",IFERROR(VLOOKUP(ListLayout[[#This Row],[Relation 2]],RelationTable[[Display]:[RELID]],2,0),""))</f>
        <v/>
      </c>
      <c r="BC111" s="107" t="s">
        <v>1474</v>
      </c>
      <c r="BD111" s="108"/>
      <c r="BE111" s="108"/>
    </row>
    <row r="112" spans="46:57">
      <c r="AT112" s="68" t="str">
        <f>'Table Seed Map'!$A$27&amp;"-"&amp;COUNTA($AV$1:ListLayout[[#This Row],[No]])-2</f>
        <v>List Layout-110</v>
      </c>
      <c r="AU112" s="62" t="s">
        <v>1830</v>
      </c>
      <c r="AV112" s="68">
        <f>IF(ListLayout[[#This Row],[List Name for Layout]]="","id",COUNTA($AU$2:ListLayout[[#This Row],[List Name for Layout]])+IF(ISNUMBER(VLOOKUP('Table Seed Map'!$A$27,SeedMap[],9,0)),VLOOKUP('Table Seed Map'!$A$27,SeedMap[],9,0),0))</f>
        <v>2126210</v>
      </c>
      <c r="AW112" s="68">
        <f>IFERROR(VLOOKUP(ListLayout[[#This Row],[List Name for Layout]],ResourceList[[ListDisplayName]:[No]],2,0),"resource_list")</f>
        <v>2123128</v>
      </c>
      <c r="AX112" s="69" t="s">
        <v>1331</v>
      </c>
      <c r="AY112" s="107" t="s">
        <v>827</v>
      </c>
      <c r="AZ112" s="68" t="str">
        <f>IF(ListLayout[[#This Row],[List Name for Layout]]="","relation",IFERROR(VLOOKUP(ListLayout[[#This Row],[Relation]],RelationTable[[Display]:[RELID]],2,0),""))</f>
        <v/>
      </c>
      <c r="BA112" s="68" t="str">
        <f>IF(ListLayout[[#This Row],[List Name for Layout]]="","nest_relation1",IFERROR(VLOOKUP(ListLayout[[#This Row],[Relation 1]],RelationTable[[Display]:[RELID]],2,0),""))</f>
        <v/>
      </c>
      <c r="BB112" s="68" t="str">
        <f>IF(ListLayout[[#This Row],[List Name for Layout]]="","nest_relation2",IFERROR(VLOOKUP(ListLayout[[#This Row],[Relation 2]],RelationTable[[Display]:[RELID]],2,0),""))</f>
        <v/>
      </c>
      <c r="BC112" s="108"/>
      <c r="BD112" s="108"/>
      <c r="BE112" s="108"/>
    </row>
    <row r="113" spans="46:57">
      <c r="AT113" s="68" t="str">
        <f>'Table Seed Map'!$A$27&amp;"-"&amp;COUNTA($AV$1:ListLayout[[#This Row],[No]])-2</f>
        <v>List Layout-111</v>
      </c>
      <c r="AU113" s="62" t="s">
        <v>1830</v>
      </c>
      <c r="AV113" s="68">
        <f>IF(ListLayout[[#This Row],[List Name for Layout]]="","id",COUNTA($AU$2:ListLayout[[#This Row],[List Name for Layout]])+IF(ISNUMBER(VLOOKUP('Table Seed Map'!$A$27,SeedMap[],9,0)),VLOOKUP('Table Seed Map'!$A$27,SeedMap[],9,0),0))</f>
        <v>2126211</v>
      </c>
      <c r="AW113" s="68">
        <f>IFERROR(VLOOKUP(ListLayout[[#This Row],[List Name for Layout]],ResourceList[[ListDisplayName]:[No]],2,0),"resource_list")</f>
        <v>2123128</v>
      </c>
      <c r="AX113" s="69" t="s">
        <v>1799</v>
      </c>
      <c r="AY113" s="107" t="s">
        <v>1800</v>
      </c>
      <c r="AZ113" s="68" t="str">
        <f>IF(ListLayout[[#This Row],[List Name for Layout]]="","relation",IFERROR(VLOOKUP(ListLayout[[#This Row],[Relation]],RelationTable[[Display]:[RELID]],2,0),""))</f>
        <v/>
      </c>
      <c r="BA113" s="68" t="str">
        <f>IF(ListLayout[[#This Row],[List Name for Layout]]="","nest_relation1",IFERROR(VLOOKUP(ListLayout[[#This Row],[Relation 1]],RelationTable[[Display]:[RELID]],2,0),""))</f>
        <v/>
      </c>
      <c r="BB113" s="68" t="str">
        <f>IF(ListLayout[[#This Row],[List Name for Layout]]="","nest_relation2",IFERROR(VLOOKUP(ListLayout[[#This Row],[Relation 2]],RelationTable[[Display]:[RELID]],2,0),""))</f>
        <v/>
      </c>
      <c r="BC113" s="108"/>
      <c r="BD113" s="108"/>
      <c r="BE113" s="108"/>
    </row>
    <row r="114" spans="46:57">
      <c r="AT114" s="69" t="str">
        <f>'Table Seed Map'!$A$27&amp;"-"&amp;COUNTA($AV$1:ListLayout[[#This Row],[No]])-2</f>
        <v>List Layout-112</v>
      </c>
      <c r="AU114" s="62" t="s">
        <v>1869</v>
      </c>
      <c r="AV114" s="69">
        <f>IF(ListLayout[[#This Row],[List Name for Layout]]="","id",COUNTA($AU$2:ListLayout[[#This Row],[List Name for Layout]])+IF(ISNUMBER(VLOOKUP('Table Seed Map'!$A$27,SeedMap[],9,0)),VLOOKUP('Table Seed Map'!$A$27,SeedMap[],9,0),0))</f>
        <v>2126212</v>
      </c>
      <c r="AW114" s="69">
        <f>IFERROR(VLOOKUP(ListLayout[[#This Row],[List Name for Layout]],ResourceList[[ListDisplayName]:[No]],2,0),"resource_list")</f>
        <v>2123130</v>
      </c>
      <c r="AX114" s="69" t="s">
        <v>779</v>
      </c>
      <c r="AY114" s="107" t="s">
        <v>23</v>
      </c>
      <c r="AZ114" s="69">
        <f>IF(ListLayout[[#This Row],[List Name for Layout]]="","relation",IFERROR(VLOOKUP(ListLayout[[#This Row],[Relation]],RelationTable[[Display]:[RELID]],2,0),""))</f>
        <v>2109153</v>
      </c>
      <c r="BA114" s="69" t="str">
        <f>IF(ListLayout[[#This Row],[List Name for Layout]]="","nest_relation1",IFERROR(VLOOKUP(ListLayout[[#This Row],[Relation 1]],RelationTable[[Display]:[RELID]],2,0),""))</f>
        <v/>
      </c>
      <c r="BB114" s="69" t="str">
        <f>IF(ListLayout[[#This Row],[List Name for Layout]]="","nest_relation2",IFERROR(VLOOKUP(ListLayout[[#This Row],[Relation 2]],RelationTable[[Display]:[RELID]],2,0),""))</f>
        <v/>
      </c>
      <c r="BC114" s="107" t="s">
        <v>1628</v>
      </c>
      <c r="BD114" s="107"/>
      <c r="BE114" s="107"/>
    </row>
    <row r="115" spans="46:57">
      <c r="AT115" s="69" t="str">
        <f>'Table Seed Map'!$A$27&amp;"-"&amp;COUNTA($AV$1:ListLayout[[#This Row],[No]])-2</f>
        <v>List Layout-113</v>
      </c>
      <c r="AU115" s="62" t="s">
        <v>1869</v>
      </c>
      <c r="AV115" s="69">
        <f>IF(ListLayout[[#This Row],[List Name for Layout]]="","id",COUNTA($AU$2:ListLayout[[#This Row],[List Name for Layout]])+IF(ISNUMBER(VLOOKUP('Table Seed Map'!$A$27,SeedMap[],9,0)),VLOOKUP('Table Seed Map'!$A$27,SeedMap[],9,0),0))</f>
        <v>2126213</v>
      </c>
      <c r="AW115" s="69">
        <f>IFERROR(VLOOKUP(ListLayout[[#This Row],[List Name for Layout]],ResourceList[[ListDisplayName]:[No]],2,0),"resource_list")</f>
        <v>2123130</v>
      </c>
      <c r="AX115" s="69" t="s">
        <v>104</v>
      </c>
      <c r="AY115" s="107" t="s">
        <v>850</v>
      </c>
      <c r="AZ115" s="69">
        <f>IF(ListLayout[[#This Row],[List Name for Layout]]="","relation",IFERROR(VLOOKUP(ListLayout[[#This Row],[Relation]],RelationTable[[Display]:[RELID]],2,0),""))</f>
        <v>2109154</v>
      </c>
      <c r="BA115" s="69" t="str">
        <f>IF(ListLayout[[#This Row],[List Name for Layout]]="","nest_relation1",IFERROR(VLOOKUP(ListLayout[[#This Row],[Relation 1]],RelationTable[[Display]:[RELID]],2,0),""))</f>
        <v/>
      </c>
      <c r="BB115" s="69" t="str">
        <f>IF(ListLayout[[#This Row],[List Name for Layout]]="","nest_relation2",IFERROR(VLOOKUP(ListLayout[[#This Row],[Relation 2]],RelationTable[[Display]:[RELID]],2,0),""))</f>
        <v/>
      </c>
      <c r="BC115" s="107" t="s">
        <v>1629</v>
      </c>
      <c r="BD115" s="107"/>
      <c r="BE115" s="107"/>
    </row>
    <row r="116" spans="46:57">
      <c r="AT116" s="69" t="str">
        <f>'Table Seed Map'!$A$27&amp;"-"&amp;COUNTA($AV$1:ListLayout[[#This Row],[No]])-2</f>
        <v>List Layout-114</v>
      </c>
      <c r="AU116" s="62" t="s">
        <v>1869</v>
      </c>
      <c r="AV116" s="69">
        <f>IF(ListLayout[[#This Row],[List Name for Layout]]="","id",COUNTA($AU$2:ListLayout[[#This Row],[List Name for Layout]])+IF(ISNUMBER(VLOOKUP('Table Seed Map'!$A$27,SeedMap[],9,0)),VLOOKUP('Table Seed Map'!$A$27,SeedMap[],9,0),0))</f>
        <v>2126214</v>
      </c>
      <c r="AW116" s="69">
        <f>IFERROR(VLOOKUP(ListLayout[[#This Row],[List Name for Layout]],ResourceList[[ListDisplayName]:[No]],2,0),"resource_list")</f>
        <v>2123130</v>
      </c>
      <c r="AX116" s="69" t="s">
        <v>1029</v>
      </c>
      <c r="AY116" s="107" t="s">
        <v>1636</v>
      </c>
      <c r="AZ116" s="69">
        <f>IF(ListLayout[[#This Row],[List Name for Layout]]="","relation",IFERROR(VLOOKUP(ListLayout[[#This Row],[Relation]],RelationTable[[Display]:[RELID]],2,0),""))</f>
        <v>2109155</v>
      </c>
      <c r="BA116" s="69" t="str">
        <f>IF(ListLayout[[#This Row],[List Name for Layout]]="","nest_relation1",IFERROR(VLOOKUP(ListLayout[[#This Row],[Relation 1]],RelationTable[[Display]:[RELID]],2,0),""))</f>
        <v/>
      </c>
      <c r="BB116" s="69" t="str">
        <f>IF(ListLayout[[#This Row],[List Name for Layout]]="","nest_relation2",IFERROR(VLOOKUP(ListLayout[[#This Row],[Relation 2]],RelationTable[[Display]:[RELID]],2,0),""))</f>
        <v/>
      </c>
      <c r="BC116" s="107" t="s">
        <v>1630</v>
      </c>
      <c r="BD116" s="107"/>
      <c r="BE116" s="107"/>
    </row>
    <row r="117" spans="46:57">
      <c r="AT117" s="69" t="str">
        <f>'Table Seed Map'!$A$27&amp;"-"&amp;COUNTA($AV$1:ListLayout[[#This Row],[No]])-2</f>
        <v>List Layout-115</v>
      </c>
      <c r="AU117" s="62" t="s">
        <v>1869</v>
      </c>
      <c r="AV117" s="69">
        <f>IF(ListLayout[[#This Row],[List Name for Layout]]="","id",COUNTA($AU$2:ListLayout[[#This Row],[List Name for Layout]])+IF(ISNUMBER(VLOOKUP('Table Seed Map'!$A$27,SeedMap[],9,0)),VLOOKUP('Table Seed Map'!$A$27,SeedMap[],9,0),0))</f>
        <v>2126215</v>
      </c>
      <c r="AW117" s="69">
        <f>IFERROR(VLOOKUP(ListLayout[[#This Row],[List Name for Layout]],ResourceList[[ListDisplayName]:[No]],2,0),"resource_list")</f>
        <v>2123130</v>
      </c>
      <c r="AX117" s="69" t="s">
        <v>896</v>
      </c>
      <c r="AY117" s="107" t="s">
        <v>23</v>
      </c>
      <c r="AZ117" s="69">
        <f>IF(ListLayout[[#This Row],[List Name for Layout]]="","relation",IFERROR(VLOOKUP(ListLayout[[#This Row],[Relation]],RelationTable[[Display]:[RELID]],2,0),""))</f>
        <v>2109188</v>
      </c>
      <c r="BA117" s="69" t="str">
        <f>IF(ListLayout[[#This Row],[List Name for Layout]]="","nest_relation1",IFERROR(VLOOKUP(ListLayout[[#This Row],[Relation 1]],RelationTable[[Display]:[RELID]],2,0),""))</f>
        <v/>
      </c>
      <c r="BB117" s="69" t="str">
        <f>IF(ListLayout[[#This Row],[List Name for Layout]]="","nest_relation2",IFERROR(VLOOKUP(ListLayout[[#This Row],[Relation 2]],RelationTable[[Display]:[RELID]],2,0),""))</f>
        <v/>
      </c>
      <c r="BC117" s="107" t="s">
        <v>1251</v>
      </c>
      <c r="BD117" s="107"/>
      <c r="BE117" s="107"/>
    </row>
    <row r="118" spans="46:57">
      <c r="AT118" s="69" t="str">
        <f>'Table Seed Map'!$A$27&amp;"-"&amp;COUNTA($AV$1:ListLayout[[#This Row],[No]])-2</f>
        <v>List Layout-116</v>
      </c>
      <c r="AU118" s="62" t="s">
        <v>1869</v>
      </c>
      <c r="AV118" s="69">
        <f>IF(ListLayout[[#This Row],[List Name for Layout]]="","id",COUNTA($AU$2:ListLayout[[#This Row],[List Name for Layout]])+IF(ISNUMBER(VLOOKUP('Table Seed Map'!$A$27,SeedMap[],9,0)),VLOOKUP('Table Seed Map'!$A$27,SeedMap[],9,0),0))</f>
        <v>2126216</v>
      </c>
      <c r="AW118" s="69">
        <f>IFERROR(VLOOKUP(ListLayout[[#This Row],[List Name for Layout]],ResourceList[[ListDisplayName]:[No]],2,0),"resource_list")</f>
        <v>2123130</v>
      </c>
      <c r="AX118" s="69" t="s">
        <v>1256</v>
      </c>
      <c r="AY118" s="107" t="s">
        <v>852</v>
      </c>
      <c r="AZ118" s="69" t="str">
        <f>IF(ListLayout[[#This Row],[List Name for Layout]]="","relation",IFERROR(VLOOKUP(ListLayout[[#This Row],[Relation]],RelationTable[[Display]:[RELID]],2,0),""))</f>
        <v/>
      </c>
      <c r="BA118" s="69" t="str">
        <f>IF(ListLayout[[#This Row],[List Name for Layout]]="","nest_relation1",IFERROR(VLOOKUP(ListLayout[[#This Row],[Relation 1]],RelationTable[[Display]:[RELID]],2,0),""))</f>
        <v/>
      </c>
      <c r="BB118" s="69" t="str">
        <f>IF(ListLayout[[#This Row],[List Name for Layout]]="","nest_relation2",IFERROR(VLOOKUP(ListLayout[[#This Row],[Relation 2]],RelationTable[[Display]:[RELID]],2,0),""))</f>
        <v/>
      </c>
      <c r="BC118" s="107"/>
      <c r="BD118" s="107"/>
      <c r="BE118" s="107"/>
    </row>
    <row r="119" spans="46:57">
      <c r="AT119" s="69" t="str">
        <f>'Table Seed Map'!$A$27&amp;"-"&amp;COUNTA($AV$1:ListLayout[[#This Row],[No]])-2</f>
        <v>List Layout-117</v>
      </c>
      <c r="AU119" s="62" t="s">
        <v>1869</v>
      </c>
      <c r="AV119" s="69">
        <f>IF(ListLayout[[#This Row],[List Name for Layout]]="","id",COUNTA($AU$2:ListLayout[[#This Row],[List Name for Layout]])+IF(ISNUMBER(VLOOKUP('Table Seed Map'!$A$27,SeedMap[],9,0)),VLOOKUP('Table Seed Map'!$A$27,SeedMap[],9,0),0))</f>
        <v>2126217</v>
      </c>
      <c r="AW119" s="69">
        <f>IFERROR(VLOOKUP(ListLayout[[#This Row],[List Name for Layout]],ResourceList[[ListDisplayName]:[No]],2,0),"resource_list")</f>
        <v>2123130</v>
      </c>
      <c r="AX119" s="69" t="s">
        <v>1471</v>
      </c>
      <c r="AY119" s="107" t="s">
        <v>882</v>
      </c>
      <c r="AZ119" s="69" t="str">
        <f>IF(ListLayout[[#This Row],[List Name for Layout]]="","relation",IFERROR(VLOOKUP(ListLayout[[#This Row],[Relation]],RelationTable[[Display]:[RELID]],2,0),""))</f>
        <v/>
      </c>
      <c r="BA119" s="69" t="str">
        <f>IF(ListLayout[[#This Row],[List Name for Layout]]="","nest_relation1",IFERROR(VLOOKUP(ListLayout[[#This Row],[Relation 1]],RelationTable[[Display]:[RELID]],2,0),""))</f>
        <v/>
      </c>
      <c r="BB119" s="69" t="str">
        <f>IF(ListLayout[[#This Row],[List Name for Layout]]="","nest_relation2",IFERROR(VLOOKUP(ListLayout[[#This Row],[Relation 2]],RelationTable[[Display]:[RELID]],2,0),""))</f>
        <v/>
      </c>
      <c r="BC119" s="107"/>
      <c r="BD119" s="107"/>
      <c r="BE119" s="107"/>
    </row>
    <row r="120" spans="46:57">
      <c r="AT120" s="68" t="str">
        <f>'Table Seed Map'!$A$27&amp;"-"&amp;COUNTA($AV$1:ListLayout[[#This Row],[No]])-2</f>
        <v>List Layout-118</v>
      </c>
      <c r="AU120" s="62" t="s">
        <v>1892</v>
      </c>
      <c r="AV120" s="68">
        <f>IF(ListLayout[[#This Row],[List Name for Layout]]="","id",COUNTA($AU$2:ListLayout[[#This Row],[List Name for Layout]])+IF(ISNUMBER(VLOOKUP('Table Seed Map'!$A$27,SeedMap[],9,0)),VLOOKUP('Table Seed Map'!$A$27,SeedMap[],9,0),0))</f>
        <v>2126218</v>
      </c>
      <c r="AW120" s="68">
        <f>IFERROR(VLOOKUP(ListLayout[[#This Row],[List Name for Layout]],ResourceList[[ListDisplayName]:[No]],2,0),"resource_list")</f>
        <v>2123131</v>
      </c>
      <c r="AX120" s="69" t="s">
        <v>307</v>
      </c>
      <c r="AY120" s="107" t="s">
        <v>21</v>
      </c>
      <c r="AZ120" s="68" t="str">
        <f>IF(ListLayout[[#This Row],[List Name for Layout]]="","relation",IFERROR(VLOOKUP(ListLayout[[#This Row],[Relation]],RelationTable[[Display]:[RELID]],2,0),""))</f>
        <v/>
      </c>
      <c r="BA120" s="68" t="str">
        <f>IF(ListLayout[[#This Row],[List Name for Layout]]="","nest_relation1",IFERROR(VLOOKUP(ListLayout[[#This Row],[Relation 1]],RelationTable[[Display]:[RELID]],2,0),""))</f>
        <v/>
      </c>
      <c r="BB120" s="68" t="str">
        <f>IF(ListLayout[[#This Row],[List Name for Layout]]="","nest_relation2",IFERROR(VLOOKUP(ListLayout[[#This Row],[Relation 2]],RelationTable[[Display]:[RELID]],2,0),""))</f>
        <v/>
      </c>
      <c r="BC120" s="108"/>
      <c r="BD120" s="108"/>
      <c r="BE120" s="108"/>
    </row>
    <row r="121" spans="46:57">
      <c r="AT121" s="68" t="str">
        <f>'Table Seed Map'!$A$27&amp;"-"&amp;COUNTA($AV$1:ListLayout[[#This Row],[No]])-2</f>
        <v>List Layout-119</v>
      </c>
      <c r="AU121" s="62" t="s">
        <v>1892</v>
      </c>
      <c r="AV121" s="68">
        <f>IF(ListLayout[[#This Row],[List Name for Layout]]="","id",COUNTA($AU$2:ListLayout[[#This Row],[List Name for Layout]])+IF(ISNUMBER(VLOOKUP('Table Seed Map'!$A$27,SeedMap[],9,0)),VLOOKUP('Table Seed Map'!$A$27,SeedMap[],9,0),0))</f>
        <v>2126219</v>
      </c>
      <c r="AW121" s="68">
        <f>IFERROR(VLOOKUP(ListLayout[[#This Row],[List Name for Layout]],ResourceList[[ListDisplayName]:[No]],2,0),"resource_list")</f>
        <v>2123131</v>
      </c>
      <c r="AX121" s="69" t="s">
        <v>785</v>
      </c>
      <c r="AY121" s="107" t="s">
        <v>23</v>
      </c>
      <c r="AZ121" s="68">
        <f>IF(ListLayout[[#This Row],[List Name for Layout]]="","relation",IFERROR(VLOOKUP(ListLayout[[#This Row],[Relation]],RelationTable[[Display]:[RELID]],2,0),""))</f>
        <v>2109147</v>
      </c>
      <c r="BA121" s="68" t="str">
        <f>IF(ListLayout[[#This Row],[List Name for Layout]]="","nest_relation1",IFERROR(VLOOKUP(ListLayout[[#This Row],[Relation 1]],RelationTable[[Display]:[RELID]],2,0),""))</f>
        <v/>
      </c>
      <c r="BB121" s="68" t="str">
        <f>IF(ListLayout[[#This Row],[List Name for Layout]]="","nest_relation2",IFERROR(VLOOKUP(ListLayout[[#This Row],[Relation 2]],RelationTable[[Display]:[RELID]],2,0),""))</f>
        <v/>
      </c>
      <c r="BC121" s="107" t="s">
        <v>1472</v>
      </c>
      <c r="BD121" s="108"/>
      <c r="BE121" s="108"/>
    </row>
    <row r="122" spans="46:57">
      <c r="AT122" s="68" t="str">
        <f>'Table Seed Map'!$A$27&amp;"-"&amp;COUNTA($AV$1:ListLayout[[#This Row],[No]])-2</f>
        <v>List Layout-120</v>
      </c>
      <c r="AU122" s="62" t="s">
        <v>1892</v>
      </c>
      <c r="AV122" s="68">
        <f>IF(ListLayout[[#This Row],[List Name for Layout]]="","id",COUNTA($AU$2:ListLayout[[#This Row],[List Name for Layout]])+IF(ISNUMBER(VLOOKUP('Table Seed Map'!$A$27,SeedMap[],9,0)),VLOOKUP('Table Seed Map'!$A$27,SeedMap[],9,0),0))</f>
        <v>2126220</v>
      </c>
      <c r="AW122" s="68">
        <f>IFERROR(VLOOKUP(ListLayout[[#This Row],[List Name for Layout]],ResourceList[[ListDisplayName]:[No]],2,0),"resource_list")</f>
        <v>2123131</v>
      </c>
      <c r="AX122" s="69" t="s">
        <v>1331</v>
      </c>
      <c r="AY122" s="107" t="s">
        <v>827</v>
      </c>
      <c r="AZ122" s="68" t="str">
        <f>IF(ListLayout[[#This Row],[List Name for Layout]]="","relation",IFERROR(VLOOKUP(ListLayout[[#This Row],[Relation]],RelationTable[[Display]:[RELID]],2,0),""))</f>
        <v/>
      </c>
      <c r="BA122" s="68" t="str">
        <f>IF(ListLayout[[#This Row],[List Name for Layout]]="","nest_relation1",IFERROR(VLOOKUP(ListLayout[[#This Row],[Relation 1]],RelationTable[[Display]:[RELID]],2,0),""))</f>
        <v/>
      </c>
      <c r="BB122" s="68" t="str">
        <f>IF(ListLayout[[#This Row],[List Name for Layout]]="","nest_relation2",IFERROR(VLOOKUP(ListLayout[[#This Row],[Relation 2]],RelationTable[[Display]:[RELID]],2,0),""))</f>
        <v/>
      </c>
      <c r="BC122" s="108"/>
      <c r="BD122" s="108"/>
      <c r="BE122" s="108"/>
    </row>
    <row r="123" spans="46:57">
      <c r="AT123" s="69" t="str">
        <f>'Table Seed Map'!$A$27&amp;"-"&amp;COUNTA($AV$1:ListLayout[[#This Row],[No]])-2</f>
        <v>List Layout-121</v>
      </c>
      <c r="AU123" s="62" t="s">
        <v>1892</v>
      </c>
      <c r="AV123" s="69">
        <f>IF(ListLayout[[#This Row],[List Name for Layout]]="","id",COUNTA($AU$2:ListLayout[[#This Row],[List Name for Layout]])+IF(ISNUMBER(VLOOKUP('Table Seed Map'!$A$27,SeedMap[],9,0)),VLOOKUP('Table Seed Map'!$A$27,SeedMap[],9,0),0))</f>
        <v>2126221</v>
      </c>
      <c r="AW123" s="69">
        <f>IFERROR(VLOOKUP(ListLayout[[#This Row],[List Name for Layout]],ResourceList[[ListDisplayName]:[No]],2,0),"resource_list")</f>
        <v>2123131</v>
      </c>
      <c r="AX123" s="69" t="s">
        <v>1471</v>
      </c>
      <c r="AY123" s="107" t="s">
        <v>882</v>
      </c>
      <c r="AZ123" s="69" t="str">
        <f>IF(ListLayout[[#This Row],[List Name for Layout]]="","relation",IFERROR(VLOOKUP(ListLayout[[#This Row],[Relation]],RelationTable[[Display]:[RELID]],2,0),""))</f>
        <v/>
      </c>
      <c r="BA123" s="69" t="str">
        <f>IF(ListLayout[[#This Row],[List Name for Layout]]="","nest_relation1",IFERROR(VLOOKUP(ListLayout[[#This Row],[Relation 1]],RelationTable[[Display]:[RELID]],2,0),""))</f>
        <v/>
      </c>
      <c r="BB123" s="69" t="str">
        <f>IF(ListLayout[[#This Row],[List Name for Layout]]="","nest_relation2",IFERROR(VLOOKUP(ListLayout[[#This Row],[Relation 2]],RelationTable[[Display]:[RELID]],2,0),""))</f>
        <v/>
      </c>
      <c r="BC123" s="107"/>
      <c r="BD123" s="107"/>
      <c r="BE123" s="107"/>
    </row>
    <row r="124" spans="46:57">
      <c r="AT124" s="68" t="str">
        <f>'Table Seed Map'!$A$27&amp;"-"&amp;COUNTA($AV$1:ListLayout[[#This Row],[No]])-2</f>
        <v>List Layout-122</v>
      </c>
      <c r="AU124" s="62" t="s">
        <v>1900</v>
      </c>
      <c r="AV124" s="68">
        <f>IF(ListLayout[[#This Row],[List Name for Layout]]="","id",COUNTA($AU$2:ListLayout[[#This Row],[List Name for Layout]])+IF(ISNUMBER(VLOOKUP('Table Seed Map'!$A$27,SeedMap[],9,0)),VLOOKUP('Table Seed Map'!$A$27,SeedMap[],9,0),0))</f>
        <v>2126222</v>
      </c>
      <c r="AW124" s="68">
        <f>IFERROR(VLOOKUP(ListLayout[[#This Row],[List Name for Layout]],ResourceList[[ListDisplayName]:[No]],2,0),"resource_list")</f>
        <v>2123132</v>
      </c>
      <c r="AX124" s="69" t="s">
        <v>1643</v>
      </c>
      <c r="AY124" s="107" t="s">
        <v>23</v>
      </c>
      <c r="AZ124" s="68">
        <f>IF(ListLayout[[#This Row],[List Name for Layout]]="","relation",IFERROR(VLOOKUP(ListLayout[[#This Row],[Relation]],RelationTable[[Display]:[RELID]],2,0),""))</f>
        <v>2109158</v>
      </c>
      <c r="BA124" s="68" t="str">
        <f>IF(ListLayout[[#This Row],[List Name for Layout]]="","nest_relation1",IFERROR(VLOOKUP(ListLayout[[#This Row],[Relation 1]],RelationTable[[Display]:[RELID]],2,0),""))</f>
        <v/>
      </c>
      <c r="BB124" s="68" t="str">
        <f>IF(ListLayout[[#This Row],[List Name for Layout]]="","nest_relation2",IFERROR(VLOOKUP(ListLayout[[#This Row],[Relation 2]],RelationTable[[Display]:[RELID]],2,0),""))</f>
        <v/>
      </c>
      <c r="BC124" s="107" t="s">
        <v>1642</v>
      </c>
      <c r="BD124" s="108"/>
      <c r="BE124" s="108"/>
    </row>
    <row r="125" spans="46:57">
      <c r="AT125" s="68" t="str">
        <f>'Table Seed Map'!$A$27&amp;"-"&amp;COUNTA($AV$1:ListLayout[[#This Row],[No]])-2</f>
        <v>List Layout-123</v>
      </c>
      <c r="AU125" s="62" t="s">
        <v>1900</v>
      </c>
      <c r="AV125" s="68">
        <f>IF(ListLayout[[#This Row],[List Name for Layout]]="","id",COUNTA($AU$2:ListLayout[[#This Row],[List Name for Layout]])+IF(ISNUMBER(VLOOKUP('Table Seed Map'!$A$27,SeedMap[],9,0)),VLOOKUP('Table Seed Map'!$A$27,SeedMap[],9,0),0))</f>
        <v>2126223</v>
      </c>
      <c r="AW125" s="68">
        <f>IFERROR(VLOOKUP(ListLayout[[#This Row],[List Name for Layout]],ResourceList[[ListDisplayName]:[No]],2,0),"resource_list")</f>
        <v>2123132</v>
      </c>
      <c r="AX125" s="69" t="s">
        <v>778</v>
      </c>
      <c r="AY125" s="107" t="s">
        <v>23</v>
      </c>
      <c r="AZ125" s="68">
        <f>IF(ListLayout[[#This Row],[List Name for Layout]]="","relation",IFERROR(VLOOKUP(ListLayout[[#This Row],[Relation]],RelationTable[[Display]:[RELID]],2,0),""))</f>
        <v>2109159</v>
      </c>
      <c r="BA125" s="68" t="str">
        <f>IF(ListLayout[[#This Row],[List Name for Layout]]="","nest_relation1",IFERROR(VLOOKUP(ListLayout[[#This Row],[Relation 1]],RelationTable[[Display]:[RELID]],2,0),""))</f>
        <v/>
      </c>
      <c r="BB125" s="68" t="str">
        <f>IF(ListLayout[[#This Row],[List Name for Layout]]="","nest_relation2",IFERROR(VLOOKUP(ListLayout[[#This Row],[Relation 2]],RelationTable[[Display]:[RELID]],2,0),""))</f>
        <v/>
      </c>
      <c r="BC125" s="107" t="s">
        <v>1644</v>
      </c>
      <c r="BD125" s="108"/>
      <c r="BE125" s="108"/>
    </row>
    <row r="126" spans="46:57">
      <c r="AT126" s="68" t="str">
        <f>'Table Seed Map'!$A$27&amp;"-"&amp;COUNTA($AV$1:ListLayout[[#This Row],[No]])-2</f>
        <v>List Layout-124</v>
      </c>
      <c r="AU126" s="62" t="s">
        <v>1900</v>
      </c>
      <c r="AV126" s="68">
        <f>IF(ListLayout[[#This Row],[List Name for Layout]]="","id",COUNTA($AU$2:ListLayout[[#This Row],[List Name for Layout]])+IF(ISNUMBER(VLOOKUP('Table Seed Map'!$A$27,SeedMap[],9,0)),VLOOKUP('Table Seed Map'!$A$27,SeedMap[],9,0),0))</f>
        <v>2126224</v>
      </c>
      <c r="AW126" s="68">
        <f>IFERROR(VLOOKUP(ListLayout[[#This Row],[List Name for Layout]],ResourceList[[ListDisplayName]:[No]],2,0),"resource_list")</f>
        <v>2123132</v>
      </c>
      <c r="AX126" s="69" t="s">
        <v>1090</v>
      </c>
      <c r="AY126" s="107" t="s">
        <v>23</v>
      </c>
      <c r="AZ126" s="68">
        <f>IF(ListLayout[[#This Row],[List Name for Layout]]="","relation",IFERROR(VLOOKUP(ListLayout[[#This Row],[Relation]],RelationTable[[Display]:[RELID]],2,0),""))</f>
        <v>2109189</v>
      </c>
      <c r="BA126" s="68" t="str">
        <f>IF(ListLayout[[#This Row],[List Name for Layout]]="","nest_relation1",IFERROR(VLOOKUP(ListLayout[[#This Row],[Relation 1]],RelationTable[[Display]:[RELID]],2,0),""))</f>
        <v/>
      </c>
      <c r="BB126" s="68" t="str">
        <f>IF(ListLayout[[#This Row],[List Name for Layout]]="","nest_relation2",IFERROR(VLOOKUP(ListLayout[[#This Row],[Relation 2]],RelationTable[[Display]:[RELID]],2,0),""))</f>
        <v/>
      </c>
      <c r="BC126" s="107" t="s">
        <v>1645</v>
      </c>
      <c r="BD126" s="108"/>
      <c r="BE126" s="108"/>
    </row>
    <row r="127" spans="46:57">
      <c r="AT127" s="69" t="str">
        <f>'Table Seed Map'!$A$27&amp;"-"&amp;COUNTA($AV$1:ListLayout[[#This Row],[No]])-2</f>
        <v>List Layout-125</v>
      </c>
      <c r="AU127" s="62" t="s">
        <v>1900</v>
      </c>
      <c r="AV127" s="69">
        <f>IF(ListLayout[[#This Row],[List Name for Layout]]="","id",COUNTA($AU$2:ListLayout[[#This Row],[List Name for Layout]])+IF(ISNUMBER(VLOOKUP('Table Seed Map'!$A$27,SeedMap[],9,0)),VLOOKUP('Table Seed Map'!$A$27,SeedMap[],9,0),0))</f>
        <v>2126225</v>
      </c>
      <c r="AW127" s="69">
        <f>IFERROR(VLOOKUP(ListLayout[[#This Row],[List Name for Layout]],ResourceList[[ListDisplayName]:[No]],2,0),"resource_list")</f>
        <v>2123132</v>
      </c>
      <c r="AX127" s="69" t="s">
        <v>1471</v>
      </c>
      <c r="AY127" s="107" t="s">
        <v>882</v>
      </c>
      <c r="AZ127" s="69" t="str">
        <f>IF(ListLayout[[#This Row],[List Name for Layout]]="","relation",IFERROR(VLOOKUP(ListLayout[[#This Row],[Relation]],RelationTable[[Display]:[RELID]],2,0),""))</f>
        <v/>
      </c>
      <c r="BA127" s="69" t="str">
        <f>IF(ListLayout[[#This Row],[List Name for Layout]]="","nest_relation1",IFERROR(VLOOKUP(ListLayout[[#This Row],[Relation 1]],RelationTable[[Display]:[RELID]],2,0),""))</f>
        <v/>
      </c>
      <c r="BB127" s="69" t="str">
        <f>IF(ListLayout[[#This Row],[List Name for Layout]]="","nest_relation2",IFERROR(VLOOKUP(ListLayout[[#This Row],[Relation 2]],RelationTable[[Display]:[RELID]],2,0),""))</f>
        <v/>
      </c>
      <c r="BC127" s="107"/>
      <c r="BD127" s="107"/>
      <c r="BE127" s="107"/>
    </row>
    <row r="128" spans="46:57">
      <c r="AT128" s="69" t="str">
        <f>'Table Seed Map'!$A$27&amp;"-"&amp;COUNTA($AV$1:ListLayout[[#This Row],[No]])-2</f>
        <v>List Layout-126</v>
      </c>
      <c r="AU128" s="62" t="s">
        <v>1911</v>
      </c>
      <c r="AV128" s="69">
        <f>IF(ListLayout[[#This Row],[List Name for Layout]]="","id",COUNTA($AU$2:ListLayout[[#This Row],[List Name for Layout]])+IF(ISNUMBER(VLOOKUP('Table Seed Map'!$A$27,SeedMap[],9,0)),VLOOKUP('Table Seed Map'!$A$27,SeedMap[],9,0),0))</f>
        <v>2126226</v>
      </c>
      <c r="AW128" s="69">
        <f>IFERROR(VLOOKUP(ListLayout[[#This Row],[List Name for Layout]],ResourceList[[ListDisplayName]:[No]],2,0),"resource_list")</f>
        <v>2123133</v>
      </c>
      <c r="AX128" s="69" t="s">
        <v>1</v>
      </c>
      <c r="AY128" s="107" t="s">
        <v>23</v>
      </c>
      <c r="AZ128" s="69" t="str">
        <f>IF(ListLayout[[#This Row],[List Name for Layout]]="","relation",IFERROR(VLOOKUP(ListLayout[[#This Row],[Relation]],RelationTable[[Display]:[RELID]],2,0),""))</f>
        <v/>
      </c>
      <c r="BA128" s="69" t="str">
        <f>IF(ListLayout[[#This Row],[List Name for Layout]]="","nest_relation1",IFERROR(VLOOKUP(ListLayout[[#This Row],[Relation 1]],RelationTable[[Display]:[RELID]],2,0),""))</f>
        <v/>
      </c>
      <c r="BB128" s="69" t="str">
        <f>IF(ListLayout[[#This Row],[List Name for Layout]]="","nest_relation2",IFERROR(VLOOKUP(ListLayout[[#This Row],[Relation 2]],RelationTable[[Display]:[RELID]],2,0),""))</f>
        <v/>
      </c>
      <c r="BC128" s="107"/>
      <c r="BD128" s="107"/>
      <c r="BE128" s="107"/>
    </row>
    <row r="129" spans="46:57">
      <c r="AT129" s="69" t="str">
        <f>'Table Seed Map'!$A$27&amp;"-"&amp;COUNTA($AV$1:ListLayout[[#This Row],[No]])-2</f>
        <v>List Layout-127</v>
      </c>
      <c r="AU129" s="62" t="s">
        <v>1911</v>
      </c>
      <c r="AV129" s="69">
        <f>IF(ListLayout[[#This Row],[List Name for Layout]]="","id",COUNTA($AU$2:ListLayout[[#This Row],[List Name for Layout]])+IF(ISNUMBER(VLOOKUP('Table Seed Map'!$A$27,SeedMap[],9,0)),VLOOKUP('Table Seed Map'!$A$27,SeedMap[],9,0),0))</f>
        <v>2126227</v>
      </c>
      <c r="AW129" s="69">
        <f>IFERROR(VLOOKUP(ListLayout[[#This Row],[List Name for Layout]],ResourceList[[ListDisplayName]:[No]],2,0),"resource_list")</f>
        <v>2123133</v>
      </c>
      <c r="AX129" s="69" t="s">
        <v>974</v>
      </c>
      <c r="AY129" s="107" t="s">
        <v>1665</v>
      </c>
      <c r="AZ129" s="69" t="str">
        <f>IF(ListLayout[[#This Row],[List Name for Layout]]="","relation",IFERROR(VLOOKUP(ListLayout[[#This Row],[Relation]],RelationTable[[Display]:[RELID]],2,0),""))</f>
        <v/>
      </c>
      <c r="BA129" s="69" t="str">
        <f>IF(ListLayout[[#This Row],[List Name for Layout]]="","nest_relation1",IFERROR(VLOOKUP(ListLayout[[#This Row],[Relation 1]],RelationTable[[Display]:[RELID]],2,0),""))</f>
        <v/>
      </c>
      <c r="BB129" s="69" t="str">
        <f>IF(ListLayout[[#This Row],[List Name for Layout]]="","nest_relation2",IFERROR(VLOOKUP(ListLayout[[#This Row],[Relation 2]],RelationTable[[Display]:[RELID]],2,0),""))</f>
        <v/>
      </c>
      <c r="BC129" s="107"/>
      <c r="BD129" s="107"/>
      <c r="BE129" s="107"/>
    </row>
    <row r="130" spans="46:57">
      <c r="AT130" s="69" t="str">
        <f>'Table Seed Map'!$A$27&amp;"-"&amp;COUNTA($AV$1:ListLayout[[#This Row],[No]])-2</f>
        <v>List Layout-128</v>
      </c>
      <c r="AU130" s="62" t="s">
        <v>1911</v>
      </c>
      <c r="AV130" s="69">
        <f>IF(ListLayout[[#This Row],[List Name for Layout]]="","id",COUNTA($AU$2:ListLayout[[#This Row],[List Name for Layout]])+IF(ISNUMBER(VLOOKUP('Table Seed Map'!$A$27,SeedMap[],9,0)),VLOOKUP('Table Seed Map'!$A$27,SeedMap[],9,0),0))</f>
        <v>2126228</v>
      </c>
      <c r="AW130" s="69">
        <f>IFERROR(VLOOKUP(ListLayout[[#This Row],[List Name for Layout]],ResourceList[[ListDisplayName]:[No]],2,0),"resource_list")</f>
        <v>2123133</v>
      </c>
      <c r="AX130" s="69" t="s">
        <v>1913</v>
      </c>
      <c r="AY130" s="107" t="s">
        <v>863</v>
      </c>
      <c r="AZ130" s="69" t="str">
        <f>IF(ListLayout[[#This Row],[List Name for Layout]]="","relation",IFERROR(VLOOKUP(ListLayout[[#This Row],[Relation]],RelationTable[[Display]:[RELID]],2,0),""))</f>
        <v/>
      </c>
      <c r="BA130" s="69" t="str">
        <f>IF(ListLayout[[#This Row],[List Name for Layout]]="","nest_relation1",IFERROR(VLOOKUP(ListLayout[[#This Row],[Relation 1]],RelationTable[[Display]:[RELID]],2,0),""))</f>
        <v/>
      </c>
      <c r="BB130" s="69" t="str">
        <f>IF(ListLayout[[#This Row],[List Name for Layout]]="","nest_relation2",IFERROR(VLOOKUP(ListLayout[[#This Row],[Relation 2]],RelationTable[[Display]:[RELID]],2,0),""))</f>
        <v/>
      </c>
      <c r="BC130" s="107"/>
      <c r="BD130" s="107"/>
      <c r="BE130" s="107"/>
    </row>
    <row r="131" spans="46:57">
      <c r="AT131" s="69" t="str">
        <f>'Table Seed Map'!$A$27&amp;"-"&amp;COUNTA($AV$1:ListLayout[[#This Row],[No]])-2</f>
        <v>List Layout-129</v>
      </c>
      <c r="AU131" s="62" t="s">
        <v>1911</v>
      </c>
      <c r="AV131" s="69">
        <f>IF(ListLayout[[#This Row],[List Name for Layout]]="","id",COUNTA($AU$2:ListLayout[[#This Row],[List Name for Layout]])+IF(ISNUMBER(VLOOKUP('Table Seed Map'!$A$27,SeedMap[],9,0)),VLOOKUP('Table Seed Map'!$A$27,SeedMap[],9,0),0))</f>
        <v>2126229</v>
      </c>
      <c r="AW131" s="69">
        <f>IFERROR(VLOOKUP(ListLayout[[#This Row],[List Name for Layout]],ResourceList[[ListDisplayName]:[No]],2,0),"resource_list")</f>
        <v>2123133</v>
      </c>
      <c r="AX131" s="69" t="s">
        <v>1914</v>
      </c>
      <c r="AY131" s="107" t="s">
        <v>865</v>
      </c>
      <c r="AZ131" s="69" t="str">
        <f>IF(ListLayout[[#This Row],[List Name for Layout]]="","relation",IFERROR(VLOOKUP(ListLayout[[#This Row],[Relation]],RelationTable[[Display]:[RELID]],2,0),""))</f>
        <v/>
      </c>
      <c r="BA131" s="69" t="str">
        <f>IF(ListLayout[[#This Row],[List Name for Layout]]="","nest_relation1",IFERROR(VLOOKUP(ListLayout[[#This Row],[Relation 1]],RelationTable[[Display]:[RELID]],2,0),""))</f>
        <v/>
      </c>
      <c r="BB131" s="69" t="str">
        <f>IF(ListLayout[[#This Row],[List Name for Layout]]="","nest_relation2",IFERROR(VLOOKUP(ListLayout[[#This Row],[Relation 2]],RelationTable[[Display]:[RELID]],2,0),""))</f>
        <v/>
      </c>
      <c r="BC131" s="107"/>
      <c r="BD131" s="107"/>
      <c r="BE131" s="107"/>
    </row>
    <row r="132" spans="46:57">
      <c r="AT132" s="69" t="str">
        <f>'Table Seed Map'!$A$27&amp;"-"&amp;COUNTA($AV$1:ListLayout[[#This Row],[No]])-2</f>
        <v>List Layout-130</v>
      </c>
      <c r="AU132" s="62" t="s">
        <v>1911</v>
      </c>
      <c r="AV132" s="69">
        <f>IF(ListLayout[[#This Row],[List Name for Layout]]="","id",COUNTA($AU$2:ListLayout[[#This Row],[List Name for Layout]])+IF(ISNUMBER(VLOOKUP('Table Seed Map'!$A$27,SeedMap[],9,0)),VLOOKUP('Table Seed Map'!$A$27,SeedMap[],9,0),0))</f>
        <v>2126230</v>
      </c>
      <c r="AW132" s="69">
        <f>IFERROR(VLOOKUP(ListLayout[[#This Row],[List Name for Layout]],ResourceList[[ListDisplayName]:[No]],2,0),"resource_list")</f>
        <v>2123133</v>
      </c>
      <c r="AX132" s="69" t="s">
        <v>1915</v>
      </c>
      <c r="AY132" s="107" t="s">
        <v>868</v>
      </c>
      <c r="AZ132" s="69" t="str">
        <f>IF(ListLayout[[#This Row],[List Name for Layout]]="","relation",IFERROR(VLOOKUP(ListLayout[[#This Row],[Relation]],RelationTable[[Display]:[RELID]],2,0),""))</f>
        <v/>
      </c>
      <c r="BA132" s="69" t="str">
        <f>IF(ListLayout[[#This Row],[List Name for Layout]]="","nest_relation1",IFERROR(VLOOKUP(ListLayout[[#This Row],[Relation 1]],RelationTable[[Display]:[RELID]],2,0),""))</f>
        <v/>
      </c>
      <c r="BB132" s="69" t="str">
        <f>IF(ListLayout[[#This Row],[List Name for Layout]]="","nest_relation2",IFERROR(VLOOKUP(ListLayout[[#This Row],[Relation 2]],RelationTable[[Display]:[RELID]],2,0),""))</f>
        <v/>
      </c>
      <c r="BC132" s="107"/>
      <c r="BD132" s="107"/>
      <c r="BE132" s="107"/>
    </row>
    <row r="133" spans="46:57">
      <c r="AT133" s="69" t="str">
        <f>'Table Seed Map'!$A$27&amp;"-"&amp;COUNTA($AV$1:ListLayout[[#This Row],[No]])-2</f>
        <v>List Layout-131</v>
      </c>
      <c r="AU133" s="62" t="s">
        <v>1911</v>
      </c>
      <c r="AV133" s="69">
        <f>IF(ListLayout[[#This Row],[List Name for Layout]]="","id",COUNTA($AU$2:ListLayout[[#This Row],[List Name for Layout]])+IF(ISNUMBER(VLOOKUP('Table Seed Map'!$A$27,SeedMap[],9,0)),VLOOKUP('Table Seed Map'!$A$27,SeedMap[],9,0),0))</f>
        <v>2126231</v>
      </c>
      <c r="AW133" s="69">
        <f>IFERROR(VLOOKUP(ListLayout[[#This Row],[List Name for Layout]],ResourceList[[ListDisplayName]:[No]],2,0),"resource_list")</f>
        <v>2123133</v>
      </c>
      <c r="AX133" s="69" t="s">
        <v>1662</v>
      </c>
      <c r="AY133" s="107" t="s">
        <v>869</v>
      </c>
      <c r="AZ133" s="69" t="str">
        <f>IF(ListLayout[[#This Row],[List Name for Layout]]="","relation",IFERROR(VLOOKUP(ListLayout[[#This Row],[Relation]],RelationTable[[Display]:[RELID]],2,0),""))</f>
        <v/>
      </c>
      <c r="BA133" s="69" t="str">
        <f>IF(ListLayout[[#This Row],[List Name for Layout]]="","nest_relation1",IFERROR(VLOOKUP(ListLayout[[#This Row],[Relation 1]],RelationTable[[Display]:[RELID]],2,0),""))</f>
        <v/>
      </c>
      <c r="BB133" s="69" t="str">
        <f>IF(ListLayout[[#This Row],[List Name for Layout]]="","nest_relation2",IFERROR(VLOOKUP(ListLayout[[#This Row],[Relation 2]],RelationTable[[Display]:[RELID]],2,0),""))</f>
        <v/>
      </c>
      <c r="BC133" s="107"/>
      <c r="BD133" s="107"/>
      <c r="BE133" s="107"/>
    </row>
    <row r="134" spans="46:57">
      <c r="AT134" s="69" t="str">
        <f>'Table Seed Map'!$A$27&amp;"-"&amp;COUNTA($AV$1:ListLayout[[#This Row],[No]])-2</f>
        <v>List Layout-132</v>
      </c>
      <c r="AU134" s="62" t="s">
        <v>1920</v>
      </c>
      <c r="AV134" s="69">
        <f>IF(ListLayout[[#This Row],[List Name for Layout]]="","id",COUNTA($AU$2:ListLayout[[#This Row],[List Name for Layout]])+IF(ISNUMBER(VLOOKUP('Table Seed Map'!$A$27,SeedMap[],9,0)),VLOOKUP('Table Seed Map'!$A$27,SeedMap[],9,0),0))</f>
        <v>2126232</v>
      </c>
      <c r="AW134" s="69">
        <f>IFERROR(VLOOKUP(ListLayout[[#This Row],[List Name for Layout]],ResourceList[[ListDisplayName]:[No]],2,0),"resource_list")</f>
        <v>2123134</v>
      </c>
      <c r="AX134" s="69" t="s">
        <v>1</v>
      </c>
      <c r="AY134" s="107" t="s">
        <v>23</v>
      </c>
      <c r="AZ134" s="69" t="str">
        <f>IF(ListLayout[[#This Row],[List Name for Layout]]="","relation",IFERROR(VLOOKUP(ListLayout[[#This Row],[Relation]],RelationTable[[Display]:[RELID]],2,0),""))</f>
        <v/>
      </c>
      <c r="BA134" s="69" t="str">
        <f>IF(ListLayout[[#This Row],[List Name for Layout]]="","nest_relation1",IFERROR(VLOOKUP(ListLayout[[#This Row],[Relation 1]],RelationTable[[Display]:[RELID]],2,0),""))</f>
        <v/>
      </c>
      <c r="BB134" s="69" t="str">
        <f>IF(ListLayout[[#This Row],[List Name for Layout]]="","nest_relation2",IFERROR(VLOOKUP(ListLayout[[#This Row],[Relation 2]],RelationTable[[Display]:[RELID]],2,0),""))</f>
        <v/>
      </c>
      <c r="BC134" s="107"/>
      <c r="BD134" s="107"/>
      <c r="BE134" s="107"/>
    </row>
    <row r="135" spans="46:57">
      <c r="AT135" s="69" t="str">
        <f>'Table Seed Map'!$A$27&amp;"-"&amp;COUNTA($AV$1:ListLayout[[#This Row],[No]])-2</f>
        <v>List Layout-133</v>
      </c>
      <c r="AU135" s="62" t="s">
        <v>1920</v>
      </c>
      <c r="AV135" s="69">
        <f>IF(ListLayout[[#This Row],[List Name for Layout]]="","id",COUNTA($AU$2:ListLayout[[#This Row],[List Name for Layout]])+IF(ISNUMBER(VLOOKUP('Table Seed Map'!$A$27,SeedMap[],9,0)),VLOOKUP('Table Seed Map'!$A$27,SeedMap[],9,0),0))</f>
        <v>2126233</v>
      </c>
      <c r="AW135" s="69">
        <f>IFERROR(VLOOKUP(ListLayout[[#This Row],[List Name for Layout]],ResourceList[[ListDisplayName]:[No]],2,0),"resource_list")</f>
        <v>2123134</v>
      </c>
      <c r="AX135" s="69" t="s">
        <v>1922</v>
      </c>
      <c r="AY135" s="107" t="s">
        <v>858</v>
      </c>
      <c r="AZ135" s="69" t="str">
        <f>IF(ListLayout[[#This Row],[List Name for Layout]]="","relation",IFERROR(VLOOKUP(ListLayout[[#This Row],[Relation]],RelationTable[[Display]:[RELID]],2,0),""))</f>
        <v/>
      </c>
      <c r="BA135" s="69" t="str">
        <f>IF(ListLayout[[#This Row],[List Name for Layout]]="","nest_relation1",IFERROR(VLOOKUP(ListLayout[[#This Row],[Relation 1]],RelationTable[[Display]:[RELID]],2,0),""))</f>
        <v/>
      </c>
      <c r="BB135" s="69" t="str">
        <f>IF(ListLayout[[#This Row],[List Name for Layout]]="","nest_relation2",IFERROR(VLOOKUP(ListLayout[[#This Row],[Relation 2]],RelationTable[[Display]:[RELID]],2,0),""))</f>
        <v/>
      </c>
      <c r="BC135" s="107"/>
      <c r="BD135" s="107"/>
      <c r="BE135" s="107"/>
    </row>
    <row r="136" spans="46:57">
      <c r="AT136" s="69" t="str">
        <f>'Table Seed Map'!$A$27&amp;"-"&amp;COUNTA($AV$1:ListLayout[[#This Row],[No]])-2</f>
        <v>List Layout-134</v>
      </c>
      <c r="AU136" s="62" t="s">
        <v>1920</v>
      </c>
      <c r="AV136" s="69">
        <f>IF(ListLayout[[#This Row],[List Name for Layout]]="","id",COUNTA($AU$2:ListLayout[[#This Row],[List Name for Layout]])+IF(ISNUMBER(VLOOKUP('Table Seed Map'!$A$27,SeedMap[],9,0)),VLOOKUP('Table Seed Map'!$A$27,SeedMap[],9,0),0))</f>
        <v>2126234</v>
      </c>
      <c r="AW136" s="69">
        <f>IFERROR(VLOOKUP(ListLayout[[#This Row],[List Name for Layout]],ResourceList[[ListDisplayName]:[No]],2,0),"resource_list")</f>
        <v>2123134</v>
      </c>
      <c r="AX136" s="69" t="s">
        <v>1923</v>
      </c>
      <c r="AY136" s="107" t="s">
        <v>863</v>
      </c>
      <c r="AZ136" s="69" t="str">
        <f>IF(ListLayout[[#This Row],[List Name for Layout]]="","relation",IFERROR(VLOOKUP(ListLayout[[#This Row],[Relation]],RelationTable[[Display]:[RELID]],2,0),""))</f>
        <v/>
      </c>
      <c r="BA136" s="69" t="str">
        <f>IF(ListLayout[[#This Row],[List Name for Layout]]="","nest_relation1",IFERROR(VLOOKUP(ListLayout[[#This Row],[Relation 1]],RelationTable[[Display]:[RELID]],2,0),""))</f>
        <v/>
      </c>
      <c r="BB136" s="69" t="str">
        <f>IF(ListLayout[[#This Row],[List Name for Layout]]="","nest_relation2",IFERROR(VLOOKUP(ListLayout[[#This Row],[Relation 2]],RelationTable[[Display]:[RELID]],2,0),""))</f>
        <v/>
      </c>
      <c r="BC136" s="107"/>
      <c r="BD136" s="107"/>
      <c r="BE136" s="107"/>
    </row>
    <row r="137" spans="46:57">
      <c r="AT137" s="69" t="str">
        <f>'Table Seed Map'!$A$27&amp;"-"&amp;COUNTA($AV$1:ListLayout[[#This Row],[No]])-2</f>
        <v>List Layout-135</v>
      </c>
      <c r="AU137" s="62" t="s">
        <v>1920</v>
      </c>
      <c r="AV137" s="69">
        <f>IF(ListLayout[[#This Row],[List Name for Layout]]="","id",COUNTA($AU$2:ListLayout[[#This Row],[List Name for Layout]])+IF(ISNUMBER(VLOOKUP('Table Seed Map'!$A$27,SeedMap[],9,0)),VLOOKUP('Table Seed Map'!$A$27,SeedMap[],9,0),0))</f>
        <v>2126235</v>
      </c>
      <c r="AW137" s="69">
        <f>IFERROR(VLOOKUP(ListLayout[[#This Row],[List Name for Layout]],ResourceList[[ListDisplayName]:[No]],2,0),"resource_list")</f>
        <v>2123134</v>
      </c>
      <c r="AX137" s="69" t="s">
        <v>1924</v>
      </c>
      <c r="AY137" s="107" t="s">
        <v>865</v>
      </c>
      <c r="AZ137" s="69" t="str">
        <f>IF(ListLayout[[#This Row],[List Name for Layout]]="","relation",IFERROR(VLOOKUP(ListLayout[[#This Row],[Relation]],RelationTable[[Display]:[RELID]],2,0),""))</f>
        <v/>
      </c>
      <c r="BA137" s="69" t="str">
        <f>IF(ListLayout[[#This Row],[List Name for Layout]]="","nest_relation1",IFERROR(VLOOKUP(ListLayout[[#This Row],[Relation 1]],RelationTable[[Display]:[RELID]],2,0),""))</f>
        <v/>
      </c>
      <c r="BB137" s="69" t="str">
        <f>IF(ListLayout[[#This Row],[List Name for Layout]]="","nest_relation2",IFERROR(VLOOKUP(ListLayout[[#This Row],[Relation 2]],RelationTable[[Display]:[RELID]],2,0),""))</f>
        <v/>
      </c>
      <c r="BC137" s="107"/>
      <c r="BD137" s="107"/>
      <c r="BE137" s="107"/>
    </row>
    <row r="138" spans="46:57">
      <c r="AT138" s="68" t="str">
        <f>'Table Seed Map'!$A$27&amp;"-"&amp;COUNTA($AV$1:ListLayout[[#This Row],[No]])-2</f>
        <v>List Layout-136</v>
      </c>
      <c r="AU138" s="62" t="s">
        <v>1920</v>
      </c>
      <c r="AV138" s="68">
        <f>IF(ListLayout[[#This Row],[List Name for Layout]]="","id",COUNTA($AU$2:ListLayout[[#This Row],[List Name for Layout]])+IF(ISNUMBER(VLOOKUP('Table Seed Map'!$A$27,SeedMap[],9,0)),VLOOKUP('Table Seed Map'!$A$27,SeedMap[],9,0),0))</f>
        <v>2126236</v>
      </c>
      <c r="AW138" s="68">
        <f>IFERROR(VLOOKUP(ListLayout[[#This Row],[List Name for Layout]],ResourceList[[ListDisplayName]:[No]],2,0),"resource_list")</f>
        <v>2123134</v>
      </c>
      <c r="AX138" s="69" t="s">
        <v>1915</v>
      </c>
      <c r="AY138" s="107" t="s">
        <v>868</v>
      </c>
      <c r="AZ138" s="68" t="str">
        <f>IF(ListLayout[[#This Row],[List Name for Layout]]="","relation",IFERROR(VLOOKUP(ListLayout[[#This Row],[Relation]],RelationTable[[Display]:[RELID]],2,0),""))</f>
        <v/>
      </c>
      <c r="BA138" s="68" t="str">
        <f>IF(ListLayout[[#This Row],[List Name for Layout]]="","nest_relation1",IFERROR(VLOOKUP(ListLayout[[#This Row],[Relation 1]],RelationTable[[Display]:[RELID]],2,0),""))</f>
        <v/>
      </c>
      <c r="BB138" s="68" t="str">
        <f>IF(ListLayout[[#This Row],[List Name for Layout]]="","nest_relation2",IFERROR(VLOOKUP(ListLayout[[#This Row],[Relation 2]],RelationTable[[Display]:[RELID]],2,0),""))</f>
        <v/>
      </c>
      <c r="BC138" s="108"/>
      <c r="BD138" s="108"/>
      <c r="BE138" s="108"/>
    </row>
    <row r="139" spans="46:57">
      <c r="AT139" s="69" t="str">
        <f>'Table Seed Map'!$A$27&amp;"-"&amp;COUNTA($AV$1:ListLayout[[#This Row],[No]])-2</f>
        <v>List Layout-137</v>
      </c>
      <c r="AU139" s="62" t="s">
        <v>1920</v>
      </c>
      <c r="AV139" s="69">
        <f>IF(ListLayout[[#This Row],[List Name for Layout]]="","id",COUNTA($AU$2:ListLayout[[#This Row],[List Name for Layout]])+IF(ISNUMBER(VLOOKUP('Table Seed Map'!$A$27,SeedMap[],9,0)),VLOOKUP('Table Seed Map'!$A$27,SeedMap[],9,0),0))</f>
        <v>2126237</v>
      </c>
      <c r="AW139" s="69">
        <f>IFERROR(VLOOKUP(ListLayout[[#This Row],[List Name for Layout]],ResourceList[[ListDisplayName]:[No]],2,0),"resource_list")</f>
        <v>2123134</v>
      </c>
      <c r="AX139" s="69" t="s">
        <v>1662</v>
      </c>
      <c r="AY139" s="107" t="s">
        <v>869</v>
      </c>
      <c r="AZ139" s="69" t="str">
        <f>IF(ListLayout[[#This Row],[List Name for Layout]]="","relation",IFERROR(VLOOKUP(ListLayout[[#This Row],[Relation]],RelationTable[[Display]:[RELID]],2,0),""))</f>
        <v/>
      </c>
      <c r="BA139" s="69" t="str">
        <f>IF(ListLayout[[#This Row],[List Name for Layout]]="","nest_relation1",IFERROR(VLOOKUP(ListLayout[[#This Row],[Relation 1]],RelationTable[[Display]:[RELID]],2,0),""))</f>
        <v/>
      </c>
      <c r="BB139" s="69" t="str">
        <f>IF(ListLayout[[#This Row],[List Name for Layout]]="","nest_relation2",IFERROR(VLOOKUP(ListLayout[[#This Row],[Relation 2]],RelationTable[[Display]:[RELID]],2,0),""))</f>
        <v/>
      </c>
      <c r="BC139" s="107"/>
      <c r="BD139" s="107"/>
      <c r="BE139" s="107"/>
    </row>
    <row r="140" spans="46:57">
      <c r="AT140" s="69" t="str">
        <f>'Table Seed Map'!$A$27&amp;"-"&amp;COUNTA($AV$1:ListLayout[[#This Row],[No]])-2</f>
        <v>List Layout-138</v>
      </c>
      <c r="AU140" s="2" t="s">
        <v>1962</v>
      </c>
      <c r="AV140" s="69">
        <f>IF(ListLayout[[#This Row],[List Name for Layout]]="","id",COUNTA($AU$2:ListLayout[[#This Row],[List Name for Layout]])+IF(ISNUMBER(VLOOKUP('Table Seed Map'!$A$27,SeedMap[],9,0)),VLOOKUP('Table Seed Map'!$A$27,SeedMap[],9,0),0))</f>
        <v>2126238</v>
      </c>
      <c r="AW140" s="69">
        <f>IFERROR(VLOOKUP(ListLayout[[#This Row],[List Name for Layout]],ResourceList[[ListDisplayName]:[No]],2,0),"resource_list")</f>
        <v>2123135</v>
      </c>
      <c r="AX140" s="69" t="s">
        <v>1</v>
      </c>
      <c r="AY140" s="14" t="s">
        <v>23</v>
      </c>
      <c r="AZ140" s="69" t="str">
        <f>IF(ListLayout[[#This Row],[List Name for Layout]]="","relation",IFERROR(VLOOKUP(ListLayout[[#This Row],[Relation]],RelationTable[[Display]:[RELID]],2,0),""))</f>
        <v/>
      </c>
      <c r="BA140" s="69" t="str">
        <f>IF(ListLayout[[#This Row],[List Name for Layout]]="","nest_relation1",IFERROR(VLOOKUP(ListLayout[[#This Row],[Relation 1]],RelationTable[[Display]:[RELID]],2,0),""))</f>
        <v/>
      </c>
      <c r="BB140" s="69" t="str">
        <f>IF(ListLayout[[#This Row],[List Name for Layout]]="","nest_relation2",IFERROR(VLOOKUP(ListLayout[[#This Row],[Relation 2]],RelationTable[[Display]:[RELID]],2,0),""))</f>
        <v/>
      </c>
      <c r="BC140" s="107"/>
      <c r="BD140" s="107"/>
      <c r="BE140" s="107"/>
    </row>
    <row r="141" spans="46:57">
      <c r="AT141" s="69" t="str">
        <f>'Table Seed Map'!$A$27&amp;"-"&amp;COUNTA($AV$1:ListLayout[[#This Row],[No]])-2</f>
        <v>List Layout-139</v>
      </c>
      <c r="AU141" s="2" t="s">
        <v>1962</v>
      </c>
      <c r="AV141" s="69">
        <f>IF(ListLayout[[#This Row],[List Name for Layout]]="","id",COUNTA($AU$2:ListLayout[[#This Row],[List Name for Layout]])+IF(ISNUMBER(VLOOKUP('Table Seed Map'!$A$27,SeedMap[],9,0)),VLOOKUP('Table Seed Map'!$A$27,SeedMap[],9,0),0))</f>
        <v>2126239</v>
      </c>
      <c r="AW141" s="69">
        <f>IFERROR(VLOOKUP(ListLayout[[#This Row],[List Name for Layout]],ResourceList[[ListDisplayName]:[No]],2,0),"resource_list")</f>
        <v>2123135</v>
      </c>
      <c r="AX141" s="16" t="s">
        <v>1944</v>
      </c>
      <c r="AY141" s="14" t="s">
        <v>23</v>
      </c>
      <c r="AZ141" s="69">
        <f>IF(ListLayout[[#This Row],[List Name for Layout]]="","relation",IFERROR(VLOOKUP(ListLayout[[#This Row],[Relation]],RelationTable[[Display]:[RELID]],2,0),""))</f>
        <v>2109190</v>
      </c>
      <c r="BA141" s="69" t="str">
        <f>IF(ListLayout[[#This Row],[List Name for Layout]]="","nest_relation1",IFERROR(VLOOKUP(ListLayout[[#This Row],[Relation 1]],RelationTable[[Display]:[RELID]],2,0),""))</f>
        <v/>
      </c>
      <c r="BB141" s="69" t="str">
        <f>IF(ListLayout[[#This Row],[List Name for Layout]]="","nest_relation2",IFERROR(VLOOKUP(ListLayout[[#This Row],[Relation 2]],RelationTable[[Display]:[RELID]],2,0),""))</f>
        <v/>
      </c>
      <c r="BC141" s="107" t="s">
        <v>1943</v>
      </c>
      <c r="BD141" s="107"/>
      <c r="BE141" s="107"/>
    </row>
    <row r="142" spans="46:57">
      <c r="AT142" s="16" t="str">
        <f>'Table Seed Map'!$A$27&amp;"-"&amp;COUNTA($AV$1:ListLayout[[#This Row],[No]])-2</f>
        <v>List Layout-140</v>
      </c>
      <c r="AU142" s="2" t="s">
        <v>1962</v>
      </c>
      <c r="AV142" s="16">
        <f>IF(ListLayout[[#This Row],[List Name for Layout]]="","id",COUNTA($AU$2:ListLayout[[#This Row],[List Name for Layout]])+IF(ISNUMBER(VLOOKUP('Table Seed Map'!$A$27,SeedMap[],9,0)),VLOOKUP('Table Seed Map'!$A$27,SeedMap[],9,0),0))</f>
        <v>2126240</v>
      </c>
      <c r="AW142" s="16">
        <f>IFERROR(VLOOKUP(ListLayout[[#This Row],[List Name for Layout]],ResourceList[[ListDisplayName]:[No]],2,0),"resource_list")</f>
        <v>2123135</v>
      </c>
      <c r="AX142" s="16" t="s">
        <v>1922</v>
      </c>
      <c r="AY142" s="14" t="s">
        <v>858</v>
      </c>
      <c r="AZ142" s="16" t="str">
        <f>IF(ListLayout[[#This Row],[List Name for Layout]]="","relation",IFERROR(VLOOKUP(ListLayout[[#This Row],[Relation]],RelationTable[[Display]:[RELID]],2,0),""))</f>
        <v/>
      </c>
      <c r="BA142" s="16" t="str">
        <f>IF(ListLayout[[#This Row],[List Name for Layout]]="","nest_relation1",IFERROR(VLOOKUP(ListLayout[[#This Row],[Relation 1]],RelationTable[[Display]:[RELID]],2,0),""))</f>
        <v/>
      </c>
      <c r="BB142" s="16" t="str">
        <f>IF(ListLayout[[#This Row],[List Name for Layout]]="","nest_relation2",IFERROR(VLOOKUP(ListLayout[[#This Row],[Relation 2]],RelationTable[[Display]:[RELID]],2,0),""))</f>
        <v/>
      </c>
      <c r="BC142" s="14"/>
      <c r="BD142" s="14"/>
      <c r="BE142" s="14"/>
    </row>
    <row r="143" spans="46:57">
      <c r="AT143" s="16" t="str">
        <f>'Table Seed Map'!$A$27&amp;"-"&amp;COUNTA($AV$1:ListLayout[[#This Row],[No]])-2</f>
        <v>List Layout-141</v>
      </c>
      <c r="AU143" s="2" t="s">
        <v>1963</v>
      </c>
      <c r="AV143" s="16">
        <f>IF(ListLayout[[#This Row],[List Name for Layout]]="","id",COUNTA($AU$2:ListLayout[[#This Row],[List Name for Layout]])+IF(ISNUMBER(VLOOKUP('Table Seed Map'!$A$27,SeedMap[],9,0)),VLOOKUP('Table Seed Map'!$A$27,SeedMap[],9,0),0))</f>
        <v>2126241</v>
      </c>
      <c r="AW143" s="16">
        <f>IFERROR(VLOOKUP(ListLayout[[#This Row],[List Name for Layout]],ResourceList[[ListDisplayName]:[No]],2,0),"resource_list")</f>
        <v>2123136</v>
      </c>
      <c r="AX143" s="16" t="s">
        <v>1</v>
      </c>
      <c r="AY143" s="14" t="s">
        <v>23</v>
      </c>
      <c r="AZ143" s="16" t="str">
        <f>IF(ListLayout[[#This Row],[List Name for Layout]]="","relation",IFERROR(VLOOKUP(ListLayout[[#This Row],[Relation]],RelationTable[[Display]:[RELID]],2,0),""))</f>
        <v/>
      </c>
      <c r="BA143" s="16" t="str">
        <f>IF(ListLayout[[#This Row],[List Name for Layout]]="","nest_relation1",IFERROR(VLOOKUP(ListLayout[[#This Row],[Relation 1]],RelationTable[[Display]:[RELID]],2,0),""))</f>
        <v/>
      </c>
      <c r="BB143" s="16" t="str">
        <f>IF(ListLayout[[#This Row],[List Name for Layout]]="","nest_relation2",IFERROR(VLOOKUP(ListLayout[[#This Row],[Relation 2]],RelationTable[[Display]:[RELID]],2,0),""))</f>
        <v/>
      </c>
      <c r="BC143" s="14"/>
      <c r="BD143" s="14"/>
      <c r="BE143" s="14"/>
    </row>
    <row r="144" spans="46:57">
      <c r="AT144" s="16" t="str">
        <f>'Table Seed Map'!$A$27&amp;"-"&amp;COUNTA($AV$1:ListLayout[[#This Row],[No]])-2</f>
        <v>List Layout-142</v>
      </c>
      <c r="AU144" s="2" t="s">
        <v>1963</v>
      </c>
      <c r="AV144" s="16">
        <f>IF(ListLayout[[#This Row],[List Name for Layout]]="","id",COUNTA($AU$2:ListLayout[[#This Row],[List Name for Layout]])+IF(ISNUMBER(VLOOKUP('Table Seed Map'!$A$27,SeedMap[],9,0)),VLOOKUP('Table Seed Map'!$A$27,SeedMap[],9,0),0))</f>
        <v>2126242</v>
      </c>
      <c r="AW144" s="16">
        <f>IFERROR(VLOOKUP(ListLayout[[#This Row],[List Name for Layout]],ResourceList[[ListDisplayName]:[No]],2,0),"resource_list")</f>
        <v>2123136</v>
      </c>
      <c r="AX144" s="16" t="s">
        <v>974</v>
      </c>
      <c r="AY144" s="14" t="s">
        <v>1665</v>
      </c>
      <c r="AZ144" s="16" t="str">
        <f>IF(ListLayout[[#This Row],[List Name for Layout]]="","relation",IFERROR(VLOOKUP(ListLayout[[#This Row],[Relation]],RelationTable[[Display]:[RELID]],2,0),""))</f>
        <v/>
      </c>
      <c r="BA144" s="16" t="str">
        <f>IF(ListLayout[[#This Row],[List Name for Layout]]="","nest_relation1",IFERROR(VLOOKUP(ListLayout[[#This Row],[Relation 1]],RelationTable[[Display]:[RELID]],2,0),""))</f>
        <v/>
      </c>
      <c r="BB144" s="16" t="str">
        <f>IF(ListLayout[[#This Row],[List Name for Layout]]="","nest_relation2",IFERROR(VLOOKUP(ListLayout[[#This Row],[Relation 2]],RelationTable[[Display]:[RELID]],2,0),""))</f>
        <v/>
      </c>
      <c r="BC144" s="14"/>
      <c r="BD144" s="14"/>
      <c r="BE144" s="14"/>
    </row>
    <row r="145" spans="46:57">
      <c r="AT145" s="16" t="str">
        <f>'Table Seed Map'!$A$27&amp;"-"&amp;COUNTA($AV$1:ListLayout[[#This Row],[No]])-2</f>
        <v>List Layout-143</v>
      </c>
      <c r="AU145" s="2" t="s">
        <v>1963</v>
      </c>
      <c r="AV145" s="16">
        <f>IF(ListLayout[[#This Row],[List Name for Layout]]="","id",COUNTA($AU$2:ListLayout[[#This Row],[List Name for Layout]])+IF(ISNUMBER(VLOOKUP('Table Seed Map'!$A$27,SeedMap[],9,0)),VLOOKUP('Table Seed Map'!$A$27,SeedMap[],9,0),0))</f>
        <v>2126243</v>
      </c>
      <c r="AW145" s="16">
        <f>IFERROR(VLOOKUP(ListLayout[[#This Row],[List Name for Layout]],ResourceList[[ListDisplayName]:[No]],2,0),"resource_list")</f>
        <v>2123136</v>
      </c>
      <c r="AX145" s="16" t="s">
        <v>1913</v>
      </c>
      <c r="AY145" s="14" t="s">
        <v>863</v>
      </c>
      <c r="AZ145" s="16" t="str">
        <f>IF(ListLayout[[#This Row],[List Name for Layout]]="","relation",IFERROR(VLOOKUP(ListLayout[[#This Row],[Relation]],RelationTable[[Display]:[RELID]],2,0),""))</f>
        <v/>
      </c>
      <c r="BA145" s="16" t="str">
        <f>IF(ListLayout[[#This Row],[List Name for Layout]]="","nest_relation1",IFERROR(VLOOKUP(ListLayout[[#This Row],[Relation 1]],RelationTable[[Display]:[RELID]],2,0),""))</f>
        <v/>
      </c>
      <c r="BB145" s="16" t="str">
        <f>IF(ListLayout[[#This Row],[List Name for Layout]]="","nest_relation2",IFERROR(VLOOKUP(ListLayout[[#This Row],[Relation 2]],RelationTable[[Display]:[RELID]],2,0),""))</f>
        <v/>
      </c>
      <c r="BC145" s="14"/>
      <c r="BD145" s="14"/>
      <c r="BE145" s="14"/>
    </row>
    <row r="146" spans="46:57">
      <c r="AT146" s="16" t="str">
        <f>'Table Seed Map'!$A$27&amp;"-"&amp;COUNTA($AV$1:ListLayout[[#This Row],[No]])-2</f>
        <v>List Layout-144</v>
      </c>
      <c r="AU146" s="2" t="s">
        <v>1964</v>
      </c>
      <c r="AV146" s="16">
        <f>IF(ListLayout[[#This Row],[List Name for Layout]]="","id",COUNTA($AU$2:ListLayout[[#This Row],[List Name for Layout]])+IF(ISNUMBER(VLOOKUP('Table Seed Map'!$A$27,SeedMap[],9,0)),VLOOKUP('Table Seed Map'!$A$27,SeedMap[],9,0),0))</f>
        <v>2126244</v>
      </c>
      <c r="AW146" s="16">
        <f>IFERROR(VLOOKUP(ListLayout[[#This Row],[List Name for Layout]],ResourceList[[ListDisplayName]:[No]],2,0),"resource_list")</f>
        <v>2123137</v>
      </c>
      <c r="AX146" s="16" t="s">
        <v>1</v>
      </c>
      <c r="AY146" s="14" t="s">
        <v>23</v>
      </c>
      <c r="AZ146" s="16" t="str">
        <f>IF(ListLayout[[#This Row],[List Name for Layout]]="","relation",IFERROR(VLOOKUP(ListLayout[[#This Row],[Relation]],RelationTable[[Display]:[RELID]],2,0),""))</f>
        <v/>
      </c>
      <c r="BA146" s="16" t="str">
        <f>IF(ListLayout[[#This Row],[List Name for Layout]]="","nest_relation1",IFERROR(VLOOKUP(ListLayout[[#This Row],[Relation 1]],RelationTable[[Display]:[RELID]],2,0),""))</f>
        <v/>
      </c>
      <c r="BB146" s="16" t="str">
        <f>IF(ListLayout[[#This Row],[List Name for Layout]]="","nest_relation2",IFERROR(VLOOKUP(ListLayout[[#This Row],[Relation 2]],RelationTable[[Display]:[RELID]],2,0),""))</f>
        <v/>
      </c>
      <c r="BC146" s="14"/>
      <c r="BD146" s="14"/>
      <c r="BE146" s="14"/>
    </row>
    <row r="147" spans="46:57">
      <c r="AT147" s="16" t="str">
        <f>'Table Seed Map'!$A$27&amp;"-"&amp;COUNTA($AV$1:ListLayout[[#This Row],[No]])-2</f>
        <v>List Layout-145</v>
      </c>
      <c r="AU147" s="2" t="s">
        <v>1964</v>
      </c>
      <c r="AV147" s="16">
        <f>IF(ListLayout[[#This Row],[List Name for Layout]]="","id",COUNTA($AU$2:ListLayout[[#This Row],[List Name for Layout]])+IF(ISNUMBER(VLOOKUP('Table Seed Map'!$A$27,SeedMap[],9,0)),VLOOKUP('Table Seed Map'!$A$27,SeedMap[],9,0),0))</f>
        <v>2126245</v>
      </c>
      <c r="AW147" s="16">
        <f>IFERROR(VLOOKUP(ListLayout[[#This Row],[List Name for Layout]],ResourceList[[ListDisplayName]:[No]],2,0),"resource_list")</f>
        <v>2123137</v>
      </c>
      <c r="AX147" s="16" t="s">
        <v>974</v>
      </c>
      <c r="AY147" s="14" t="s">
        <v>1665</v>
      </c>
      <c r="AZ147" s="16" t="str">
        <f>IF(ListLayout[[#This Row],[List Name for Layout]]="","relation",IFERROR(VLOOKUP(ListLayout[[#This Row],[Relation]],RelationTable[[Display]:[RELID]],2,0),""))</f>
        <v/>
      </c>
      <c r="BA147" s="16" t="str">
        <f>IF(ListLayout[[#This Row],[List Name for Layout]]="","nest_relation1",IFERROR(VLOOKUP(ListLayout[[#This Row],[Relation 1]],RelationTable[[Display]:[RELID]],2,0),""))</f>
        <v/>
      </c>
      <c r="BB147" s="16" t="str">
        <f>IF(ListLayout[[#This Row],[List Name for Layout]]="","nest_relation2",IFERROR(VLOOKUP(ListLayout[[#This Row],[Relation 2]],RelationTable[[Display]:[RELID]],2,0),""))</f>
        <v/>
      </c>
      <c r="BC147" s="14"/>
      <c r="BD147" s="14"/>
      <c r="BE147" s="14"/>
    </row>
    <row r="148" spans="46:57">
      <c r="AT148" s="16" t="str">
        <f>'Table Seed Map'!$A$27&amp;"-"&amp;COUNTA($AV$1:ListLayout[[#This Row],[No]])-2</f>
        <v>List Layout-146</v>
      </c>
      <c r="AU148" s="2" t="s">
        <v>1964</v>
      </c>
      <c r="AV148" s="16">
        <f>IF(ListLayout[[#This Row],[List Name for Layout]]="","id",COUNTA($AU$2:ListLayout[[#This Row],[List Name for Layout]])+IF(ISNUMBER(VLOOKUP('Table Seed Map'!$A$27,SeedMap[],9,0)),VLOOKUP('Table Seed Map'!$A$27,SeedMap[],9,0),0))</f>
        <v>2126246</v>
      </c>
      <c r="AW148" s="16">
        <f>IFERROR(VLOOKUP(ListLayout[[#This Row],[List Name for Layout]],ResourceList[[ListDisplayName]:[No]],2,0),"resource_list")</f>
        <v>2123137</v>
      </c>
      <c r="AX148" s="16" t="s">
        <v>1945</v>
      </c>
      <c r="AY148" s="14" t="s">
        <v>863</v>
      </c>
      <c r="AZ148" s="16" t="str">
        <f>IF(ListLayout[[#This Row],[List Name for Layout]]="","relation",IFERROR(VLOOKUP(ListLayout[[#This Row],[Relation]],RelationTable[[Display]:[RELID]],2,0),""))</f>
        <v/>
      </c>
      <c r="BA148" s="16" t="str">
        <f>IF(ListLayout[[#This Row],[List Name for Layout]]="","nest_relation1",IFERROR(VLOOKUP(ListLayout[[#This Row],[Relation 1]],RelationTable[[Display]:[RELID]],2,0),""))</f>
        <v/>
      </c>
      <c r="BB148" s="16" t="str">
        <f>IF(ListLayout[[#This Row],[List Name for Layout]]="","nest_relation2",IFERROR(VLOOKUP(ListLayout[[#This Row],[Relation 2]],RelationTable[[Display]:[RELID]],2,0),""))</f>
        <v/>
      </c>
      <c r="BC148" s="14"/>
      <c r="BD148" s="14"/>
      <c r="BE148" s="14"/>
    </row>
    <row r="149" spans="46:57">
      <c r="AT149" s="16" t="str">
        <f>'Table Seed Map'!$A$27&amp;"-"&amp;COUNTA($AV$1:ListLayout[[#This Row],[No]])-2</f>
        <v>List Layout-147</v>
      </c>
      <c r="AU149" s="2" t="s">
        <v>1964</v>
      </c>
      <c r="AV149" s="16">
        <f>IF(ListLayout[[#This Row],[List Name for Layout]]="","id",COUNTA($AU$2:ListLayout[[#This Row],[List Name for Layout]])+IF(ISNUMBER(VLOOKUP('Table Seed Map'!$A$27,SeedMap[],9,0)),VLOOKUP('Table Seed Map'!$A$27,SeedMap[],9,0),0))</f>
        <v>2126247</v>
      </c>
      <c r="AW149" s="16">
        <f>IFERROR(VLOOKUP(ListLayout[[#This Row],[List Name for Layout]],ResourceList[[ListDisplayName]:[No]],2,0),"resource_list")</f>
        <v>2123137</v>
      </c>
      <c r="AX149" s="16" t="s">
        <v>1946</v>
      </c>
      <c r="AY149" s="14" t="s">
        <v>865</v>
      </c>
      <c r="AZ149" s="16" t="str">
        <f>IF(ListLayout[[#This Row],[List Name for Layout]]="","relation",IFERROR(VLOOKUP(ListLayout[[#This Row],[Relation]],RelationTable[[Display]:[RELID]],2,0),""))</f>
        <v/>
      </c>
      <c r="BA149" s="16" t="str">
        <f>IF(ListLayout[[#This Row],[List Name for Layout]]="","nest_relation1",IFERROR(VLOOKUP(ListLayout[[#This Row],[Relation 1]],RelationTable[[Display]:[RELID]],2,0),""))</f>
        <v/>
      </c>
      <c r="BB149" s="16" t="str">
        <f>IF(ListLayout[[#This Row],[List Name for Layout]]="","nest_relation2",IFERROR(VLOOKUP(ListLayout[[#This Row],[Relation 2]],RelationTable[[Display]:[RELID]],2,0),""))</f>
        <v/>
      </c>
      <c r="BC149" s="14"/>
      <c r="BD149" s="14"/>
      <c r="BE149" s="14"/>
    </row>
    <row r="150" spans="46:57">
      <c r="AT150" s="16" t="str">
        <f>'Table Seed Map'!$A$27&amp;"-"&amp;COUNTA($AV$1:ListLayout[[#This Row],[No]])-2</f>
        <v>List Layout-148</v>
      </c>
      <c r="AU150" s="2" t="s">
        <v>1964</v>
      </c>
      <c r="AV150" s="16">
        <f>IF(ListLayout[[#This Row],[List Name for Layout]]="","id",COUNTA($AU$2:ListLayout[[#This Row],[List Name for Layout]])+IF(ISNUMBER(VLOOKUP('Table Seed Map'!$A$27,SeedMap[],9,0)),VLOOKUP('Table Seed Map'!$A$27,SeedMap[],9,0),0))</f>
        <v>2126248</v>
      </c>
      <c r="AW150" s="16">
        <f>IFERROR(VLOOKUP(ListLayout[[#This Row],[List Name for Layout]],ResourceList[[ListDisplayName]:[No]],2,0),"resource_list")</f>
        <v>2123137</v>
      </c>
      <c r="AX150" s="16" t="s">
        <v>1915</v>
      </c>
      <c r="AY150" s="14" t="s">
        <v>868</v>
      </c>
      <c r="AZ150" s="16" t="str">
        <f>IF(ListLayout[[#This Row],[List Name for Layout]]="","relation",IFERROR(VLOOKUP(ListLayout[[#This Row],[Relation]],RelationTable[[Display]:[RELID]],2,0),""))</f>
        <v/>
      </c>
      <c r="BA150" s="16" t="str">
        <f>IF(ListLayout[[#This Row],[List Name for Layout]]="","nest_relation1",IFERROR(VLOOKUP(ListLayout[[#This Row],[Relation 1]],RelationTable[[Display]:[RELID]],2,0),""))</f>
        <v/>
      </c>
      <c r="BB150" s="16" t="str">
        <f>IF(ListLayout[[#This Row],[List Name for Layout]]="","nest_relation2",IFERROR(VLOOKUP(ListLayout[[#This Row],[Relation 2]],RelationTable[[Display]:[RELID]],2,0),""))</f>
        <v/>
      </c>
      <c r="BC150" s="14"/>
      <c r="BD150" s="14"/>
      <c r="BE150" s="14"/>
    </row>
    <row r="151" spans="46:57">
      <c r="AT151" s="16" t="str">
        <f>'Table Seed Map'!$A$27&amp;"-"&amp;COUNTA($AV$1:ListLayout[[#This Row],[No]])-2</f>
        <v>List Layout-149</v>
      </c>
      <c r="AU151" s="2" t="s">
        <v>1964</v>
      </c>
      <c r="AV151" s="16">
        <f>IF(ListLayout[[#This Row],[List Name for Layout]]="","id",COUNTA($AU$2:ListLayout[[#This Row],[List Name for Layout]])+IF(ISNUMBER(VLOOKUP('Table Seed Map'!$A$27,SeedMap[],9,0)),VLOOKUP('Table Seed Map'!$A$27,SeedMap[],9,0),0))</f>
        <v>2126249</v>
      </c>
      <c r="AW151" s="16">
        <f>IFERROR(VLOOKUP(ListLayout[[#This Row],[List Name for Layout]],ResourceList[[ListDisplayName]:[No]],2,0),"resource_list")</f>
        <v>2123137</v>
      </c>
      <c r="AX151" s="16" t="s">
        <v>1662</v>
      </c>
      <c r="AY151" s="14" t="s">
        <v>869</v>
      </c>
      <c r="AZ151" s="16" t="str">
        <f>IF(ListLayout[[#This Row],[List Name for Layout]]="","relation",IFERROR(VLOOKUP(ListLayout[[#This Row],[Relation]],RelationTable[[Display]:[RELID]],2,0),""))</f>
        <v/>
      </c>
      <c r="BA151" s="16" t="str">
        <f>IF(ListLayout[[#This Row],[List Name for Layout]]="","nest_relation1",IFERROR(VLOOKUP(ListLayout[[#This Row],[Relation 1]],RelationTable[[Display]:[RELID]],2,0),""))</f>
        <v/>
      </c>
      <c r="BB151" s="16" t="str">
        <f>IF(ListLayout[[#This Row],[List Name for Layout]]="","nest_relation2",IFERROR(VLOOKUP(ListLayout[[#This Row],[Relation 2]],RelationTable[[Display]:[RELID]],2,0),""))</f>
        <v/>
      </c>
      <c r="BC151" s="14"/>
      <c r="BD151" s="14"/>
      <c r="BE151" s="14"/>
    </row>
    <row r="152" spans="46:57">
      <c r="AT152" s="16" t="str">
        <f>'Table Seed Map'!$A$27&amp;"-"&amp;COUNTA($AV$1:ListLayout[[#This Row],[No]])-2</f>
        <v>List Layout-150</v>
      </c>
      <c r="AU152" s="2" t="s">
        <v>1965</v>
      </c>
      <c r="AV152" s="16">
        <f>IF(ListLayout[[#This Row],[List Name for Layout]]="","id",COUNTA($AU$2:ListLayout[[#This Row],[List Name for Layout]])+IF(ISNUMBER(VLOOKUP('Table Seed Map'!$A$27,SeedMap[],9,0)),VLOOKUP('Table Seed Map'!$A$27,SeedMap[],9,0),0))</f>
        <v>2126250</v>
      </c>
      <c r="AW152" s="16">
        <f>IFERROR(VLOOKUP(ListLayout[[#This Row],[List Name for Layout]],ResourceList[[ListDisplayName]:[No]],2,0),"resource_list")</f>
        <v>2123138</v>
      </c>
      <c r="AX152" s="69" t="s">
        <v>1</v>
      </c>
      <c r="AY152" s="14" t="s">
        <v>23</v>
      </c>
      <c r="AZ152" s="69" t="str">
        <f>IF(ListLayout[[#This Row],[List Name for Layout]]="","relation",IFERROR(VLOOKUP(ListLayout[[#This Row],[Relation]],RelationTable[[Display]:[RELID]],2,0),""))</f>
        <v/>
      </c>
      <c r="BA152" s="69" t="str">
        <f>IF(ListLayout[[#This Row],[List Name for Layout]]="","nest_relation1",IFERROR(VLOOKUP(ListLayout[[#This Row],[Relation 1]],RelationTable[[Display]:[RELID]],2,0),""))</f>
        <v/>
      </c>
      <c r="BB152" s="69" t="str">
        <f>IF(ListLayout[[#This Row],[List Name for Layout]]="","nest_relation2",IFERROR(VLOOKUP(ListLayout[[#This Row],[Relation 2]],RelationTable[[Display]:[RELID]],2,0),""))</f>
        <v/>
      </c>
      <c r="BC152" s="107"/>
      <c r="BD152" s="14"/>
      <c r="BE152" s="14"/>
    </row>
    <row r="153" spans="46:57">
      <c r="AT153" s="15" t="str">
        <f>'Table Seed Map'!$A$27&amp;"-"&amp;COUNTA($AV$1:ListLayout[[#This Row],[No]])-2</f>
        <v>List Layout-151</v>
      </c>
      <c r="AU153" s="2" t="s">
        <v>1965</v>
      </c>
      <c r="AV153" s="15">
        <f>IF(ListLayout[[#This Row],[List Name for Layout]]="","id",COUNTA($AU$2:ListLayout[[#This Row],[List Name for Layout]])+IF(ISNUMBER(VLOOKUP('Table Seed Map'!$A$27,SeedMap[],9,0)),VLOOKUP('Table Seed Map'!$A$27,SeedMap[],9,0),0))</f>
        <v>2126251</v>
      </c>
      <c r="AW153" s="15">
        <f>IFERROR(VLOOKUP(ListLayout[[#This Row],[List Name for Layout]],ResourceList[[ListDisplayName]:[No]],2,0),"resource_list")</f>
        <v>2123138</v>
      </c>
      <c r="AX153" s="16" t="s">
        <v>1944</v>
      </c>
      <c r="AY153" s="14" t="s">
        <v>23</v>
      </c>
      <c r="AZ153" s="69">
        <f>IF(ListLayout[[#This Row],[List Name for Layout]]="","relation",IFERROR(VLOOKUP(ListLayout[[#This Row],[Relation]],RelationTable[[Display]:[RELID]],2,0),""))</f>
        <v>2109190</v>
      </c>
      <c r="BA153" s="69" t="str">
        <f>IF(ListLayout[[#This Row],[List Name for Layout]]="","nest_relation1",IFERROR(VLOOKUP(ListLayout[[#This Row],[Relation 1]],RelationTable[[Display]:[RELID]],2,0),""))</f>
        <v/>
      </c>
      <c r="BB153" s="69" t="str">
        <f>IF(ListLayout[[#This Row],[List Name for Layout]]="","nest_relation2",IFERROR(VLOOKUP(ListLayout[[#This Row],[Relation 2]],RelationTable[[Display]:[RELID]],2,0),""))</f>
        <v/>
      </c>
      <c r="BC153" s="107" t="s">
        <v>1943</v>
      </c>
      <c r="BD153" s="13"/>
      <c r="BE153" s="13"/>
    </row>
    <row r="154" spans="46:57">
      <c r="AT154" s="16" t="str">
        <f>'Table Seed Map'!$A$27&amp;"-"&amp;COUNTA($AV$1:ListLayout[[#This Row],[No]])-2</f>
        <v>List Layout-152</v>
      </c>
      <c r="AU154" s="2" t="s">
        <v>1966</v>
      </c>
      <c r="AV154" s="16">
        <f>IF(ListLayout[[#This Row],[List Name for Layout]]="","id",COUNTA($AU$2:ListLayout[[#This Row],[List Name for Layout]])+IF(ISNUMBER(VLOOKUP('Table Seed Map'!$A$27,SeedMap[],9,0)),VLOOKUP('Table Seed Map'!$A$27,SeedMap[],9,0),0))</f>
        <v>2126252</v>
      </c>
      <c r="AW154" s="16">
        <f>IFERROR(VLOOKUP(ListLayout[[#This Row],[List Name for Layout]],ResourceList[[ListDisplayName]:[No]],2,0),"resource_list")</f>
        <v>2123139</v>
      </c>
      <c r="AX154" s="16" t="s">
        <v>1</v>
      </c>
      <c r="AY154" s="14" t="s">
        <v>23</v>
      </c>
      <c r="AZ154" s="16" t="str">
        <f>IF(ListLayout[[#This Row],[List Name for Layout]]="","relation",IFERROR(VLOOKUP(ListLayout[[#This Row],[Relation]],RelationTable[[Display]:[RELID]],2,0),""))</f>
        <v/>
      </c>
      <c r="BA154" s="16" t="str">
        <f>IF(ListLayout[[#This Row],[List Name for Layout]]="","nest_relation1",IFERROR(VLOOKUP(ListLayout[[#This Row],[Relation 1]],RelationTable[[Display]:[RELID]],2,0),""))</f>
        <v/>
      </c>
      <c r="BB154" s="16" t="str">
        <f>IF(ListLayout[[#This Row],[List Name for Layout]]="","nest_relation2",IFERROR(VLOOKUP(ListLayout[[#This Row],[Relation 2]],RelationTable[[Display]:[RELID]],2,0),""))</f>
        <v/>
      </c>
      <c r="BC154" s="14"/>
      <c r="BD154" s="14"/>
      <c r="BE154" s="14"/>
    </row>
    <row r="155" spans="46:57">
      <c r="AT155" s="15" t="str">
        <f>'Table Seed Map'!$A$27&amp;"-"&amp;COUNTA($AV$1:ListLayout[[#This Row],[No]])-2</f>
        <v>List Layout-153</v>
      </c>
      <c r="AU155" s="2" t="s">
        <v>1966</v>
      </c>
      <c r="AV155" s="15">
        <f>IF(ListLayout[[#This Row],[List Name for Layout]]="","id",COUNTA($AU$2:ListLayout[[#This Row],[List Name for Layout]])+IF(ISNUMBER(VLOOKUP('Table Seed Map'!$A$27,SeedMap[],9,0)),VLOOKUP('Table Seed Map'!$A$27,SeedMap[],9,0),0))</f>
        <v>2126253</v>
      </c>
      <c r="AW155" s="15">
        <f>IFERROR(VLOOKUP(ListLayout[[#This Row],[List Name for Layout]],ResourceList[[ListDisplayName]:[No]],2,0),"resource_list")</f>
        <v>2123139</v>
      </c>
      <c r="AX155" s="16" t="s">
        <v>974</v>
      </c>
      <c r="AY155" s="14" t="s">
        <v>1665</v>
      </c>
      <c r="AZ155" s="15" t="str">
        <f>IF(ListLayout[[#This Row],[List Name for Layout]]="","relation",IFERROR(VLOOKUP(ListLayout[[#This Row],[Relation]],RelationTable[[Display]:[RELID]],2,0),""))</f>
        <v/>
      </c>
      <c r="BA155" s="15" t="str">
        <f>IF(ListLayout[[#This Row],[List Name for Layout]]="","nest_relation1",IFERROR(VLOOKUP(ListLayout[[#This Row],[Relation 1]],RelationTable[[Display]:[RELID]],2,0),""))</f>
        <v/>
      </c>
      <c r="BB155" s="15" t="str">
        <f>IF(ListLayout[[#This Row],[List Name for Layout]]="","nest_relation2",IFERROR(VLOOKUP(ListLayout[[#This Row],[Relation 2]],RelationTable[[Display]:[RELID]],2,0),""))</f>
        <v/>
      </c>
      <c r="BC155" s="13"/>
      <c r="BD155" s="13"/>
      <c r="BE155" s="13"/>
    </row>
    <row r="156" spans="46:57">
      <c r="AT156" s="15" t="str">
        <f>'Table Seed Map'!$A$27&amp;"-"&amp;COUNTA($AV$1:ListLayout[[#This Row],[No]])-2</f>
        <v>List Layout-154</v>
      </c>
      <c r="AU156" s="2" t="s">
        <v>1966</v>
      </c>
      <c r="AV156" s="15">
        <f>IF(ListLayout[[#This Row],[List Name for Layout]]="","id",COUNTA($AU$2:ListLayout[[#This Row],[List Name for Layout]])+IF(ISNUMBER(VLOOKUP('Table Seed Map'!$A$27,SeedMap[],9,0)),VLOOKUP('Table Seed Map'!$A$27,SeedMap[],9,0),0))</f>
        <v>2126254</v>
      </c>
      <c r="AW156" s="15">
        <f>IFERROR(VLOOKUP(ListLayout[[#This Row],[List Name for Layout]],ResourceList[[ListDisplayName]:[No]],2,0),"resource_list")</f>
        <v>2123139</v>
      </c>
      <c r="AX156" s="16" t="s">
        <v>1913</v>
      </c>
      <c r="AY156" s="14" t="s">
        <v>863</v>
      </c>
      <c r="AZ156" s="15" t="str">
        <f>IF(ListLayout[[#This Row],[List Name for Layout]]="","relation",IFERROR(VLOOKUP(ListLayout[[#This Row],[Relation]],RelationTable[[Display]:[RELID]],2,0),""))</f>
        <v/>
      </c>
      <c r="BA156" s="15" t="str">
        <f>IF(ListLayout[[#This Row],[List Name for Layout]]="","nest_relation1",IFERROR(VLOOKUP(ListLayout[[#This Row],[Relation 1]],RelationTable[[Display]:[RELID]],2,0),""))</f>
        <v/>
      </c>
      <c r="BB156" s="15" t="str">
        <f>IF(ListLayout[[#This Row],[List Name for Layout]]="","nest_relation2",IFERROR(VLOOKUP(ListLayout[[#This Row],[Relation 2]],RelationTable[[Display]:[RELID]],2,0),""))</f>
        <v/>
      </c>
      <c r="BC156" s="13"/>
      <c r="BD156" s="13"/>
      <c r="BE156" s="13"/>
    </row>
    <row r="157" spans="46:57">
      <c r="AT157" s="16" t="str">
        <f>'Table Seed Map'!$A$27&amp;"-"&amp;COUNTA($AV$1:ListLayout[[#This Row],[No]])-2</f>
        <v>List Layout-155</v>
      </c>
      <c r="AU157" s="62" t="s">
        <v>1951</v>
      </c>
      <c r="AV157" s="16">
        <f>IF(ListLayout[[#This Row],[List Name for Layout]]="","id",COUNTA($AU$2:ListLayout[[#This Row],[List Name for Layout]])+IF(ISNUMBER(VLOOKUP('Table Seed Map'!$A$27,SeedMap[],9,0)),VLOOKUP('Table Seed Map'!$A$27,SeedMap[],9,0),0))</f>
        <v>2126255</v>
      </c>
      <c r="AW157" s="16">
        <f>IFERROR(VLOOKUP(ListLayout[[#This Row],[List Name for Layout]],ResourceList[[ListDisplayName]:[No]],2,0),"resource_list")</f>
        <v>2123140</v>
      </c>
      <c r="AX157" s="16" t="s">
        <v>1</v>
      </c>
      <c r="AY157" s="14" t="s">
        <v>23</v>
      </c>
      <c r="AZ157" s="16" t="str">
        <f>IF(ListLayout[[#This Row],[List Name for Layout]]="","relation",IFERROR(VLOOKUP(ListLayout[[#This Row],[Relation]],RelationTable[[Display]:[RELID]],2,0),""))</f>
        <v/>
      </c>
      <c r="BA157" s="16" t="str">
        <f>IF(ListLayout[[#This Row],[List Name for Layout]]="","nest_relation1",IFERROR(VLOOKUP(ListLayout[[#This Row],[Relation 1]],RelationTable[[Display]:[RELID]],2,0),""))</f>
        <v/>
      </c>
      <c r="BB157" s="16" t="str">
        <f>IF(ListLayout[[#This Row],[List Name for Layout]]="","nest_relation2",IFERROR(VLOOKUP(ListLayout[[#This Row],[Relation 2]],RelationTable[[Display]:[RELID]],2,0),""))</f>
        <v/>
      </c>
      <c r="BC157" s="14"/>
      <c r="BD157" s="14"/>
      <c r="BE157" s="14"/>
    </row>
    <row r="158" spans="46:57">
      <c r="AT158" s="15" t="str">
        <f>'Table Seed Map'!$A$27&amp;"-"&amp;COUNTA($AV$1:ListLayout[[#This Row],[No]])-2</f>
        <v>List Layout-156</v>
      </c>
      <c r="AU158" s="62" t="s">
        <v>1951</v>
      </c>
      <c r="AV158" s="15">
        <f>IF(ListLayout[[#This Row],[List Name for Layout]]="","id",COUNTA($AU$2:ListLayout[[#This Row],[List Name for Layout]])+IF(ISNUMBER(VLOOKUP('Table Seed Map'!$A$27,SeedMap[],9,0)),VLOOKUP('Table Seed Map'!$A$27,SeedMap[],9,0),0))</f>
        <v>2126256</v>
      </c>
      <c r="AW158" s="15">
        <f>IFERROR(VLOOKUP(ListLayout[[#This Row],[List Name for Layout]],ResourceList[[ListDisplayName]:[No]],2,0),"resource_list")</f>
        <v>2123140</v>
      </c>
      <c r="AX158" s="16" t="s">
        <v>974</v>
      </c>
      <c r="AY158" s="14" t="s">
        <v>1665</v>
      </c>
      <c r="AZ158" s="15" t="str">
        <f>IF(ListLayout[[#This Row],[List Name for Layout]]="","relation",IFERROR(VLOOKUP(ListLayout[[#This Row],[Relation]],RelationTable[[Display]:[RELID]],2,0),""))</f>
        <v/>
      </c>
      <c r="BA158" s="15" t="str">
        <f>IF(ListLayout[[#This Row],[List Name for Layout]]="","nest_relation1",IFERROR(VLOOKUP(ListLayout[[#This Row],[Relation 1]],RelationTable[[Display]:[RELID]],2,0),""))</f>
        <v/>
      </c>
      <c r="BB158" s="15" t="str">
        <f>IF(ListLayout[[#This Row],[List Name for Layout]]="","nest_relation2",IFERROR(VLOOKUP(ListLayout[[#This Row],[Relation 2]],RelationTable[[Display]:[RELID]],2,0),""))</f>
        <v/>
      </c>
      <c r="BC158" s="13"/>
      <c r="BD158" s="13"/>
      <c r="BE158" s="13"/>
    </row>
    <row r="159" spans="46:57">
      <c r="AT159" s="15" t="str">
        <f>'Table Seed Map'!$A$27&amp;"-"&amp;COUNTA($AV$1:ListLayout[[#This Row],[No]])-2</f>
        <v>List Layout-157</v>
      </c>
      <c r="AU159" s="62" t="s">
        <v>1951</v>
      </c>
      <c r="AV159" s="15">
        <f>IF(ListLayout[[#This Row],[List Name for Layout]]="","id",COUNTA($AU$2:ListLayout[[#This Row],[List Name for Layout]])+IF(ISNUMBER(VLOOKUP('Table Seed Map'!$A$27,SeedMap[],9,0)),VLOOKUP('Table Seed Map'!$A$27,SeedMap[],9,0),0))</f>
        <v>2126257</v>
      </c>
      <c r="AW159" s="15">
        <f>IFERROR(VLOOKUP(ListLayout[[#This Row],[List Name for Layout]],ResourceList[[ListDisplayName]:[No]],2,0),"resource_list")</f>
        <v>2123140</v>
      </c>
      <c r="AX159" s="16" t="s">
        <v>1913</v>
      </c>
      <c r="AY159" s="14" t="s">
        <v>863</v>
      </c>
      <c r="AZ159" s="15" t="str">
        <f>IF(ListLayout[[#This Row],[List Name for Layout]]="","relation",IFERROR(VLOOKUP(ListLayout[[#This Row],[Relation]],RelationTable[[Display]:[RELID]],2,0),""))</f>
        <v/>
      </c>
      <c r="BA159" s="15" t="str">
        <f>IF(ListLayout[[#This Row],[List Name for Layout]]="","nest_relation1",IFERROR(VLOOKUP(ListLayout[[#This Row],[Relation 1]],RelationTable[[Display]:[RELID]],2,0),""))</f>
        <v/>
      </c>
      <c r="BB159" s="15" t="str">
        <f>IF(ListLayout[[#This Row],[List Name for Layout]]="","nest_relation2",IFERROR(VLOOKUP(ListLayout[[#This Row],[Relation 2]],RelationTable[[Display]:[RELID]],2,0),""))</f>
        <v/>
      </c>
      <c r="BC159" s="13"/>
      <c r="BD159" s="13"/>
      <c r="BE159" s="13"/>
    </row>
    <row r="160" spans="46:57">
      <c r="AT160" s="16" t="str">
        <f>'Table Seed Map'!$A$27&amp;"-"&amp;COUNTA($AV$1:ListLayout[[#This Row],[No]])-2</f>
        <v>List Layout-158</v>
      </c>
      <c r="AU160" s="62" t="s">
        <v>1951</v>
      </c>
      <c r="AV160" s="16">
        <f>IF(ListLayout[[#This Row],[List Name for Layout]]="","id",COUNTA($AU$2:ListLayout[[#This Row],[List Name for Layout]])+IF(ISNUMBER(VLOOKUP('Table Seed Map'!$A$27,SeedMap[],9,0)),VLOOKUP('Table Seed Map'!$A$27,SeedMap[],9,0),0))</f>
        <v>2126258</v>
      </c>
      <c r="AW160" s="16">
        <f>IFERROR(VLOOKUP(ListLayout[[#This Row],[List Name for Layout]],ResourceList[[ListDisplayName]:[No]],2,0),"resource_list")</f>
        <v>2123140</v>
      </c>
      <c r="AX160" s="16" t="s">
        <v>1914</v>
      </c>
      <c r="AY160" s="14" t="s">
        <v>865</v>
      </c>
      <c r="AZ160" s="16" t="str">
        <f>IF(ListLayout[[#This Row],[List Name for Layout]]="","relation",IFERROR(VLOOKUP(ListLayout[[#This Row],[Relation]],RelationTable[[Display]:[RELID]],2,0),""))</f>
        <v/>
      </c>
      <c r="BA160" s="16" t="str">
        <f>IF(ListLayout[[#This Row],[List Name for Layout]]="","nest_relation1",IFERROR(VLOOKUP(ListLayout[[#This Row],[Relation 1]],RelationTable[[Display]:[RELID]],2,0),""))</f>
        <v/>
      </c>
      <c r="BB160" s="16" t="str">
        <f>IF(ListLayout[[#This Row],[List Name for Layout]]="","nest_relation2",IFERROR(VLOOKUP(ListLayout[[#This Row],[Relation 2]],RelationTable[[Display]:[RELID]],2,0),""))</f>
        <v/>
      </c>
      <c r="BC160" s="14"/>
      <c r="BD160" s="14"/>
      <c r="BE160" s="14"/>
    </row>
    <row r="161" spans="46:57">
      <c r="AT161" s="15" t="str">
        <f>'Table Seed Map'!$A$27&amp;"-"&amp;COUNTA($AV$1:ListLayout[[#This Row],[No]])-2</f>
        <v>List Layout-159</v>
      </c>
      <c r="AU161" s="62" t="s">
        <v>1951</v>
      </c>
      <c r="AV161" s="15">
        <f>IF(ListLayout[[#This Row],[List Name for Layout]]="","id",COUNTA($AU$2:ListLayout[[#This Row],[List Name for Layout]])+IF(ISNUMBER(VLOOKUP('Table Seed Map'!$A$27,SeedMap[],9,0)),VLOOKUP('Table Seed Map'!$A$27,SeedMap[],9,0),0))</f>
        <v>2126259</v>
      </c>
      <c r="AW161" s="15">
        <f>IFERROR(VLOOKUP(ListLayout[[#This Row],[List Name for Layout]],ResourceList[[ListDisplayName]:[No]],2,0),"resource_list")</f>
        <v>2123140</v>
      </c>
      <c r="AX161" s="16" t="s">
        <v>1915</v>
      </c>
      <c r="AY161" s="14" t="s">
        <v>868</v>
      </c>
      <c r="AZ161" s="15" t="str">
        <f>IF(ListLayout[[#This Row],[List Name for Layout]]="","relation",IFERROR(VLOOKUP(ListLayout[[#This Row],[Relation]],RelationTable[[Display]:[RELID]],2,0),""))</f>
        <v/>
      </c>
      <c r="BA161" s="15" t="str">
        <f>IF(ListLayout[[#This Row],[List Name for Layout]]="","nest_relation1",IFERROR(VLOOKUP(ListLayout[[#This Row],[Relation 1]],RelationTable[[Display]:[RELID]],2,0),""))</f>
        <v/>
      </c>
      <c r="BB161" s="15" t="str">
        <f>IF(ListLayout[[#This Row],[List Name for Layout]]="","nest_relation2",IFERROR(VLOOKUP(ListLayout[[#This Row],[Relation 2]],RelationTable[[Display]:[RELID]],2,0),""))</f>
        <v/>
      </c>
      <c r="BC161" s="13"/>
      <c r="BD161" s="13"/>
      <c r="BE161" s="13"/>
    </row>
    <row r="162" spans="46:57">
      <c r="AT162" s="16" t="str">
        <f>'Table Seed Map'!$A$27&amp;"-"&amp;COUNTA($AV$1:ListLayout[[#This Row],[No]])-2</f>
        <v>List Layout-160</v>
      </c>
      <c r="AU162" s="62" t="s">
        <v>1951</v>
      </c>
      <c r="AV162" s="16">
        <f>IF(ListLayout[[#This Row],[List Name for Layout]]="","id",COUNTA($AU$2:ListLayout[[#This Row],[List Name for Layout]])+IF(ISNUMBER(VLOOKUP('Table Seed Map'!$A$27,SeedMap[],9,0)),VLOOKUP('Table Seed Map'!$A$27,SeedMap[],9,0),0))</f>
        <v>2126260</v>
      </c>
      <c r="AW162" s="16">
        <f>IFERROR(VLOOKUP(ListLayout[[#This Row],[List Name for Layout]],ResourceList[[ListDisplayName]:[No]],2,0),"resource_list")</f>
        <v>2123140</v>
      </c>
      <c r="AX162" s="16" t="s">
        <v>1662</v>
      </c>
      <c r="AY162" s="14" t="s">
        <v>869</v>
      </c>
      <c r="AZ162" s="16" t="str">
        <f>IF(ListLayout[[#This Row],[List Name for Layout]]="","relation",IFERROR(VLOOKUP(ListLayout[[#This Row],[Relation]],RelationTable[[Display]:[RELID]],2,0),""))</f>
        <v/>
      </c>
      <c r="BA162" s="16" t="str">
        <f>IF(ListLayout[[#This Row],[List Name for Layout]]="","nest_relation1",IFERROR(VLOOKUP(ListLayout[[#This Row],[Relation 1]],RelationTable[[Display]:[RELID]],2,0),""))</f>
        <v/>
      </c>
      <c r="BB162" s="16" t="str">
        <f>IF(ListLayout[[#This Row],[List Name for Layout]]="","nest_relation2",IFERROR(VLOOKUP(ListLayout[[#This Row],[Relation 2]],RelationTable[[Display]:[RELID]],2,0),""))</f>
        <v/>
      </c>
      <c r="BC162" s="14"/>
      <c r="BD162" s="14"/>
      <c r="BE162" s="14"/>
    </row>
    <row r="163" spans="46:57">
      <c r="AT163" s="69" t="str">
        <f>'Table Seed Map'!$A$27&amp;"-"&amp;COUNTA($AV$1:ListLayout[[#This Row],[No]])-2</f>
        <v>List Layout-161</v>
      </c>
      <c r="AU163" s="62" t="s">
        <v>2015</v>
      </c>
      <c r="AV163" s="69">
        <f>IF(ListLayout[[#This Row],[List Name for Layout]]="","id",COUNTA($AU$2:ListLayout[[#This Row],[List Name for Layout]])+IF(ISNUMBER(VLOOKUP('Table Seed Map'!$A$27,SeedMap[],9,0)),VLOOKUP('Table Seed Map'!$A$27,SeedMap[],9,0),0))</f>
        <v>2126261</v>
      </c>
      <c r="AW163" s="69">
        <f>IFERROR(VLOOKUP(ListLayout[[#This Row],[List Name for Layout]],ResourceList[[ListDisplayName]:[No]],2,0),"resource_list")</f>
        <v>2123142</v>
      </c>
      <c r="AX163" s="69" t="s">
        <v>1643</v>
      </c>
      <c r="AY163" s="107" t="s">
        <v>23</v>
      </c>
      <c r="AZ163" s="69">
        <f>IF(ListLayout[[#This Row],[List Name for Layout]]="","relation",IFERROR(VLOOKUP(ListLayout[[#This Row],[Relation]],RelationTable[[Display]:[RELID]],2,0),""))</f>
        <v>2109158</v>
      </c>
      <c r="BA163" s="69" t="str">
        <f>IF(ListLayout[[#This Row],[List Name for Layout]]="","nest_relation1",IFERROR(VLOOKUP(ListLayout[[#This Row],[Relation 1]],RelationTable[[Display]:[RELID]],2,0),""))</f>
        <v/>
      </c>
      <c r="BB163" s="69" t="str">
        <f>IF(ListLayout[[#This Row],[List Name for Layout]]="","nest_relation2",IFERROR(VLOOKUP(ListLayout[[#This Row],[Relation 2]],RelationTable[[Display]:[RELID]],2,0),""))</f>
        <v/>
      </c>
      <c r="BC163" s="107" t="s">
        <v>1642</v>
      </c>
      <c r="BD163" s="107"/>
      <c r="BE163" s="107"/>
    </row>
    <row r="164" spans="46:57">
      <c r="AT164" s="68" t="str">
        <f>'Table Seed Map'!$A$27&amp;"-"&amp;COUNTA($AV$1:ListLayout[[#This Row],[No]])-2</f>
        <v>List Layout-162</v>
      </c>
      <c r="AU164" s="62" t="s">
        <v>2015</v>
      </c>
      <c r="AV164" s="68">
        <f>IF(ListLayout[[#This Row],[List Name for Layout]]="","id",COUNTA($AU$2:ListLayout[[#This Row],[List Name for Layout]])+IF(ISNUMBER(VLOOKUP('Table Seed Map'!$A$27,SeedMap[],9,0)),VLOOKUP('Table Seed Map'!$A$27,SeedMap[],9,0),0))</f>
        <v>2126262</v>
      </c>
      <c r="AW164" s="68">
        <f>IFERROR(VLOOKUP(ListLayout[[#This Row],[List Name for Layout]],ResourceList[[ListDisplayName]:[No]],2,0),"resource_list")</f>
        <v>2123142</v>
      </c>
      <c r="AX164" s="69" t="s">
        <v>778</v>
      </c>
      <c r="AY164" s="107" t="s">
        <v>23</v>
      </c>
      <c r="AZ164" s="68">
        <f>IF(ListLayout[[#This Row],[List Name for Layout]]="","relation",IFERROR(VLOOKUP(ListLayout[[#This Row],[Relation]],RelationTable[[Display]:[RELID]],2,0),""))</f>
        <v>2109159</v>
      </c>
      <c r="BA164" s="68" t="str">
        <f>IF(ListLayout[[#This Row],[List Name for Layout]]="","nest_relation1",IFERROR(VLOOKUP(ListLayout[[#This Row],[Relation 1]],RelationTable[[Display]:[RELID]],2,0),""))</f>
        <v/>
      </c>
      <c r="BB164" s="68" t="str">
        <f>IF(ListLayout[[#This Row],[List Name for Layout]]="","nest_relation2",IFERROR(VLOOKUP(ListLayout[[#This Row],[Relation 2]],RelationTable[[Display]:[RELID]],2,0),""))</f>
        <v/>
      </c>
      <c r="BC164" s="107" t="s">
        <v>1644</v>
      </c>
      <c r="BD164" s="108"/>
      <c r="BE164" s="108"/>
    </row>
    <row r="165" spans="46:57">
      <c r="AT165" s="68" t="str">
        <f>'Table Seed Map'!$A$27&amp;"-"&amp;COUNTA($AV$1:ListLayout[[#This Row],[No]])-2</f>
        <v>List Layout-163</v>
      </c>
      <c r="AU165" s="62" t="s">
        <v>2015</v>
      </c>
      <c r="AV165" s="68">
        <f>IF(ListLayout[[#This Row],[List Name for Layout]]="","id",COUNTA($AU$2:ListLayout[[#This Row],[List Name for Layout]])+IF(ISNUMBER(VLOOKUP('Table Seed Map'!$A$27,SeedMap[],9,0)),VLOOKUP('Table Seed Map'!$A$27,SeedMap[],9,0),0))</f>
        <v>2126263</v>
      </c>
      <c r="AW165" s="68">
        <f>IFERROR(VLOOKUP(ListLayout[[#This Row],[List Name for Layout]],ResourceList[[ListDisplayName]:[No]],2,0),"resource_list")</f>
        <v>2123142</v>
      </c>
      <c r="AX165" s="69" t="s">
        <v>1090</v>
      </c>
      <c r="AY165" s="107" t="s">
        <v>23</v>
      </c>
      <c r="AZ165" s="68">
        <f>IF(ListLayout[[#This Row],[List Name for Layout]]="","relation",IFERROR(VLOOKUP(ListLayout[[#This Row],[Relation]],RelationTable[[Display]:[RELID]],2,0),""))</f>
        <v>2109189</v>
      </c>
      <c r="BA165" s="68" t="str">
        <f>IF(ListLayout[[#This Row],[List Name for Layout]]="","nest_relation1",IFERROR(VLOOKUP(ListLayout[[#This Row],[Relation 1]],RelationTable[[Display]:[RELID]],2,0),""))</f>
        <v/>
      </c>
      <c r="BB165" s="68" t="str">
        <f>IF(ListLayout[[#This Row],[List Name for Layout]]="","nest_relation2",IFERROR(VLOOKUP(ListLayout[[#This Row],[Relation 2]],RelationTable[[Display]:[RELID]],2,0),""))</f>
        <v/>
      </c>
      <c r="BC165" s="107" t="s">
        <v>1645</v>
      </c>
      <c r="BD165" s="108"/>
      <c r="BE165" s="108"/>
    </row>
    <row r="166" spans="46:57">
      <c r="AT166" s="68" t="str">
        <f>'Table Seed Map'!$A$27&amp;"-"&amp;COUNTA($AV$1:ListLayout[[#This Row],[No]])-2</f>
        <v>List Layout-164</v>
      </c>
      <c r="AU166" s="62" t="s">
        <v>2015</v>
      </c>
      <c r="AV166" s="68">
        <f>IF(ListLayout[[#This Row],[List Name for Layout]]="","id",COUNTA($AU$2:ListLayout[[#This Row],[List Name for Layout]])+IF(ISNUMBER(VLOOKUP('Table Seed Map'!$A$27,SeedMap[],9,0)),VLOOKUP('Table Seed Map'!$A$27,SeedMap[],9,0),0))</f>
        <v>2126264</v>
      </c>
      <c r="AW166" s="68">
        <f>IFERROR(VLOOKUP(ListLayout[[#This Row],[List Name for Layout]],ResourceList[[ListDisplayName]:[No]],2,0),"resource_list")</f>
        <v>2123142</v>
      </c>
      <c r="AX166" s="69" t="s">
        <v>1471</v>
      </c>
      <c r="AY166" s="107" t="s">
        <v>882</v>
      </c>
      <c r="AZ166" s="68" t="str">
        <f>IF(ListLayout[[#This Row],[List Name for Layout]]="","relation",IFERROR(VLOOKUP(ListLayout[[#This Row],[Relation]],RelationTable[[Display]:[RELID]],2,0),""))</f>
        <v/>
      </c>
      <c r="BA166" s="68" t="str">
        <f>IF(ListLayout[[#This Row],[List Name for Layout]]="","nest_relation1",IFERROR(VLOOKUP(ListLayout[[#This Row],[Relation 1]],RelationTable[[Display]:[RELID]],2,0),""))</f>
        <v/>
      </c>
      <c r="BB166" s="68" t="str">
        <f>IF(ListLayout[[#This Row],[List Name for Layout]]="","nest_relation2",IFERROR(VLOOKUP(ListLayout[[#This Row],[Relation 2]],RelationTable[[Display]:[RELID]],2,0),""))</f>
        <v/>
      </c>
      <c r="BC166" s="108"/>
      <c r="BD166" s="108"/>
      <c r="BE166" s="108"/>
    </row>
    <row r="167" spans="46:57">
      <c r="AT167" s="69" t="str">
        <f>'Table Seed Map'!$A$27&amp;"-"&amp;COUNTA($AV$1:ListLayout[[#This Row],[No]])-2</f>
        <v>List Layout-165</v>
      </c>
      <c r="AU167" s="62" t="s">
        <v>2021</v>
      </c>
      <c r="AV167" s="69">
        <f>IF(ListLayout[[#This Row],[List Name for Layout]]="","id",COUNTA($AU$2:ListLayout[[#This Row],[List Name for Layout]])+IF(ISNUMBER(VLOOKUP('Table Seed Map'!$A$27,SeedMap[],9,0)),VLOOKUP('Table Seed Map'!$A$27,SeedMap[],9,0),0))</f>
        <v>2126265</v>
      </c>
      <c r="AW167" s="69">
        <f>IFERROR(VLOOKUP(ListLayout[[#This Row],[List Name for Layout]],ResourceList[[ListDisplayName]:[No]],2,0),"resource_list")</f>
        <v>2123143</v>
      </c>
      <c r="AX167" s="69" t="s">
        <v>307</v>
      </c>
      <c r="AY167" s="107" t="s">
        <v>21</v>
      </c>
      <c r="AZ167" s="69" t="str">
        <f>IF(ListLayout[[#This Row],[List Name for Layout]]="","relation",IFERROR(VLOOKUP(ListLayout[[#This Row],[Relation]],RelationTable[[Display]:[RELID]],2,0),""))</f>
        <v/>
      </c>
      <c r="BA167" s="69" t="str">
        <f>IF(ListLayout[[#This Row],[List Name for Layout]]="","nest_relation1",IFERROR(VLOOKUP(ListLayout[[#This Row],[Relation 1]],RelationTable[[Display]:[RELID]],2,0),""))</f>
        <v/>
      </c>
      <c r="BB167" s="69" t="str">
        <f>IF(ListLayout[[#This Row],[List Name for Layout]]="","nest_relation2",IFERROR(VLOOKUP(ListLayout[[#This Row],[Relation 2]],RelationTable[[Display]:[RELID]],2,0),""))</f>
        <v/>
      </c>
      <c r="BC167" s="107"/>
      <c r="BD167" s="107"/>
      <c r="BE167" s="107"/>
    </row>
    <row r="168" spans="46:57">
      <c r="AT168" s="68" t="str">
        <f>'Table Seed Map'!$A$27&amp;"-"&amp;COUNTA($AV$1:ListLayout[[#This Row],[No]])-2</f>
        <v>List Layout-166</v>
      </c>
      <c r="AU168" s="62" t="s">
        <v>2021</v>
      </c>
      <c r="AV168" s="68">
        <f>IF(ListLayout[[#This Row],[List Name for Layout]]="","id",COUNTA($AU$2:ListLayout[[#This Row],[List Name for Layout]])+IF(ISNUMBER(VLOOKUP('Table Seed Map'!$A$27,SeedMap[],9,0)),VLOOKUP('Table Seed Map'!$A$27,SeedMap[],9,0),0))</f>
        <v>2126266</v>
      </c>
      <c r="AW168" s="68">
        <f>IFERROR(VLOOKUP(ListLayout[[#This Row],[List Name for Layout]],ResourceList[[ListDisplayName]:[No]],2,0),"resource_list")</f>
        <v>2123143</v>
      </c>
      <c r="AX168" s="69" t="s">
        <v>785</v>
      </c>
      <c r="AY168" s="107" t="s">
        <v>23</v>
      </c>
      <c r="AZ168" s="68">
        <f>IF(ListLayout[[#This Row],[List Name for Layout]]="","relation",IFERROR(VLOOKUP(ListLayout[[#This Row],[Relation]],RelationTable[[Display]:[RELID]],2,0),""))</f>
        <v>2109147</v>
      </c>
      <c r="BA168" s="68" t="str">
        <f>IF(ListLayout[[#This Row],[List Name for Layout]]="","nest_relation1",IFERROR(VLOOKUP(ListLayout[[#This Row],[Relation 1]],RelationTable[[Display]:[RELID]],2,0),""))</f>
        <v/>
      </c>
      <c r="BB168" s="68" t="str">
        <f>IF(ListLayout[[#This Row],[List Name for Layout]]="","nest_relation2",IFERROR(VLOOKUP(ListLayout[[#This Row],[Relation 2]],RelationTable[[Display]:[RELID]],2,0),""))</f>
        <v/>
      </c>
      <c r="BC168" s="107" t="s">
        <v>1472</v>
      </c>
      <c r="BD168" s="108"/>
      <c r="BE168" s="108"/>
    </row>
    <row r="169" spans="46:57">
      <c r="AT169" s="68" t="str">
        <f>'Table Seed Map'!$A$27&amp;"-"&amp;COUNTA($AV$1:ListLayout[[#This Row],[No]])-2</f>
        <v>List Layout-167</v>
      </c>
      <c r="AU169" s="62" t="s">
        <v>2021</v>
      </c>
      <c r="AV169" s="68">
        <f>IF(ListLayout[[#This Row],[List Name for Layout]]="","id",COUNTA($AU$2:ListLayout[[#This Row],[List Name for Layout]])+IF(ISNUMBER(VLOOKUP('Table Seed Map'!$A$27,SeedMap[],9,0)),VLOOKUP('Table Seed Map'!$A$27,SeedMap[],9,0),0))</f>
        <v>2126267</v>
      </c>
      <c r="AW169" s="68">
        <f>IFERROR(VLOOKUP(ListLayout[[#This Row],[List Name for Layout]],ResourceList[[ListDisplayName]:[No]],2,0),"resource_list")</f>
        <v>2123143</v>
      </c>
      <c r="AX169" s="69" t="s">
        <v>1331</v>
      </c>
      <c r="AY169" s="107" t="s">
        <v>827</v>
      </c>
      <c r="AZ169" s="68" t="str">
        <f>IF(ListLayout[[#This Row],[List Name for Layout]]="","relation",IFERROR(VLOOKUP(ListLayout[[#This Row],[Relation]],RelationTable[[Display]:[RELID]],2,0),""))</f>
        <v/>
      </c>
      <c r="BA169" s="68" t="str">
        <f>IF(ListLayout[[#This Row],[List Name for Layout]]="","nest_relation1",IFERROR(VLOOKUP(ListLayout[[#This Row],[Relation 1]],RelationTable[[Display]:[RELID]],2,0),""))</f>
        <v/>
      </c>
      <c r="BB169" s="68" t="str">
        <f>IF(ListLayout[[#This Row],[List Name for Layout]]="","nest_relation2",IFERROR(VLOOKUP(ListLayout[[#This Row],[Relation 2]],RelationTable[[Display]:[RELID]],2,0),""))</f>
        <v/>
      </c>
      <c r="BC169" s="108"/>
      <c r="BD169" s="108"/>
      <c r="BE169" s="108"/>
    </row>
    <row r="170" spans="46:57">
      <c r="AT170" s="68" t="str">
        <f>'Table Seed Map'!$A$27&amp;"-"&amp;COUNTA($AV$1:ListLayout[[#This Row],[No]])-2</f>
        <v>List Layout-168</v>
      </c>
      <c r="AU170" s="62" t="s">
        <v>2021</v>
      </c>
      <c r="AV170" s="68">
        <f>IF(ListLayout[[#This Row],[List Name for Layout]]="","id",COUNTA($AU$2:ListLayout[[#This Row],[List Name for Layout]])+IF(ISNUMBER(VLOOKUP('Table Seed Map'!$A$27,SeedMap[],9,0)),VLOOKUP('Table Seed Map'!$A$27,SeedMap[],9,0),0))</f>
        <v>2126268</v>
      </c>
      <c r="AW170" s="68">
        <f>IFERROR(VLOOKUP(ListLayout[[#This Row],[List Name for Layout]],ResourceList[[ListDisplayName]:[No]],2,0),"resource_list")</f>
        <v>2123143</v>
      </c>
      <c r="AX170" s="69" t="s">
        <v>1471</v>
      </c>
      <c r="AY170" s="107" t="s">
        <v>882</v>
      </c>
      <c r="AZ170" s="68" t="str">
        <f>IF(ListLayout[[#This Row],[List Name for Layout]]="","relation",IFERROR(VLOOKUP(ListLayout[[#This Row],[Relation]],RelationTable[[Display]:[RELID]],2,0),""))</f>
        <v/>
      </c>
      <c r="BA170" s="68" t="str">
        <f>IF(ListLayout[[#This Row],[List Name for Layout]]="","nest_relation1",IFERROR(VLOOKUP(ListLayout[[#This Row],[Relation 1]],RelationTable[[Display]:[RELID]],2,0),""))</f>
        <v/>
      </c>
      <c r="BB170" s="68" t="str">
        <f>IF(ListLayout[[#This Row],[List Name for Layout]]="","nest_relation2",IFERROR(VLOOKUP(ListLayout[[#This Row],[Relation 2]],RelationTable[[Display]:[RELID]],2,0),""))</f>
        <v/>
      </c>
      <c r="BC170" s="108"/>
      <c r="BD170" s="108"/>
      <c r="BE170" s="108"/>
    </row>
    <row r="171" spans="46:57">
      <c r="AT171" s="69" t="str">
        <f>'Table Seed Map'!$A$27&amp;"-"&amp;COUNTA($AV$1:ListLayout[[#This Row],[No]])-2</f>
        <v>List Layout-169</v>
      </c>
      <c r="AU171" s="62" t="s">
        <v>2029</v>
      </c>
      <c r="AV171" s="69">
        <f>IF(ListLayout[[#This Row],[List Name for Layout]]="","id",COUNTA($AU$2:ListLayout[[#This Row],[List Name for Layout]])+IF(ISNUMBER(VLOOKUP('Table Seed Map'!$A$27,SeedMap[],9,0)),VLOOKUP('Table Seed Map'!$A$27,SeedMap[],9,0),0))</f>
        <v>2126269</v>
      </c>
      <c r="AW171" s="69">
        <f>IFERROR(VLOOKUP(ListLayout[[#This Row],[List Name for Layout]],ResourceList[[ListDisplayName]:[No]],2,0),"resource_list")</f>
        <v>2123144</v>
      </c>
      <c r="AX171" s="69" t="s">
        <v>779</v>
      </c>
      <c r="AY171" s="107" t="s">
        <v>23</v>
      </c>
      <c r="AZ171" s="69">
        <f>IF(ListLayout[[#This Row],[List Name for Layout]]="","relation",IFERROR(VLOOKUP(ListLayout[[#This Row],[Relation]],RelationTable[[Display]:[RELID]],2,0),""))</f>
        <v>2109153</v>
      </c>
      <c r="BA171" s="69" t="str">
        <f>IF(ListLayout[[#This Row],[List Name for Layout]]="","nest_relation1",IFERROR(VLOOKUP(ListLayout[[#This Row],[Relation 1]],RelationTable[[Display]:[RELID]],2,0),""))</f>
        <v/>
      </c>
      <c r="BB171" s="69" t="str">
        <f>IF(ListLayout[[#This Row],[List Name for Layout]]="","nest_relation2",IFERROR(VLOOKUP(ListLayout[[#This Row],[Relation 2]],RelationTable[[Display]:[RELID]],2,0),""))</f>
        <v/>
      </c>
      <c r="BC171" s="107" t="s">
        <v>1628</v>
      </c>
      <c r="BD171" s="107"/>
      <c r="BE171" s="107"/>
    </row>
    <row r="172" spans="46:57">
      <c r="AT172" s="68" t="str">
        <f>'Table Seed Map'!$A$27&amp;"-"&amp;COUNTA($AV$1:ListLayout[[#This Row],[No]])-2</f>
        <v>List Layout-170</v>
      </c>
      <c r="AU172" s="62" t="s">
        <v>2029</v>
      </c>
      <c r="AV172" s="68">
        <f>IF(ListLayout[[#This Row],[List Name for Layout]]="","id",COUNTA($AU$2:ListLayout[[#This Row],[List Name for Layout]])+IF(ISNUMBER(VLOOKUP('Table Seed Map'!$A$27,SeedMap[],9,0)),VLOOKUP('Table Seed Map'!$A$27,SeedMap[],9,0),0))</f>
        <v>2126270</v>
      </c>
      <c r="AW172" s="68">
        <f>IFERROR(VLOOKUP(ListLayout[[#This Row],[List Name for Layout]],ResourceList[[ListDisplayName]:[No]],2,0),"resource_list")</f>
        <v>2123144</v>
      </c>
      <c r="AX172" s="69" t="s">
        <v>104</v>
      </c>
      <c r="AY172" s="107" t="s">
        <v>850</v>
      </c>
      <c r="AZ172" s="68">
        <f>IF(ListLayout[[#This Row],[List Name for Layout]]="","relation",IFERROR(VLOOKUP(ListLayout[[#This Row],[Relation]],RelationTable[[Display]:[RELID]],2,0),""))</f>
        <v>2109154</v>
      </c>
      <c r="BA172" s="68" t="str">
        <f>IF(ListLayout[[#This Row],[List Name for Layout]]="","nest_relation1",IFERROR(VLOOKUP(ListLayout[[#This Row],[Relation 1]],RelationTable[[Display]:[RELID]],2,0),""))</f>
        <v/>
      </c>
      <c r="BB172" s="68" t="str">
        <f>IF(ListLayout[[#This Row],[List Name for Layout]]="","nest_relation2",IFERROR(VLOOKUP(ListLayout[[#This Row],[Relation 2]],RelationTable[[Display]:[RELID]],2,0),""))</f>
        <v/>
      </c>
      <c r="BC172" s="107" t="s">
        <v>1629</v>
      </c>
      <c r="BD172" s="108"/>
      <c r="BE172" s="108"/>
    </row>
    <row r="173" spans="46:57">
      <c r="AT173" s="68" t="str">
        <f>'Table Seed Map'!$A$27&amp;"-"&amp;COUNTA($AV$1:ListLayout[[#This Row],[No]])-2</f>
        <v>List Layout-171</v>
      </c>
      <c r="AU173" s="62" t="s">
        <v>2029</v>
      </c>
      <c r="AV173" s="68">
        <f>IF(ListLayout[[#This Row],[List Name for Layout]]="","id",COUNTA($AU$2:ListLayout[[#This Row],[List Name for Layout]])+IF(ISNUMBER(VLOOKUP('Table Seed Map'!$A$27,SeedMap[],9,0)),VLOOKUP('Table Seed Map'!$A$27,SeedMap[],9,0),0))</f>
        <v>2126271</v>
      </c>
      <c r="AW173" s="68">
        <f>IFERROR(VLOOKUP(ListLayout[[#This Row],[List Name for Layout]],ResourceList[[ListDisplayName]:[No]],2,0),"resource_list")</f>
        <v>2123144</v>
      </c>
      <c r="AX173" s="69" t="s">
        <v>1029</v>
      </c>
      <c r="AY173" s="107" t="s">
        <v>1636</v>
      </c>
      <c r="AZ173" s="68">
        <f>IF(ListLayout[[#This Row],[List Name for Layout]]="","relation",IFERROR(VLOOKUP(ListLayout[[#This Row],[Relation]],RelationTable[[Display]:[RELID]],2,0),""))</f>
        <v>2109155</v>
      </c>
      <c r="BA173" s="68" t="str">
        <f>IF(ListLayout[[#This Row],[List Name for Layout]]="","nest_relation1",IFERROR(VLOOKUP(ListLayout[[#This Row],[Relation 1]],RelationTable[[Display]:[RELID]],2,0),""))</f>
        <v/>
      </c>
      <c r="BB173" s="68" t="str">
        <f>IF(ListLayout[[#This Row],[List Name for Layout]]="","nest_relation2",IFERROR(VLOOKUP(ListLayout[[#This Row],[Relation 2]],RelationTable[[Display]:[RELID]],2,0),""))</f>
        <v/>
      </c>
      <c r="BC173" s="107" t="s">
        <v>1630</v>
      </c>
      <c r="BD173" s="108"/>
      <c r="BE173" s="108"/>
    </row>
    <row r="174" spans="46:57">
      <c r="AT174" s="68" t="str">
        <f>'Table Seed Map'!$A$27&amp;"-"&amp;COUNTA($AV$1:ListLayout[[#This Row],[No]])-2</f>
        <v>List Layout-172</v>
      </c>
      <c r="AU174" s="62" t="s">
        <v>2029</v>
      </c>
      <c r="AV174" s="68">
        <f>IF(ListLayout[[#This Row],[List Name for Layout]]="","id",COUNTA($AU$2:ListLayout[[#This Row],[List Name for Layout]])+IF(ISNUMBER(VLOOKUP('Table Seed Map'!$A$27,SeedMap[],9,0)),VLOOKUP('Table Seed Map'!$A$27,SeedMap[],9,0),0))</f>
        <v>2126272</v>
      </c>
      <c r="AW174" s="68">
        <f>IFERROR(VLOOKUP(ListLayout[[#This Row],[List Name for Layout]],ResourceList[[ListDisplayName]:[No]],2,0),"resource_list")</f>
        <v>2123144</v>
      </c>
      <c r="AX174" s="69" t="s">
        <v>896</v>
      </c>
      <c r="AY174" s="107" t="s">
        <v>23</v>
      </c>
      <c r="AZ174" s="68">
        <f>IF(ListLayout[[#This Row],[List Name for Layout]]="","relation",IFERROR(VLOOKUP(ListLayout[[#This Row],[Relation]],RelationTable[[Display]:[RELID]],2,0),""))</f>
        <v>2109188</v>
      </c>
      <c r="BA174" s="68" t="str">
        <f>IF(ListLayout[[#This Row],[List Name for Layout]]="","nest_relation1",IFERROR(VLOOKUP(ListLayout[[#This Row],[Relation 1]],RelationTable[[Display]:[RELID]],2,0),""))</f>
        <v/>
      </c>
      <c r="BB174" s="68" t="str">
        <f>IF(ListLayout[[#This Row],[List Name for Layout]]="","nest_relation2",IFERROR(VLOOKUP(ListLayout[[#This Row],[Relation 2]],RelationTable[[Display]:[RELID]],2,0),""))</f>
        <v/>
      </c>
      <c r="BC174" s="107" t="s">
        <v>1251</v>
      </c>
      <c r="BD174" s="108"/>
      <c r="BE174" s="108"/>
    </row>
    <row r="175" spans="46:57">
      <c r="AT175" s="68" t="str">
        <f>'Table Seed Map'!$A$27&amp;"-"&amp;COUNTA($AV$1:ListLayout[[#This Row],[No]])-2</f>
        <v>List Layout-173</v>
      </c>
      <c r="AU175" s="62" t="s">
        <v>2029</v>
      </c>
      <c r="AV175" s="68">
        <f>IF(ListLayout[[#This Row],[List Name for Layout]]="","id",COUNTA($AU$2:ListLayout[[#This Row],[List Name for Layout]])+IF(ISNUMBER(VLOOKUP('Table Seed Map'!$A$27,SeedMap[],9,0)),VLOOKUP('Table Seed Map'!$A$27,SeedMap[],9,0),0))</f>
        <v>2126273</v>
      </c>
      <c r="AW175" s="68">
        <f>IFERROR(VLOOKUP(ListLayout[[#This Row],[List Name for Layout]],ResourceList[[ListDisplayName]:[No]],2,0),"resource_list")</f>
        <v>2123144</v>
      </c>
      <c r="AX175" s="69" t="s">
        <v>1256</v>
      </c>
      <c r="AY175" s="107" t="s">
        <v>852</v>
      </c>
      <c r="AZ175" s="68" t="str">
        <f>IF(ListLayout[[#This Row],[List Name for Layout]]="","relation",IFERROR(VLOOKUP(ListLayout[[#This Row],[Relation]],RelationTable[[Display]:[RELID]],2,0),""))</f>
        <v/>
      </c>
      <c r="BA175" s="68" t="str">
        <f>IF(ListLayout[[#This Row],[List Name for Layout]]="","nest_relation1",IFERROR(VLOOKUP(ListLayout[[#This Row],[Relation 1]],RelationTable[[Display]:[RELID]],2,0),""))</f>
        <v/>
      </c>
      <c r="BB175" s="68" t="str">
        <f>IF(ListLayout[[#This Row],[List Name for Layout]]="","nest_relation2",IFERROR(VLOOKUP(ListLayout[[#This Row],[Relation 2]],RelationTable[[Display]:[RELID]],2,0),""))</f>
        <v/>
      </c>
      <c r="BC175" s="108"/>
      <c r="BD175" s="108"/>
      <c r="BE175" s="108"/>
    </row>
    <row r="176" spans="46:57">
      <c r="AT176" s="68" t="str">
        <f>'Table Seed Map'!$A$27&amp;"-"&amp;COUNTA($AV$1:ListLayout[[#This Row],[No]])-2</f>
        <v>List Layout-174</v>
      </c>
      <c r="AU176" s="62" t="s">
        <v>2029</v>
      </c>
      <c r="AV176" s="68">
        <f>IF(ListLayout[[#This Row],[List Name for Layout]]="","id",COUNTA($AU$2:ListLayout[[#This Row],[List Name for Layout]])+IF(ISNUMBER(VLOOKUP('Table Seed Map'!$A$27,SeedMap[],9,0)),VLOOKUP('Table Seed Map'!$A$27,SeedMap[],9,0),0))</f>
        <v>2126274</v>
      </c>
      <c r="AW176" s="68">
        <f>IFERROR(VLOOKUP(ListLayout[[#This Row],[List Name for Layout]],ResourceList[[ListDisplayName]:[No]],2,0),"resource_list")</f>
        <v>2123144</v>
      </c>
      <c r="AX176" s="69" t="s">
        <v>1471</v>
      </c>
      <c r="AY176" s="107" t="s">
        <v>882</v>
      </c>
      <c r="AZ176" s="68" t="str">
        <f>IF(ListLayout[[#This Row],[List Name for Layout]]="","relation",IFERROR(VLOOKUP(ListLayout[[#This Row],[Relation]],RelationTable[[Display]:[RELID]],2,0),""))</f>
        <v/>
      </c>
      <c r="BA176" s="68" t="str">
        <f>IF(ListLayout[[#This Row],[List Name for Layout]]="","nest_relation1",IFERROR(VLOOKUP(ListLayout[[#This Row],[Relation 1]],RelationTable[[Display]:[RELID]],2,0),""))</f>
        <v/>
      </c>
      <c r="BB176" s="68" t="str">
        <f>IF(ListLayout[[#This Row],[List Name for Layout]]="","nest_relation2",IFERROR(VLOOKUP(ListLayout[[#This Row],[Relation 2]],RelationTable[[Display]:[RELID]],2,0),""))</f>
        <v/>
      </c>
      <c r="BC176" s="108"/>
      <c r="BD176" s="108"/>
      <c r="BE176" s="108"/>
    </row>
    <row r="177" spans="46:57">
      <c r="AT177" s="69" t="str">
        <f>'Table Seed Map'!$A$27&amp;"-"&amp;COUNTA($AV$1:ListLayout[[#This Row],[No]])-2</f>
        <v>List Layout-175</v>
      </c>
      <c r="AU177" s="62" t="s">
        <v>2041</v>
      </c>
      <c r="AV177" s="69">
        <f>IF(ListLayout[[#This Row],[List Name for Layout]]="","id",COUNTA($AU$2:ListLayout[[#This Row],[List Name for Layout]])+IF(ISNUMBER(VLOOKUP('Table Seed Map'!$A$27,SeedMap[],9,0)),VLOOKUP('Table Seed Map'!$A$27,SeedMap[],9,0),0))</f>
        <v>2126275</v>
      </c>
      <c r="AW177" s="69">
        <f>IFERROR(VLOOKUP(ListLayout[[#This Row],[List Name for Layout]],ResourceList[[ListDisplayName]:[No]],2,0),"resource_list")</f>
        <v>2123145</v>
      </c>
      <c r="AX177" s="69" t="s">
        <v>307</v>
      </c>
      <c r="AY177" s="107" t="s">
        <v>21</v>
      </c>
      <c r="AZ177" s="69" t="str">
        <f>IF(ListLayout[[#This Row],[List Name for Layout]]="","relation",IFERROR(VLOOKUP(ListLayout[[#This Row],[Relation]],RelationTable[[Display]:[RELID]],2,0),""))</f>
        <v/>
      </c>
      <c r="BA177" s="69" t="str">
        <f>IF(ListLayout[[#This Row],[List Name for Layout]]="","nest_relation1",IFERROR(VLOOKUP(ListLayout[[#This Row],[Relation 1]],RelationTable[[Display]:[RELID]],2,0),""))</f>
        <v/>
      </c>
      <c r="BB177" s="69" t="str">
        <f>IF(ListLayout[[#This Row],[List Name for Layout]]="","nest_relation2",IFERROR(VLOOKUP(ListLayout[[#This Row],[Relation 2]],RelationTable[[Display]:[RELID]],2,0),""))</f>
        <v/>
      </c>
      <c r="BC177" s="107"/>
      <c r="BD177" s="107"/>
      <c r="BE177" s="107"/>
    </row>
    <row r="178" spans="46:57">
      <c r="AT178" s="68" t="str">
        <f>'Table Seed Map'!$A$27&amp;"-"&amp;COUNTA($AV$1:ListLayout[[#This Row],[No]])-2</f>
        <v>List Layout-176</v>
      </c>
      <c r="AU178" s="62" t="s">
        <v>2041</v>
      </c>
      <c r="AV178" s="68">
        <f>IF(ListLayout[[#This Row],[List Name for Layout]]="","id",COUNTA($AU$2:ListLayout[[#This Row],[List Name for Layout]])+IF(ISNUMBER(VLOOKUP('Table Seed Map'!$A$27,SeedMap[],9,0)),VLOOKUP('Table Seed Map'!$A$27,SeedMap[],9,0),0))</f>
        <v>2126276</v>
      </c>
      <c r="AW178" s="68">
        <f>IFERROR(VLOOKUP(ListLayout[[#This Row],[List Name for Layout]],ResourceList[[ListDisplayName]:[No]],2,0),"resource_list")</f>
        <v>2123145</v>
      </c>
      <c r="AX178" s="69" t="s">
        <v>785</v>
      </c>
      <c r="AY178" s="107" t="s">
        <v>23</v>
      </c>
      <c r="AZ178" s="68">
        <f>IF(ListLayout[[#This Row],[List Name for Layout]]="","relation",IFERROR(VLOOKUP(ListLayout[[#This Row],[Relation]],RelationTable[[Display]:[RELID]],2,0),""))</f>
        <v>2109162</v>
      </c>
      <c r="BA178" s="68" t="str">
        <f>IF(ListLayout[[#This Row],[List Name for Layout]]="","nest_relation1",IFERROR(VLOOKUP(ListLayout[[#This Row],[Relation 1]],RelationTable[[Display]:[RELID]],2,0),""))</f>
        <v/>
      </c>
      <c r="BB178" s="68" t="str">
        <f>IF(ListLayout[[#This Row],[List Name for Layout]]="","nest_relation2",IFERROR(VLOOKUP(ListLayout[[#This Row],[Relation 2]],RelationTable[[Display]:[RELID]],2,0),""))</f>
        <v/>
      </c>
      <c r="BC178" s="107" t="s">
        <v>1474</v>
      </c>
      <c r="BD178" s="108"/>
      <c r="BE178" s="108"/>
    </row>
    <row r="179" spans="46:57">
      <c r="AT179" s="68" t="str">
        <f>'Table Seed Map'!$A$27&amp;"-"&amp;COUNTA($AV$1:ListLayout[[#This Row],[No]])-2</f>
        <v>List Layout-177</v>
      </c>
      <c r="AU179" s="62" t="s">
        <v>2041</v>
      </c>
      <c r="AV179" s="68">
        <f>IF(ListLayout[[#This Row],[List Name for Layout]]="","id",COUNTA($AU$2:ListLayout[[#This Row],[List Name for Layout]])+IF(ISNUMBER(VLOOKUP('Table Seed Map'!$A$27,SeedMap[],9,0)),VLOOKUP('Table Seed Map'!$A$27,SeedMap[],9,0),0))</f>
        <v>2126277</v>
      </c>
      <c r="AW179" s="68">
        <f>IFERROR(VLOOKUP(ListLayout[[#This Row],[List Name for Layout]],ResourceList[[ListDisplayName]:[No]],2,0),"resource_list")</f>
        <v>2123145</v>
      </c>
      <c r="AX179" s="69" t="s">
        <v>1331</v>
      </c>
      <c r="AY179" s="107" t="s">
        <v>827</v>
      </c>
      <c r="AZ179" s="68" t="str">
        <f>IF(ListLayout[[#This Row],[List Name for Layout]]="","relation",IFERROR(VLOOKUP(ListLayout[[#This Row],[Relation]],RelationTable[[Display]:[RELID]],2,0),""))</f>
        <v/>
      </c>
      <c r="BA179" s="68" t="str">
        <f>IF(ListLayout[[#This Row],[List Name for Layout]]="","nest_relation1",IFERROR(VLOOKUP(ListLayout[[#This Row],[Relation 1]],RelationTable[[Display]:[RELID]],2,0),""))</f>
        <v/>
      </c>
      <c r="BB179" s="68" t="str">
        <f>IF(ListLayout[[#This Row],[List Name for Layout]]="","nest_relation2",IFERROR(VLOOKUP(ListLayout[[#This Row],[Relation 2]],RelationTable[[Display]:[RELID]],2,0),""))</f>
        <v/>
      </c>
      <c r="BC179" s="108"/>
      <c r="BD179" s="108"/>
      <c r="BE179" s="108"/>
    </row>
    <row r="180" spans="46:57">
      <c r="AT180" s="68" t="str">
        <f>'Table Seed Map'!$A$27&amp;"-"&amp;COUNTA($AV$1:ListLayout[[#This Row],[No]])-2</f>
        <v>List Layout-178</v>
      </c>
      <c r="AU180" s="62" t="s">
        <v>2041</v>
      </c>
      <c r="AV180" s="68">
        <f>IF(ListLayout[[#This Row],[List Name for Layout]]="","id",COUNTA($AU$2:ListLayout[[#This Row],[List Name for Layout]])+IF(ISNUMBER(VLOOKUP('Table Seed Map'!$A$27,SeedMap[],9,0)),VLOOKUP('Table Seed Map'!$A$27,SeedMap[],9,0),0))</f>
        <v>2126278</v>
      </c>
      <c r="AW180" s="68">
        <f>IFERROR(VLOOKUP(ListLayout[[#This Row],[List Name for Layout]],ResourceList[[ListDisplayName]:[No]],2,0),"resource_list")</f>
        <v>2123145</v>
      </c>
      <c r="AX180" s="69" t="s">
        <v>1799</v>
      </c>
      <c r="AY180" s="107" t="s">
        <v>1800</v>
      </c>
      <c r="AZ180" s="68" t="str">
        <f>IF(ListLayout[[#This Row],[List Name for Layout]]="","relation",IFERROR(VLOOKUP(ListLayout[[#This Row],[Relation]],RelationTable[[Display]:[RELID]],2,0),""))</f>
        <v/>
      </c>
      <c r="BA180" s="68" t="str">
        <f>IF(ListLayout[[#This Row],[List Name for Layout]]="","nest_relation1",IFERROR(VLOOKUP(ListLayout[[#This Row],[Relation 1]],RelationTable[[Display]:[RELID]],2,0),""))</f>
        <v/>
      </c>
      <c r="BB180" s="68" t="str">
        <f>IF(ListLayout[[#This Row],[List Name for Layout]]="","nest_relation2",IFERROR(VLOOKUP(ListLayout[[#This Row],[Relation 2]],RelationTable[[Display]:[RELID]],2,0),""))</f>
        <v/>
      </c>
      <c r="BC180" s="108"/>
      <c r="BD180" s="108"/>
      <c r="BE180" s="108"/>
    </row>
    <row r="181" spans="46:57">
      <c r="AT181" s="68" t="str">
        <f>'Table Seed Map'!$A$27&amp;"-"&amp;COUNTA($AV$1:ListLayout[[#This Row],[No]])-2</f>
        <v>List Layout-179</v>
      </c>
      <c r="AU181" s="62" t="s">
        <v>2041</v>
      </c>
      <c r="AV181" s="68">
        <f>IF(ListLayout[[#This Row],[List Name for Layout]]="","id",COUNTA($AU$2:ListLayout[[#This Row],[List Name for Layout]])+IF(ISNUMBER(VLOOKUP('Table Seed Map'!$A$27,SeedMap[],9,0)),VLOOKUP('Table Seed Map'!$A$27,SeedMap[],9,0),0))</f>
        <v>2126279</v>
      </c>
      <c r="AW181" s="68">
        <f>IFERROR(VLOOKUP(ListLayout[[#This Row],[List Name for Layout]],ResourceList[[ListDisplayName]:[No]],2,0),"resource_list")</f>
        <v>2123145</v>
      </c>
      <c r="AX181" s="69" t="s">
        <v>1826</v>
      </c>
      <c r="AY181" s="107" t="s">
        <v>1827</v>
      </c>
      <c r="AZ181" s="68" t="str">
        <f>IF(ListLayout[[#This Row],[List Name for Layout]]="","relation",IFERROR(VLOOKUP(ListLayout[[#This Row],[Relation]],RelationTable[[Display]:[RELID]],2,0),""))</f>
        <v/>
      </c>
      <c r="BA181" s="68" t="str">
        <f>IF(ListLayout[[#This Row],[List Name for Layout]]="","nest_relation1",IFERROR(VLOOKUP(ListLayout[[#This Row],[Relation 1]],RelationTable[[Display]:[RELID]],2,0),""))</f>
        <v/>
      </c>
      <c r="BB181" s="68" t="str">
        <f>IF(ListLayout[[#This Row],[List Name for Layout]]="","nest_relation2",IFERROR(VLOOKUP(ListLayout[[#This Row],[Relation 2]],RelationTable[[Display]:[RELID]],2,0),""))</f>
        <v/>
      </c>
      <c r="BC181" s="108"/>
      <c r="BD181" s="108"/>
      <c r="BE181" s="108"/>
    </row>
    <row r="182" spans="46:57">
      <c r="AT182" s="68" t="str">
        <f>'Table Seed Map'!$A$27&amp;"-"&amp;COUNTA($AV$1:ListLayout[[#This Row],[No]])-2</f>
        <v>List Layout-180</v>
      </c>
      <c r="AU182" s="62" t="s">
        <v>2041</v>
      </c>
      <c r="AV182" s="68">
        <f>IF(ListLayout[[#This Row],[List Name for Layout]]="","id",COUNTA($AU$2:ListLayout[[#This Row],[List Name for Layout]])+IF(ISNUMBER(VLOOKUP('Table Seed Map'!$A$27,SeedMap[],9,0)),VLOOKUP('Table Seed Map'!$A$27,SeedMap[],9,0),0))</f>
        <v>2126280</v>
      </c>
      <c r="AW182" s="68">
        <f>IFERROR(VLOOKUP(ListLayout[[#This Row],[List Name for Layout]],ResourceList[[ListDisplayName]:[No]],2,0),"resource_list")</f>
        <v>2123145</v>
      </c>
      <c r="AX182" s="69" t="s">
        <v>787</v>
      </c>
      <c r="AY182" s="107" t="s">
        <v>21</v>
      </c>
      <c r="AZ182" s="68">
        <f>IF(ListLayout[[#This Row],[List Name for Layout]]="","relation",IFERROR(VLOOKUP(ListLayout[[#This Row],[Relation]],RelationTable[[Display]:[RELID]],2,0),""))</f>
        <v>2109161</v>
      </c>
      <c r="BA182" s="68" t="str">
        <f>IF(ListLayout[[#This Row],[List Name for Layout]]="","nest_relation1",IFERROR(VLOOKUP(ListLayout[[#This Row],[Relation 1]],RelationTable[[Display]:[RELID]],2,0),""))</f>
        <v/>
      </c>
      <c r="BB182" s="68" t="str">
        <f>IF(ListLayout[[#This Row],[List Name for Layout]]="","nest_relation2",IFERROR(VLOOKUP(ListLayout[[#This Row],[Relation 2]],RelationTable[[Display]:[RELID]],2,0),""))</f>
        <v/>
      </c>
      <c r="BC182" s="107" t="s">
        <v>1475</v>
      </c>
      <c r="BD182" s="108"/>
      <c r="BE182" s="108"/>
    </row>
    <row r="183" spans="46:57">
      <c r="AT183" s="68" t="str">
        <f>'Table Seed Map'!$A$27&amp;"-"&amp;COUNTA($AV$1:ListLayout[[#This Row],[No]])-2</f>
        <v>List Layout-181</v>
      </c>
      <c r="AU183" s="62" t="s">
        <v>2041</v>
      </c>
      <c r="AV183" s="68">
        <f>IF(ListLayout[[#This Row],[List Name for Layout]]="","id",COUNTA($AU$2:ListLayout[[#This Row],[List Name for Layout]])+IF(ISNUMBER(VLOOKUP('Table Seed Map'!$A$27,SeedMap[],9,0)),VLOOKUP('Table Seed Map'!$A$27,SeedMap[],9,0),0))</f>
        <v>2126281</v>
      </c>
      <c r="AW183" s="68">
        <f>IFERROR(VLOOKUP(ListLayout[[#This Row],[List Name for Layout]],ResourceList[[ListDisplayName]:[No]],2,0),"resource_list")</f>
        <v>2123145</v>
      </c>
      <c r="AX183" s="69" t="s">
        <v>1471</v>
      </c>
      <c r="AY183" s="107" t="s">
        <v>882</v>
      </c>
      <c r="AZ183" s="68" t="str">
        <f>IF(ListLayout[[#This Row],[List Name for Layout]]="","relation",IFERROR(VLOOKUP(ListLayout[[#This Row],[Relation]],RelationTable[[Display]:[RELID]],2,0),""))</f>
        <v/>
      </c>
      <c r="BA183" s="68" t="str">
        <f>IF(ListLayout[[#This Row],[List Name for Layout]]="","nest_relation1",IFERROR(VLOOKUP(ListLayout[[#This Row],[Relation 1]],RelationTable[[Display]:[RELID]],2,0),""))</f>
        <v/>
      </c>
      <c r="BB183" s="68" t="str">
        <f>IF(ListLayout[[#This Row],[List Name for Layout]]="","nest_relation2",IFERROR(VLOOKUP(ListLayout[[#This Row],[Relation 2]],RelationTable[[Display]:[RELID]],2,0),""))</f>
        <v/>
      </c>
      <c r="BC183" s="108"/>
      <c r="BD183" s="108"/>
      <c r="BE183" s="108"/>
    </row>
    <row r="184" spans="46:57">
      <c r="AT184" s="69" t="str">
        <f>'Table Seed Map'!$A$27&amp;"-"&amp;COUNTA($AV$1:ListLayout[[#This Row],[No]])-2</f>
        <v>List Layout-182</v>
      </c>
      <c r="AU184" s="62" t="s">
        <v>2046</v>
      </c>
      <c r="AV184" s="69">
        <f>IF(ListLayout[[#This Row],[List Name for Layout]]="","id",COUNTA($AU$2:ListLayout[[#This Row],[List Name for Layout]])+IF(ISNUMBER(VLOOKUP('Table Seed Map'!$A$27,SeedMap[],9,0)),VLOOKUP('Table Seed Map'!$A$27,SeedMap[],9,0),0))</f>
        <v>2126282</v>
      </c>
      <c r="AW184" s="69">
        <f>IFERROR(VLOOKUP(ListLayout[[#This Row],[List Name for Layout]],ResourceList[[ListDisplayName]:[No]],2,0),"resource_list")</f>
        <v>2123146</v>
      </c>
      <c r="AX184" s="69" t="s">
        <v>307</v>
      </c>
      <c r="AY184" s="107" t="s">
        <v>21</v>
      </c>
      <c r="AZ184" s="69" t="str">
        <f>IF(ListLayout[[#This Row],[List Name for Layout]]="","relation",IFERROR(VLOOKUP(ListLayout[[#This Row],[Relation]],RelationTable[[Display]:[RELID]],2,0),""))</f>
        <v/>
      </c>
      <c r="BA184" s="69" t="str">
        <f>IF(ListLayout[[#This Row],[List Name for Layout]]="","nest_relation1",IFERROR(VLOOKUP(ListLayout[[#This Row],[Relation 1]],RelationTable[[Display]:[RELID]],2,0),""))</f>
        <v/>
      </c>
      <c r="BB184" s="69" t="str">
        <f>IF(ListLayout[[#This Row],[List Name for Layout]]="","nest_relation2",IFERROR(VLOOKUP(ListLayout[[#This Row],[Relation 2]],RelationTable[[Display]:[RELID]],2,0),""))</f>
        <v/>
      </c>
      <c r="BC184" s="107"/>
      <c r="BD184" s="107"/>
      <c r="BE184" s="107"/>
    </row>
    <row r="185" spans="46:57">
      <c r="AT185" s="68" t="str">
        <f>'Table Seed Map'!$A$27&amp;"-"&amp;COUNTA($AV$1:ListLayout[[#This Row],[No]])-2</f>
        <v>List Layout-183</v>
      </c>
      <c r="AU185" s="62" t="s">
        <v>2046</v>
      </c>
      <c r="AV185" s="68">
        <f>IF(ListLayout[[#This Row],[List Name for Layout]]="","id",COUNTA($AU$2:ListLayout[[#This Row],[List Name for Layout]])+IF(ISNUMBER(VLOOKUP('Table Seed Map'!$A$27,SeedMap[],9,0)),VLOOKUP('Table Seed Map'!$A$27,SeedMap[],9,0),0))</f>
        <v>2126283</v>
      </c>
      <c r="AW185" s="68">
        <f>IFERROR(VLOOKUP(ListLayout[[#This Row],[List Name for Layout]],ResourceList[[ListDisplayName]:[No]],2,0),"resource_list")</f>
        <v>2123146</v>
      </c>
      <c r="AX185" s="69" t="s">
        <v>785</v>
      </c>
      <c r="AY185" s="107" t="s">
        <v>23</v>
      </c>
      <c r="AZ185" s="68">
        <f>IF(ListLayout[[#This Row],[List Name for Layout]]="","relation",IFERROR(VLOOKUP(ListLayout[[#This Row],[Relation]],RelationTable[[Display]:[RELID]],2,0),""))</f>
        <v>2109162</v>
      </c>
      <c r="BA185" s="68" t="str">
        <f>IF(ListLayout[[#This Row],[List Name for Layout]]="","nest_relation1",IFERROR(VLOOKUP(ListLayout[[#This Row],[Relation 1]],RelationTable[[Display]:[RELID]],2,0),""))</f>
        <v/>
      </c>
      <c r="BB185" s="68" t="str">
        <f>IF(ListLayout[[#This Row],[List Name for Layout]]="","nest_relation2",IFERROR(VLOOKUP(ListLayout[[#This Row],[Relation 2]],RelationTable[[Display]:[RELID]],2,0),""))</f>
        <v/>
      </c>
      <c r="BC185" s="107" t="s">
        <v>1474</v>
      </c>
      <c r="BD185" s="108"/>
      <c r="BE185" s="108"/>
    </row>
    <row r="186" spans="46:57">
      <c r="AT186" s="68" t="str">
        <f>'Table Seed Map'!$A$27&amp;"-"&amp;COUNTA($AV$1:ListLayout[[#This Row],[No]])-2</f>
        <v>List Layout-184</v>
      </c>
      <c r="AU186" s="62" t="s">
        <v>2046</v>
      </c>
      <c r="AV186" s="68">
        <f>IF(ListLayout[[#This Row],[List Name for Layout]]="","id",COUNTA($AU$2:ListLayout[[#This Row],[List Name for Layout]])+IF(ISNUMBER(VLOOKUP('Table Seed Map'!$A$27,SeedMap[],9,0)),VLOOKUP('Table Seed Map'!$A$27,SeedMap[],9,0),0))</f>
        <v>2126284</v>
      </c>
      <c r="AW186" s="68">
        <f>IFERROR(VLOOKUP(ListLayout[[#This Row],[List Name for Layout]],ResourceList[[ListDisplayName]:[No]],2,0),"resource_list")</f>
        <v>2123146</v>
      </c>
      <c r="AX186" s="69" t="s">
        <v>1331</v>
      </c>
      <c r="AY186" s="107" t="s">
        <v>827</v>
      </c>
      <c r="AZ186" s="68" t="str">
        <f>IF(ListLayout[[#This Row],[List Name for Layout]]="","relation",IFERROR(VLOOKUP(ListLayout[[#This Row],[Relation]],RelationTable[[Display]:[RELID]],2,0),""))</f>
        <v/>
      </c>
      <c r="BA186" s="68" t="str">
        <f>IF(ListLayout[[#This Row],[List Name for Layout]]="","nest_relation1",IFERROR(VLOOKUP(ListLayout[[#This Row],[Relation 1]],RelationTable[[Display]:[RELID]],2,0),""))</f>
        <v/>
      </c>
      <c r="BB186" s="68" t="str">
        <f>IF(ListLayout[[#This Row],[List Name for Layout]]="","nest_relation2",IFERROR(VLOOKUP(ListLayout[[#This Row],[Relation 2]],RelationTable[[Display]:[RELID]],2,0),""))</f>
        <v/>
      </c>
      <c r="BC186" s="108"/>
      <c r="BD186" s="108"/>
      <c r="BE186" s="108"/>
    </row>
    <row r="187" spans="46:57">
      <c r="AT187" s="68" t="str">
        <f>'Table Seed Map'!$A$27&amp;"-"&amp;COUNTA($AV$1:ListLayout[[#This Row],[No]])-2</f>
        <v>List Layout-185</v>
      </c>
      <c r="AU187" s="62" t="s">
        <v>2046</v>
      </c>
      <c r="AV187" s="68">
        <f>IF(ListLayout[[#This Row],[List Name for Layout]]="","id",COUNTA($AU$2:ListLayout[[#This Row],[List Name for Layout]])+IF(ISNUMBER(VLOOKUP('Table Seed Map'!$A$27,SeedMap[],9,0)),VLOOKUP('Table Seed Map'!$A$27,SeedMap[],9,0),0))</f>
        <v>2126285</v>
      </c>
      <c r="AW187" s="68">
        <f>IFERROR(VLOOKUP(ListLayout[[#This Row],[List Name for Layout]],ResourceList[[ListDisplayName]:[No]],2,0),"resource_list")</f>
        <v>2123146</v>
      </c>
      <c r="AX187" s="69" t="s">
        <v>1799</v>
      </c>
      <c r="AY187" s="107" t="s">
        <v>1800</v>
      </c>
      <c r="AZ187" s="68" t="str">
        <f>IF(ListLayout[[#This Row],[List Name for Layout]]="","relation",IFERROR(VLOOKUP(ListLayout[[#This Row],[Relation]],RelationTable[[Display]:[RELID]],2,0),""))</f>
        <v/>
      </c>
      <c r="BA187" s="68" t="str">
        <f>IF(ListLayout[[#This Row],[List Name for Layout]]="","nest_relation1",IFERROR(VLOOKUP(ListLayout[[#This Row],[Relation 1]],RelationTable[[Display]:[RELID]],2,0),""))</f>
        <v/>
      </c>
      <c r="BB187" s="68" t="str">
        <f>IF(ListLayout[[#This Row],[List Name for Layout]]="","nest_relation2",IFERROR(VLOOKUP(ListLayout[[#This Row],[Relation 2]],RelationTable[[Display]:[RELID]],2,0),""))</f>
        <v/>
      </c>
      <c r="BC187" s="108"/>
      <c r="BD187" s="108"/>
      <c r="BE187" s="108"/>
    </row>
    <row r="188" spans="46:57">
      <c r="AT188" s="68" t="str">
        <f>'Table Seed Map'!$A$27&amp;"-"&amp;COUNTA($AV$1:ListLayout[[#This Row],[No]])-2</f>
        <v>List Layout-186</v>
      </c>
      <c r="AU188" s="62" t="s">
        <v>2046</v>
      </c>
      <c r="AV188" s="68">
        <f>IF(ListLayout[[#This Row],[List Name for Layout]]="","id",COUNTA($AU$2:ListLayout[[#This Row],[List Name for Layout]])+IF(ISNUMBER(VLOOKUP('Table Seed Map'!$A$27,SeedMap[],9,0)),VLOOKUP('Table Seed Map'!$A$27,SeedMap[],9,0),0))</f>
        <v>2126286</v>
      </c>
      <c r="AW188" s="68">
        <f>IFERROR(VLOOKUP(ListLayout[[#This Row],[List Name for Layout]],ResourceList[[ListDisplayName]:[No]],2,0),"resource_list")</f>
        <v>2123146</v>
      </c>
      <c r="AX188" s="69" t="s">
        <v>1826</v>
      </c>
      <c r="AY188" s="107" t="s">
        <v>1827</v>
      </c>
      <c r="AZ188" s="68" t="str">
        <f>IF(ListLayout[[#This Row],[List Name for Layout]]="","relation",IFERROR(VLOOKUP(ListLayout[[#This Row],[Relation]],RelationTable[[Display]:[RELID]],2,0),""))</f>
        <v/>
      </c>
      <c r="BA188" s="68" t="str">
        <f>IF(ListLayout[[#This Row],[List Name for Layout]]="","nest_relation1",IFERROR(VLOOKUP(ListLayout[[#This Row],[Relation 1]],RelationTable[[Display]:[RELID]],2,0),""))</f>
        <v/>
      </c>
      <c r="BB188" s="68" t="str">
        <f>IF(ListLayout[[#This Row],[List Name for Layout]]="","nest_relation2",IFERROR(VLOOKUP(ListLayout[[#This Row],[Relation 2]],RelationTable[[Display]:[RELID]],2,0),""))</f>
        <v/>
      </c>
      <c r="BC188" s="108"/>
      <c r="BD188" s="108"/>
      <c r="BE188" s="108"/>
    </row>
    <row r="189" spans="46:57">
      <c r="AT189" s="68" t="str">
        <f>'Table Seed Map'!$A$27&amp;"-"&amp;COUNTA($AV$1:ListLayout[[#This Row],[No]])-2</f>
        <v>List Layout-187</v>
      </c>
      <c r="AU189" s="62" t="s">
        <v>2046</v>
      </c>
      <c r="AV189" s="68">
        <f>IF(ListLayout[[#This Row],[List Name for Layout]]="","id",COUNTA($AU$2:ListLayout[[#This Row],[List Name for Layout]])+IF(ISNUMBER(VLOOKUP('Table Seed Map'!$A$27,SeedMap[],9,0)),VLOOKUP('Table Seed Map'!$A$27,SeedMap[],9,0),0))</f>
        <v>2126287</v>
      </c>
      <c r="AW189" s="68">
        <f>IFERROR(VLOOKUP(ListLayout[[#This Row],[List Name for Layout]],ResourceList[[ListDisplayName]:[No]],2,0),"resource_list")</f>
        <v>2123146</v>
      </c>
      <c r="AX189" s="69" t="s">
        <v>787</v>
      </c>
      <c r="AY189" s="107" t="s">
        <v>21</v>
      </c>
      <c r="AZ189" s="68">
        <f>IF(ListLayout[[#This Row],[List Name for Layout]]="","relation",IFERROR(VLOOKUP(ListLayout[[#This Row],[Relation]],RelationTable[[Display]:[RELID]],2,0),""))</f>
        <v>2109161</v>
      </c>
      <c r="BA189" s="68" t="str">
        <f>IF(ListLayout[[#This Row],[List Name for Layout]]="","nest_relation1",IFERROR(VLOOKUP(ListLayout[[#This Row],[Relation 1]],RelationTable[[Display]:[RELID]],2,0),""))</f>
        <v/>
      </c>
      <c r="BB189" s="68" t="str">
        <f>IF(ListLayout[[#This Row],[List Name for Layout]]="","nest_relation2",IFERROR(VLOOKUP(ListLayout[[#This Row],[Relation 2]],RelationTable[[Display]:[RELID]],2,0),""))</f>
        <v/>
      </c>
      <c r="BC189" s="107" t="s">
        <v>1475</v>
      </c>
      <c r="BD189" s="108"/>
      <c r="BE189" s="108"/>
    </row>
    <row r="190" spans="46:57">
      <c r="AT190" s="68" t="str">
        <f>'Table Seed Map'!$A$27&amp;"-"&amp;COUNTA($AV$1:ListLayout[[#This Row],[No]])-2</f>
        <v>List Layout-188</v>
      </c>
      <c r="AU190" s="62" t="s">
        <v>2046</v>
      </c>
      <c r="AV190" s="68">
        <f>IF(ListLayout[[#This Row],[List Name for Layout]]="","id",COUNTA($AU$2:ListLayout[[#This Row],[List Name for Layout]])+IF(ISNUMBER(VLOOKUP('Table Seed Map'!$A$27,SeedMap[],9,0)),VLOOKUP('Table Seed Map'!$A$27,SeedMap[],9,0),0))</f>
        <v>2126288</v>
      </c>
      <c r="AW190" s="68">
        <f>IFERROR(VLOOKUP(ListLayout[[#This Row],[List Name for Layout]],ResourceList[[ListDisplayName]:[No]],2,0),"resource_list")</f>
        <v>2123146</v>
      </c>
      <c r="AX190" s="69" t="s">
        <v>1471</v>
      </c>
      <c r="AY190" s="107" t="s">
        <v>882</v>
      </c>
      <c r="AZ190" s="68" t="str">
        <f>IF(ListLayout[[#This Row],[List Name for Layout]]="","relation",IFERROR(VLOOKUP(ListLayout[[#This Row],[Relation]],RelationTable[[Display]:[RELID]],2,0),""))</f>
        <v/>
      </c>
      <c r="BA190" s="68" t="str">
        <f>IF(ListLayout[[#This Row],[List Name for Layout]]="","nest_relation1",IFERROR(VLOOKUP(ListLayout[[#This Row],[Relation 1]],RelationTable[[Display]:[RELID]],2,0),""))</f>
        <v/>
      </c>
      <c r="BB190" s="68" t="str">
        <f>IF(ListLayout[[#This Row],[List Name for Layout]]="","nest_relation2",IFERROR(VLOOKUP(ListLayout[[#This Row],[Relation 2]],RelationTable[[Display]:[RELID]],2,0),""))</f>
        <v/>
      </c>
      <c r="BC190" s="108"/>
      <c r="BD190" s="108"/>
      <c r="BE190" s="108"/>
    </row>
    <row r="191" spans="46:57">
      <c r="AT191" s="69" t="str">
        <f>'Table Seed Map'!$A$27&amp;"-"&amp;COUNTA($AV$1:ListLayout[[#This Row],[No]])-2</f>
        <v>List Layout-189</v>
      </c>
      <c r="AU191" s="62" t="s">
        <v>2047</v>
      </c>
      <c r="AV191" s="69">
        <f>IF(ListLayout[[#This Row],[List Name for Layout]]="","id",COUNTA($AU$2:ListLayout[[#This Row],[List Name for Layout]])+IF(ISNUMBER(VLOOKUP('Table Seed Map'!$A$27,SeedMap[],9,0)),VLOOKUP('Table Seed Map'!$A$27,SeedMap[],9,0),0))</f>
        <v>2126289</v>
      </c>
      <c r="AW191" s="69">
        <f>IFERROR(VLOOKUP(ListLayout[[#This Row],[List Name for Layout]],ResourceList[[ListDisplayName]:[No]],2,0),"resource_list")</f>
        <v>2123147</v>
      </c>
      <c r="AX191" s="69" t="s">
        <v>307</v>
      </c>
      <c r="AY191" s="107" t="s">
        <v>21</v>
      </c>
      <c r="AZ191" s="69" t="str">
        <f>IF(ListLayout[[#This Row],[List Name for Layout]]="","relation",IFERROR(VLOOKUP(ListLayout[[#This Row],[Relation]],RelationTable[[Display]:[RELID]],2,0),""))</f>
        <v/>
      </c>
      <c r="BA191" s="69" t="str">
        <f>IF(ListLayout[[#This Row],[List Name for Layout]]="","nest_relation1",IFERROR(VLOOKUP(ListLayout[[#This Row],[Relation 1]],RelationTable[[Display]:[RELID]],2,0),""))</f>
        <v/>
      </c>
      <c r="BB191" s="69" t="str">
        <f>IF(ListLayout[[#This Row],[List Name for Layout]]="","nest_relation2",IFERROR(VLOOKUP(ListLayout[[#This Row],[Relation 2]],RelationTable[[Display]:[RELID]],2,0),""))</f>
        <v/>
      </c>
      <c r="BC191" s="107"/>
      <c r="BD191" s="107"/>
      <c r="BE191" s="107"/>
    </row>
    <row r="192" spans="46:57">
      <c r="AT192" s="68" t="str">
        <f>'Table Seed Map'!$A$27&amp;"-"&amp;COUNTA($AV$1:ListLayout[[#This Row],[No]])-2</f>
        <v>List Layout-190</v>
      </c>
      <c r="AU192" s="62" t="s">
        <v>2047</v>
      </c>
      <c r="AV192" s="68">
        <f>IF(ListLayout[[#This Row],[List Name for Layout]]="","id",COUNTA($AU$2:ListLayout[[#This Row],[List Name for Layout]])+IF(ISNUMBER(VLOOKUP('Table Seed Map'!$A$27,SeedMap[],9,0)),VLOOKUP('Table Seed Map'!$A$27,SeedMap[],9,0),0))</f>
        <v>2126290</v>
      </c>
      <c r="AW192" s="68">
        <f>IFERROR(VLOOKUP(ListLayout[[#This Row],[List Name for Layout]],ResourceList[[ListDisplayName]:[No]],2,0),"resource_list")</f>
        <v>2123147</v>
      </c>
      <c r="AX192" s="69" t="s">
        <v>785</v>
      </c>
      <c r="AY192" s="107" t="s">
        <v>23</v>
      </c>
      <c r="AZ192" s="68">
        <f>IF(ListLayout[[#This Row],[List Name for Layout]]="","relation",IFERROR(VLOOKUP(ListLayout[[#This Row],[Relation]],RelationTable[[Display]:[RELID]],2,0),""))</f>
        <v>2109162</v>
      </c>
      <c r="BA192" s="68" t="str">
        <f>IF(ListLayout[[#This Row],[List Name for Layout]]="","nest_relation1",IFERROR(VLOOKUP(ListLayout[[#This Row],[Relation 1]],RelationTable[[Display]:[RELID]],2,0),""))</f>
        <v/>
      </c>
      <c r="BB192" s="68" t="str">
        <f>IF(ListLayout[[#This Row],[List Name for Layout]]="","nest_relation2",IFERROR(VLOOKUP(ListLayout[[#This Row],[Relation 2]],RelationTable[[Display]:[RELID]],2,0),""))</f>
        <v/>
      </c>
      <c r="BC192" s="107" t="s">
        <v>1474</v>
      </c>
      <c r="BD192" s="108"/>
      <c r="BE192" s="108"/>
    </row>
    <row r="193" spans="46:57">
      <c r="AT193" s="68" t="str">
        <f>'Table Seed Map'!$A$27&amp;"-"&amp;COUNTA($AV$1:ListLayout[[#This Row],[No]])-2</f>
        <v>List Layout-191</v>
      </c>
      <c r="AU193" s="62" t="s">
        <v>2047</v>
      </c>
      <c r="AV193" s="68">
        <f>IF(ListLayout[[#This Row],[List Name for Layout]]="","id",COUNTA($AU$2:ListLayout[[#This Row],[List Name for Layout]])+IF(ISNUMBER(VLOOKUP('Table Seed Map'!$A$27,SeedMap[],9,0)),VLOOKUP('Table Seed Map'!$A$27,SeedMap[],9,0),0))</f>
        <v>2126291</v>
      </c>
      <c r="AW193" s="68">
        <f>IFERROR(VLOOKUP(ListLayout[[#This Row],[List Name for Layout]],ResourceList[[ListDisplayName]:[No]],2,0),"resource_list")</f>
        <v>2123147</v>
      </c>
      <c r="AX193" s="69" t="s">
        <v>1331</v>
      </c>
      <c r="AY193" s="107" t="s">
        <v>827</v>
      </c>
      <c r="AZ193" s="68" t="str">
        <f>IF(ListLayout[[#This Row],[List Name for Layout]]="","relation",IFERROR(VLOOKUP(ListLayout[[#This Row],[Relation]],RelationTable[[Display]:[RELID]],2,0),""))</f>
        <v/>
      </c>
      <c r="BA193" s="68" t="str">
        <f>IF(ListLayout[[#This Row],[List Name for Layout]]="","nest_relation1",IFERROR(VLOOKUP(ListLayout[[#This Row],[Relation 1]],RelationTable[[Display]:[RELID]],2,0),""))</f>
        <v/>
      </c>
      <c r="BB193" s="68" t="str">
        <f>IF(ListLayout[[#This Row],[List Name for Layout]]="","nest_relation2",IFERROR(VLOOKUP(ListLayout[[#This Row],[Relation 2]],RelationTable[[Display]:[RELID]],2,0),""))</f>
        <v/>
      </c>
      <c r="BC193" s="108"/>
      <c r="BD193" s="108"/>
      <c r="BE193" s="108"/>
    </row>
    <row r="194" spans="46:57">
      <c r="AT194" s="68" t="str">
        <f>'Table Seed Map'!$A$27&amp;"-"&amp;COUNTA($AV$1:ListLayout[[#This Row],[No]])-2</f>
        <v>List Layout-192</v>
      </c>
      <c r="AU194" s="62" t="s">
        <v>2047</v>
      </c>
      <c r="AV194" s="68">
        <f>IF(ListLayout[[#This Row],[List Name for Layout]]="","id",COUNTA($AU$2:ListLayout[[#This Row],[List Name for Layout]])+IF(ISNUMBER(VLOOKUP('Table Seed Map'!$A$27,SeedMap[],9,0)),VLOOKUP('Table Seed Map'!$A$27,SeedMap[],9,0),0))</f>
        <v>2126292</v>
      </c>
      <c r="AW194" s="68">
        <f>IFERROR(VLOOKUP(ListLayout[[#This Row],[List Name for Layout]],ResourceList[[ListDisplayName]:[No]],2,0),"resource_list")</f>
        <v>2123147</v>
      </c>
      <c r="AX194" s="69" t="s">
        <v>1799</v>
      </c>
      <c r="AY194" s="107" t="s">
        <v>1800</v>
      </c>
      <c r="AZ194" s="68" t="str">
        <f>IF(ListLayout[[#This Row],[List Name for Layout]]="","relation",IFERROR(VLOOKUP(ListLayout[[#This Row],[Relation]],RelationTable[[Display]:[RELID]],2,0),""))</f>
        <v/>
      </c>
      <c r="BA194" s="68" t="str">
        <f>IF(ListLayout[[#This Row],[List Name for Layout]]="","nest_relation1",IFERROR(VLOOKUP(ListLayout[[#This Row],[Relation 1]],RelationTable[[Display]:[RELID]],2,0),""))</f>
        <v/>
      </c>
      <c r="BB194" s="68" t="str">
        <f>IF(ListLayout[[#This Row],[List Name for Layout]]="","nest_relation2",IFERROR(VLOOKUP(ListLayout[[#This Row],[Relation 2]],RelationTable[[Display]:[RELID]],2,0),""))</f>
        <v/>
      </c>
      <c r="BC194" s="108"/>
      <c r="BD194" s="108"/>
      <c r="BE194" s="108"/>
    </row>
    <row r="195" spans="46:57">
      <c r="AT195" s="68" t="str">
        <f>'Table Seed Map'!$A$27&amp;"-"&amp;COUNTA($AV$1:ListLayout[[#This Row],[No]])-2</f>
        <v>List Layout-193</v>
      </c>
      <c r="AU195" s="62" t="s">
        <v>2047</v>
      </c>
      <c r="AV195" s="68">
        <f>IF(ListLayout[[#This Row],[List Name for Layout]]="","id",COUNTA($AU$2:ListLayout[[#This Row],[List Name for Layout]])+IF(ISNUMBER(VLOOKUP('Table Seed Map'!$A$27,SeedMap[],9,0)),VLOOKUP('Table Seed Map'!$A$27,SeedMap[],9,0),0))</f>
        <v>2126293</v>
      </c>
      <c r="AW195" s="68">
        <f>IFERROR(VLOOKUP(ListLayout[[#This Row],[List Name for Layout]],ResourceList[[ListDisplayName]:[No]],2,0),"resource_list")</f>
        <v>2123147</v>
      </c>
      <c r="AX195" s="69" t="s">
        <v>787</v>
      </c>
      <c r="AY195" s="107" t="s">
        <v>21</v>
      </c>
      <c r="AZ195" s="68">
        <f>IF(ListLayout[[#This Row],[List Name for Layout]]="","relation",IFERROR(VLOOKUP(ListLayout[[#This Row],[Relation]],RelationTable[[Display]:[RELID]],2,0),""))</f>
        <v>2109161</v>
      </c>
      <c r="BA195" s="68" t="str">
        <f>IF(ListLayout[[#This Row],[List Name for Layout]]="","nest_relation1",IFERROR(VLOOKUP(ListLayout[[#This Row],[Relation 1]],RelationTable[[Display]:[RELID]],2,0),""))</f>
        <v/>
      </c>
      <c r="BB195" s="68" t="str">
        <f>IF(ListLayout[[#This Row],[List Name for Layout]]="","nest_relation2",IFERROR(VLOOKUP(ListLayout[[#This Row],[Relation 2]],RelationTable[[Display]:[RELID]],2,0),""))</f>
        <v/>
      </c>
      <c r="BC195" s="107" t="s">
        <v>1475</v>
      </c>
      <c r="BD195" s="108"/>
      <c r="BE195" s="108"/>
    </row>
    <row r="196" spans="46:57">
      <c r="AT196" s="68" t="str">
        <f>'Table Seed Map'!$A$27&amp;"-"&amp;COUNTA($AV$1:ListLayout[[#This Row],[No]])-2</f>
        <v>List Layout-194</v>
      </c>
      <c r="AU196" s="62" t="s">
        <v>2047</v>
      </c>
      <c r="AV196" s="68">
        <f>IF(ListLayout[[#This Row],[List Name for Layout]]="","id",COUNTA($AU$2:ListLayout[[#This Row],[List Name for Layout]])+IF(ISNUMBER(VLOOKUP('Table Seed Map'!$A$27,SeedMap[],9,0)),VLOOKUP('Table Seed Map'!$A$27,SeedMap[],9,0),0))</f>
        <v>2126294</v>
      </c>
      <c r="AW196" s="68">
        <f>IFERROR(VLOOKUP(ListLayout[[#This Row],[List Name for Layout]],ResourceList[[ListDisplayName]:[No]],2,0),"resource_list")</f>
        <v>2123147</v>
      </c>
      <c r="AX196" s="69" t="s">
        <v>1471</v>
      </c>
      <c r="AY196" s="107" t="s">
        <v>882</v>
      </c>
      <c r="AZ196" s="68" t="str">
        <f>IF(ListLayout[[#This Row],[List Name for Layout]]="","relation",IFERROR(VLOOKUP(ListLayout[[#This Row],[Relation]],RelationTable[[Display]:[RELID]],2,0),""))</f>
        <v/>
      </c>
      <c r="BA196" s="68" t="str">
        <f>IF(ListLayout[[#This Row],[List Name for Layout]]="","nest_relation1",IFERROR(VLOOKUP(ListLayout[[#This Row],[Relation 1]],RelationTable[[Display]:[RELID]],2,0),""))</f>
        <v/>
      </c>
      <c r="BB196" s="68" t="str">
        <f>IF(ListLayout[[#This Row],[List Name for Layout]]="","nest_relation2",IFERROR(VLOOKUP(ListLayout[[#This Row],[Relation 2]],RelationTable[[Display]:[RELID]],2,0),""))</f>
        <v/>
      </c>
      <c r="BC196" s="108"/>
      <c r="BD196" s="108"/>
      <c r="BE196" s="108"/>
    </row>
    <row r="197" spans="46:57">
      <c r="AT197" s="69" t="str">
        <f>'Table Seed Map'!$A$27&amp;"-"&amp;COUNTA($AV$1:ListLayout[[#This Row],[No]])-2</f>
        <v>List Layout-195</v>
      </c>
      <c r="AU197" s="62" t="s">
        <v>2057</v>
      </c>
      <c r="AV197" s="69">
        <f>IF(ListLayout[[#This Row],[List Name for Layout]]="","id",COUNTA($AU$2:ListLayout[[#This Row],[List Name for Layout]])+IF(ISNUMBER(VLOOKUP('Table Seed Map'!$A$27,SeedMap[],9,0)),VLOOKUP('Table Seed Map'!$A$27,SeedMap[],9,0),0))</f>
        <v>2126295</v>
      </c>
      <c r="AW197" s="69">
        <f>IFERROR(VLOOKUP(ListLayout[[#This Row],[List Name for Layout]],ResourceList[[ListDisplayName]:[No]],2,0),"resource_list")</f>
        <v>2123148</v>
      </c>
      <c r="AX197" s="69" t="s">
        <v>307</v>
      </c>
      <c r="AY197" s="107" t="s">
        <v>21</v>
      </c>
      <c r="AZ197" s="69" t="str">
        <f>IF(ListLayout[[#This Row],[List Name for Layout]]="","relation",IFERROR(VLOOKUP(ListLayout[[#This Row],[Relation]],RelationTable[[Display]:[RELID]],2,0),""))</f>
        <v/>
      </c>
      <c r="BA197" s="69" t="str">
        <f>IF(ListLayout[[#This Row],[List Name for Layout]]="","nest_relation1",IFERROR(VLOOKUP(ListLayout[[#This Row],[Relation 1]],RelationTable[[Display]:[RELID]],2,0),""))</f>
        <v/>
      </c>
      <c r="BB197" s="69" t="str">
        <f>IF(ListLayout[[#This Row],[List Name for Layout]]="","nest_relation2",IFERROR(VLOOKUP(ListLayout[[#This Row],[Relation 2]],RelationTable[[Display]:[RELID]],2,0),""))</f>
        <v/>
      </c>
      <c r="BC197" s="107"/>
      <c r="BD197" s="107"/>
      <c r="BE197" s="107"/>
    </row>
    <row r="198" spans="46:57">
      <c r="AT198" s="68" t="str">
        <f>'Table Seed Map'!$A$27&amp;"-"&amp;COUNTA($AV$1:ListLayout[[#This Row],[No]])-2</f>
        <v>List Layout-196</v>
      </c>
      <c r="AU198" s="62" t="s">
        <v>2057</v>
      </c>
      <c r="AV198" s="68">
        <f>IF(ListLayout[[#This Row],[List Name for Layout]]="","id",COUNTA($AU$2:ListLayout[[#This Row],[List Name for Layout]])+IF(ISNUMBER(VLOOKUP('Table Seed Map'!$A$27,SeedMap[],9,0)),VLOOKUP('Table Seed Map'!$A$27,SeedMap[],9,0),0))</f>
        <v>2126296</v>
      </c>
      <c r="AW198" s="68">
        <f>IFERROR(VLOOKUP(ListLayout[[#This Row],[List Name for Layout]],ResourceList[[ListDisplayName]:[No]],2,0),"resource_list")</f>
        <v>2123148</v>
      </c>
      <c r="AX198" s="69" t="s">
        <v>827</v>
      </c>
      <c r="AY198" s="107" t="s">
        <v>827</v>
      </c>
      <c r="AZ198" s="68" t="str">
        <f>IF(ListLayout[[#This Row],[List Name for Layout]]="","relation",IFERROR(VLOOKUP(ListLayout[[#This Row],[Relation]],RelationTable[[Display]:[RELID]],2,0),""))</f>
        <v/>
      </c>
      <c r="BA198" s="68" t="str">
        <f>IF(ListLayout[[#This Row],[List Name for Layout]]="","nest_relation1",IFERROR(VLOOKUP(ListLayout[[#This Row],[Relation 1]],RelationTable[[Display]:[RELID]],2,0),""))</f>
        <v/>
      </c>
      <c r="BB198" s="68" t="str">
        <f>IF(ListLayout[[#This Row],[List Name for Layout]]="","nest_relation2",IFERROR(VLOOKUP(ListLayout[[#This Row],[Relation 2]],RelationTable[[Display]:[RELID]],2,0),""))</f>
        <v/>
      </c>
      <c r="BC198" s="108"/>
      <c r="BD198" s="108"/>
      <c r="BE198" s="108"/>
    </row>
    <row r="199" spans="46:57">
      <c r="AT199" s="68" t="str">
        <f>'Table Seed Map'!$A$27&amp;"-"&amp;COUNTA($AV$1:ListLayout[[#This Row],[No]])-2</f>
        <v>List Layout-197</v>
      </c>
      <c r="AU199" s="62" t="s">
        <v>2057</v>
      </c>
      <c r="AV199" s="68">
        <f>IF(ListLayout[[#This Row],[List Name for Layout]]="","id",COUNTA($AU$2:ListLayout[[#This Row],[List Name for Layout]])+IF(ISNUMBER(VLOOKUP('Table Seed Map'!$A$27,SeedMap[],9,0)),VLOOKUP('Table Seed Map'!$A$27,SeedMap[],9,0),0))</f>
        <v>2126297</v>
      </c>
      <c r="AW199" s="68">
        <f>IFERROR(VLOOKUP(ListLayout[[#This Row],[List Name for Layout]],ResourceList[[ListDisplayName]:[No]],2,0),"resource_list")</f>
        <v>2123148</v>
      </c>
      <c r="AX199" s="69" t="s">
        <v>871</v>
      </c>
      <c r="AY199" s="107" t="s">
        <v>871</v>
      </c>
      <c r="AZ199" s="68" t="str">
        <f>IF(ListLayout[[#This Row],[List Name for Layout]]="","relation",IFERROR(VLOOKUP(ListLayout[[#This Row],[Relation]],RelationTable[[Display]:[RELID]],2,0),""))</f>
        <v/>
      </c>
      <c r="BA199" s="68" t="str">
        <f>IF(ListLayout[[#This Row],[List Name for Layout]]="","nest_relation1",IFERROR(VLOOKUP(ListLayout[[#This Row],[Relation 1]],RelationTable[[Display]:[RELID]],2,0),""))</f>
        <v/>
      </c>
      <c r="BB199" s="68" t="str">
        <f>IF(ListLayout[[#This Row],[List Name for Layout]]="","nest_relation2",IFERROR(VLOOKUP(ListLayout[[#This Row],[Relation 2]],RelationTable[[Display]:[RELID]],2,0),""))</f>
        <v/>
      </c>
      <c r="BC199" s="108"/>
      <c r="BD199" s="108"/>
      <c r="BE199" s="108"/>
    </row>
    <row r="200" spans="46:57">
      <c r="AT200" s="68" t="str">
        <f>'Table Seed Map'!$A$27&amp;"-"&amp;COUNTA($AV$1:ListLayout[[#This Row],[No]])-2</f>
        <v>List Layout-198</v>
      </c>
      <c r="AU200" s="62" t="s">
        <v>2057</v>
      </c>
      <c r="AV200" s="68">
        <f>IF(ListLayout[[#This Row],[List Name for Layout]]="","id",COUNTA($AU$2:ListLayout[[#This Row],[List Name for Layout]])+IF(ISNUMBER(VLOOKUP('Table Seed Map'!$A$27,SeedMap[],9,0)),VLOOKUP('Table Seed Map'!$A$27,SeedMap[],9,0),0))</f>
        <v>2126298</v>
      </c>
      <c r="AW200" s="68">
        <f>IFERROR(VLOOKUP(ListLayout[[#This Row],[List Name for Layout]],ResourceList[[ListDisplayName]:[No]],2,0),"resource_list")</f>
        <v>2123148</v>
      </c>
      <c r="AX200" s="69" t="s">
        <v>785</v>
      </c>
      <c r="AY200" s="107" t="s">
        <v>23</v>
      </c>
      <c r="AZ200" s="68">
        <f>IF(ListLayout[[#This Row],[List Name for Layout]]="","relation",IFERROR(VLOOKUP(ListLayout[[#This Row],[Relation]],RelationTable[[Display]:[RELID]],2,0),""))</f>
        <v>2109170</v>
      </c>
      <c r="BA200" s="68">
        <f>IF(ListLayout[[#This Row],[List Name for Layout]]="","nest_relation1",IFERROR(VLOOKUP(ListLayout[[#This Row],[Relation 1]],RelationTable[[Display]:[RELID]],2,0),""))</f>
        <v>2109162</v>
      </c>
      <c r="BB200" s="68" t="str">
        <f>IF(ListLayout[[#This Row],[List Name for Layout]]="","nest_relation2",IFERROR(VLOOKUP(ListLayout[[#This Row],[Relation 2]],RelationTable[[Display]:[RELID]],2,0),""))</f>
        <v/>
      </c>
      <c r="BC200" s="107" t="s">
        <v>1477</v>
      </c>
      <c r="BD200" s="107" t="s">
        <v>1474</v>
      </c>
      <c r="BE200" s="108"/>
    </row>
    <row r="201" spans="46:57">
      <c r="AT201" s="68" t="str">
        <f>'Table Seed Map'!$A$27&amp;"-"&amp;COUNTA($AV$1:ListLayout[[#This Row],[No]])-2</f>
        <v>List Layout-199</v>
      </c>
      <c r="AU201" s="62" t="s">
        <v>2057</v>
      </c>
      <c r="AV201" s="68">
        <f>IF(ListLayout[[#This Row],[List Name for Layout]]="","id",COUNTA($AU$2:ListLayout[[#This Row],[List Name for Layout]])+IF(ISNUMBER(VLOOKUP('Table Seed Map'!$A$27,SeedMap[],9,0)),VLOOKUP('Table Seed Map'!$A$27,SeedMap[],9,0),0))</f>
        <v>2126299</v>
      </c>
      <c r="AW201" s="68">
        <f>IFERROR(VLOOKUP(ListLayout[[#This Row],[List Name for Layout]],ResourceList[[ListDisplayName]:[No]],2,0),"resource_list")</f>
        <v>2123148</v>
      </c>
      <c r="AX201" s="69" t="s">
        <v>1478</v>
      </c>
      <c r="AY201" s="107" t="s">
        <v>882</v>
      </c>
      <c r="AZ201" s="68">
        <f>IF(ListLayout[[#This Row],[List Name for Layout]]="","relation",IFERROR(VLOOKUP(ListLayout[[#This Row],[Relation]],RelationTable[[Display]:[RELID]],2,0),""))</f>
        <v>2109170</v>
      </c>
      <c r="BA201" s="68" t="str">
        <f>IF(ListLayout[[#This Row],[List Name for Layout]]="","nest_relation1",IFERROR(VLOOKUP(ListLayout[[#This Row],[Relation 1]],RelationTable[[Display]:[RELID]],2,0),""))</f>
        <v/>
      </c>
      <c r="BB201" s="68" t="str">
        <f>IF(ListLayout[[#This Row],[List Name for Layout]]="","nest_relation2",IFERROR(VLOOKUP(ListLayout[[#This Row],[Relation 2]],RelationTable[[Display]:[RELID]],2,0),""))</f>
        <v/>
      </c>
      <c r="BC201" s="107" t="s">
        <v>1477</v>
      </c>
      <c r="BD201" s="108"/>
      <c r="BE201" s="108"/>
    </row>
    <row r="202" spans="46:57">
      <c r="AT202" s="69" t="str">
        <f>'Table Seed Map'!$A$27&amp;"-"&amp;COUNTA($AV$1:ListLayout[[#This Row],[No]])-2</f>
        <v>List Layout-200</v>
      </c>
      <c r="AU202" s="62" t="s">
        <v>2063</v>
      </c>
      <c r="AV202" s="69">
        <f>IF(ListLayout[[#This Row],[List Name for Layout]]="","id",COUNTA($AU$2:ListLayout[[#This Row],[List Name for Layout]])+IF(ISNUMBER(VLOOKUP('Table Seed Map'!$A$27,SeedMap[],9,0)),VLOOKUP('Table Seed Map'!$A$27,SeedMap[],9,0),0))</f>
        <v>2126300</v>
      </c>
      <c r="AW202" s="69">
        <f>IFERROR(VLOOKUP(ListLayout[[#This Row],[List Name for Layout]],ResourceList[[ListDisplayName]:[No]],2,0),"resource_list")</f>
        <v>2123149</v>
      </c>
      <c r="AX202" s="69" t="s">
        <v>307</v>
      </c>
      <c r="AY202" s="107" t="s">
        <v>21</v>
      </c>
      <c r="AZ202" s="69" t="str">
        <f>IF(ListLayout[[#This Row],[List Name for Layout]]="","relation",IFERROR(VLOOKUP(ListLayout[[#This Row],[Relation]],RelationTable[[Display]:[RELID]],2,0),""))</f>
        <v/>
      </c>
      <c r="BA202" s="69" t="str">
        <f>IF(ListLayout[[#This Row],[List Name for Layout]]="","nest_relation1",IFERROR(VLOOKUP(ListLayout[[#This Row],[Relation 1]],RelationTable[[Display]:[RELID]],2,0),""))</f>
        <v/>
      </c>
      <c r="BB202" s="69" t="str">
        <f>IF(ListLayout[[#This Row],[List Name for Layout]]="","nest_relation2",IFERROR(VLOOKUP(ListLayout[[#This Row],[Relation 2]],RelationTable[[Display]:[RELID]],2,0),""))</f>
        <v/>
      </c>
      <c r="BC202" s="107"/>
      <c r="BD202" s="107"/>
      <c r="BE202" s="107"/>
    </row>
    <row r="203" spans="46:57">
      <c r="AT203" s="69" t="str">
        <f>'Table Seed Map'!$A$27&amp;"-"&amp;COUNTA($AV$1:ListLayout[[#This Row],[No]])-2</f>
        <v>List Layout-201</v>
      </c>
      <c r="AU203" s="62" t="s">
        <v>2063</v>
      </c>
      <c r="AV203" s="69">
        <f>IF(ListLayout[[#This Row],[List Name for Layout]]="","id",COUNTA($AU$2:ListLayout[[#This Row],[List Name for Layout]])+IF(ISNUMBER(VLOOKUP('Table Seed Map'!$A$27,SeedMap[],9,0)),VLOOKUP('Table Seed Map'!$A$27,SeedMap[],9,0),0))</f>
        <v>2126301</v>
      </c>
      <c r="AW203" s="69">
        <f>IFERROR(VLOOKUP(ListLayout[[#This Row],[List Name for Layout]],ResourceList[[ListDisplayName]:[No]],2,0),"resource_list")</f>
        <v>2123149</v>
      </c>
      <c r="AX203" s="69" t="s">
        <v>1331</v>
      </c>
      <c r="AY203" s="107" t="s">
        <v>827</v>
      </c>
      <c r="AZ203" s="69" t="str">
        <f>IF(ListLayout[[#This Row],[List Name for Layout]]="","relation",IFERROR(VLOOKUP(ListLayout[[#This Row],[Relation]],RelationTable[[Display]:[RELID]],2,0),""))</f>
        <v/>
      </c>
      <c r="BA203" s="69" t="str">
        <f>IF(ListLayout[[#This Row],[List Name for Layout]]="","nest_relation1",IFERROR(VLOOKUP(ListLayout[[#This Row],[Relation 1]],RelationTable[[Display]:[RELID]],2,0),""))</f>
        <v/>
      </c>
      <c r="BB203" s="69" t="str">
        <f>IF(ListLayout[[#This Row],[List Name for Layout]]="","nest_relation2",IFERROR(VLOOKUP(ListLayout[[#This Row],[Relation 2]],RelationTable[[Display]:[RELID]],2,0),""))</f>
        <v/>
      </c>
      <c r="BC203" s="107"/>
      <c r="BD203" s="107"/>
      <c r="BE203" s="107"/>
    </row>
    <row r="204" spans="46:57">
      <c r="AT204" s="69" t="str">
        <f>'Table Seed Map'!$A$27&amp;"-"&amp;COUNTA($AV$1:ListLayout[[#This Row],[No]])-2</f>
        <v>List Layout-202</v>
      </c>
      <c r="AU204" s="62" t="s">
        <v>2063</v>
      </c>
      <c r="AV204" s="69">
        <f>IF(ListLayout[[#This Row],[List Name for Layout]]="","id",COUNTA($AU$2:ListLayout[[#This Row],[List Name for Layout]])+IF(ISNUMBER(VLOOKUP('Table Seed Map'!$A$27,SeedMap[],9,0)),VLOOKUP('Table Seed Map'!$A$27,SeedMap[],9,0),0))</f>
        <v>2126302</v>
      </c>
      <c r="AW204" s="69">
        <f>IFERROR(VLOOKUP(ListLayout[[#This Row],[List Name for Layout]],ResourceList[[ListDisplayName]:[No]],2,0),"resource_list")</f>
        <v>2123149</v>
      </c>
      <c r="AX204" s="69" t="s">
        <v>787</v>
      </c>
      <c r="AY204" s="107" t="s">
        <v>23</v>
      </c>
      <c r="AZ204" s="69">
        <f>IF(ListLayout[[#This Row],[List Name for Layout]]="","relation",IFERROR(VLOOKUP(ListLayout[[#This Row],[Relation]],RelationTable[[Display]:[RELID]],2,0),""))</f>
        <v>2109171</v>
      </c>
      <c r="BA204" s="69" t="str">
        <f>IF(ListLayout[[#This Row],[List Name for Layout]]="","nest_relation1",IFERROR(VLOOKUP(ListLayout[[#This Row],[Relation 1]],RelationTable[[Display]:[RELID]],2,0),""))</f>
        <v/>
      </c>
      <c r="BB204" s="69" t="str">
        <f>IF(ListLayout[[#This Row],[List Name for Layout]]="","nest_relation2",IFERROR(VLOOKUP(ListLayout[[#This Row],[Relation 2]],RelationTable[[Display]:[RELID]],2,0),""))</f>
        <v/>
      </c>
      <c r="BC204" s="107" t="s">
        <v>1486</v>
      </c>
      <c r="BD204" s="107"/>
      <c r="BE204" s="107"/>
    </row>
    <row r="205" spans="46:57">
      <c r="AT205" s="69" t="str">
        <f>'Table Seed Map'!$A$27&amp;"-"&amp;COUNTA($AV$1:ListLayout[[#This Row],[No]])-2</f>
        <v>List Layout-203</v>
      </c>
      <c r="AU205" s="62" t="s">
        <v>2069</v>
      </c>
      <c r="AV205" s="69">
        <f>IF(ListLayout[[#This Row],[List Name for Layout]]="","id",COUNTA($AU$2:ListLayout[[#This Row],[List Name for Layout]])+IF(ISNUMBER(VLOOKUP('Table Seed Map'!$A$27,SeedMap[],9,0)),VLOOKUP('Table Seed Map'!$A$27,SeedMap[],9,0),0))</f>
        <v>2126303</v>
      </c>
      <c r="AW205" s="69">
        <f>IFERROR(VLOOKUP(ListLayout[[#This Row],[List Name for Layout]],ResourceList[[ListDisplayName]:[No]],2,0),"resource_list")</f>
        <v>2123150</v>
      </c>
      <c r="AX205" s="69" t="s">
        <v>307</v>
      </c>
      <c r="AY205" s="107" t="s">
        <v>21</v>
      </c>
      <c r="AZ205" s="69" t="str">
        <f>IF(ListLayout[[#This Row],[List Name for Layout]]="","relation",IFERROR(VLOOKUP(ListLayout[[#This Row],[Relation]],RelationTable[[Display]:[RELID]],2,0),""))</f>
        <v/>
      </c>
      <c r="BA205" s="69" t="str">
        <f>IF(ListLayout[[#This Row],[List Name for Layout]]="","nest_relation1",IFERROR(VLOOKUP(ListLayout[[#This Row],[Relation 1]],RelationTable[[Display]:[RELID]],2,0),""))</f>
        <v/>
      </c>
      <c r="BB205" s="69" t="str">
        <f>IF(ListLayout[[#This Row],[List Name for Layout]]="","nest_relation2",IFERROR(VLOOKUP(ListLayout[[#This Row],[Relation 2]],RelationTable[[Display]:[RELID]],2,0),""))</f>
        <v/>
      </c>
      <c r="BC205" s="107"/>
      <c r="BD205" s="107"/>
      <c r="BE205" s="107"/>
    </row>
    <row r="206" spans="46:57">
      <c r="AT206" s="68" t="str">
        <f>'Table Seed Map'!$A$27&amp;"-"&amp;COUNTA($AV$1:ListLayout[[#This Row],[No]])-2</f>
        <v>List Layout-204</v>
      </c>
      <c r="AU206" s="62" t="s">
        <v>2069</v>
      </c>
      <c r="AV206" s="68">
        <f>IF(ListLayout[[#This Row],[List Name for Layout]]="","id",COUNTA($AU$2:ListLayout[[#This Row],[List Name for Layout]])+IF(ISNUMBER(VLOOKUP('Table Seed Map'!$A$27,SeedMap[],9,0)),VLOOKUP('Table Seed Map'!$A$27,SeedMap[],9,0),0))</f>
        <v>2126304</v>
      </c>
      <c r="AW206" s="68">
        <f>IFERROR(VLOOKUP(ListLayout[[#This Row],[List Name for Layout]],ResourceList[[ListDisplayName]:[No]],2,0),"resource_list")</f>
        <v>2123150</v>
      </c>
      <c r="AX206" s="69" t="s">
        <v>1331</v>
      </c>
      <c r="AY206" s="107" t="s">
        <v>827</v>
      </c>
      <c r="AZ206" s="68" t="str">
        <f>IF(ListLayout[[#This Row],[List Name for Layout]]="","relation",IFERROR(VLOOKUP(ListLayout[[#This Row],[Relation]],RelationTable[[Display]:[RELID]],2,0),""))</f>
        <v/>
      </c>
      <c r="BA206" s="68" t="str">
        <f>IF(ListLayout[[#This Row],[List Name for Layout]]="","nest_relation1",IFERROR(VLOOKUP(ListLayout[[#This Row],[Relation 1]],RelationTable[[Display]:[RELID]],2,0),""))</f>
        <v/>
      </c>
      <c r="BB206" s="68" t="str">
        <f>IF(ListLayout[[#This Row],[List Name for Layout]]="","nest_relation2",IFERROR(VLOOKUP(ListLayout[[#This Row],[Relation 2]],RelationTable[[Display]:[RELID]],2,0),""))</f>
        <v/>
      </c>
      <c r="BC206" s="108"/>
      <c r="BD206" s="108"/>
      <c r="BE206" s="108"/>
    </row>
    <row r="207" spans="46:57">
      <c r="AT207" s="68" t="str">
        <f>'Table Seed Map'!$A$27&amp;"-"&amp;COUNTA($AV$1:ListLayout[[#This Row],[No]])-2</f>
        <v>List Layout-205</v>
      </c>
      <c r="AU207" s="62" t="s">
        <v>2069</v>
      </c>
      <c r="AV207" s="68">
        <f>IF(ListLayout[[#This Row],[List Name for Layout]]="","id",COUNTA($AU$2:ListLayout[[#This Row],[List Name for Layout]])+IF(ISNUMBER(VLOOKUP('Table Seed Map'!$A$27,SeedMap[],9,0)),VLOOKUP('Table Seed Map'!$A$27,SeedMap[],9,0),0))</f>
        <v>2126305</v>
      </c>
      <c r="AW207" s="68">
        <f>IFERROR(VLOOKUP(ListLayout[[#This Row],[List Name for Layout]],ResourceList[[ListDisplayName]:[No]],2,0),"resource_list")</f>
        <v>2123150</v>
      </c>
      <c r="AX207" s="69" t="s">
        <v>1482</v>
      </c>
      <c r="AY207" s="107" t="s">
        <v>23</v>
      </c>
      <c r="AZ207" s="68">
        <f>IF(ListLayout[[#This Row],[List Name for Layout]]="","relation",IFERROR(VLOOKUP(ListLayout[[#This Row],[Relation]],RelationTable[[Display]:[RELID]],2,0),""))</f>
        <v>2109177</v>
      </c>
      <c r="BA207" s="68" t="str">
        <f>IF(ListLayout[[#This Row],[List Name for Layout]]="","nest_relation1",IFERROR(VLOOKUP(ListLayout[[#This Row],[Relation 1]],RelationTable[[Display]:[RELID]],2,0),""))</f>
        <v/>
      </c>
      <c r="BB207" s="68" t="str">
        <f>IF(ListLayout[[#This Row],[List Name for Layout]]="","nest_relation2",IFERROR(VLOOKUP(ListLayout[[#This Row],[Relation 2]],RelationTable[[Display]:[RELID]],2,0),""))</f>
        <v/>
      </c>
      <c r="BC207" s="107" t="s">
        <v>1484</v>
      </c>
      <c r="BD207" s="108"/>
      <c r="BE207" s="108"/>
    </row>
    <row r="208" spans="46:57">
      <c r="AT208" s="68" t="str">
        <f>'Table Seed Map'!$A$27&amp;"-"&amp;COUNTA($AV$1:ListLayout[[#This Row],[No]])-2</f>
        <v>List Layout-206</v>
      </c>
      <c r="AU208" s="62" t="s">
        <v>2069</v>
      </c>
      <c r="AV208" s="68">
        <f>IF(ListLayout[[#This Row],[List Name for Layout]]="","id",COUNTA($AU$2:ListLayout[[#This Row],[List Name for Layout]])+IF(ISNUMBER(VLOOKUP('Table Seed Map'!$A$27,SeedMap[],9,0)),VLOOKUP('Table Seed Map'!$A$27,SeedMap[],9,0),0))</f>
        <v>2126306</v>
      </c>
      <c r="AW208" s="68">
        <f>IFERROR(VLOOKUP(ListLayout[[#This Row],[List Name for Layout]],ResourceList[[ListDisplayName]:[No]],2,0),"resource_list")</f>
        <v>2123150</v>
      </c>
      <c r="AX208" s="69" t="s">
        <v>1483</v>
      </c>
      <c r="AY208" s="107" t="s">
        <v>23</v>
      </c>
      <c r="AZ208" s="68">
        <f>IF(ListLayout[[#This Row],[List Name for Layout]]="","relation",IFERROR(VLOOKUP(ListLayout[[#This Row],[Relation]],RelationTable[[Display]:[RELID]],2,0),""))</f>
        <v>2109178</v>
      </c>
      <c r="BA208" s="68" t="str">
        <f>IF(ListLayout[[#This Row],[List Name for Layout]]="","nest_relation1",IFERROR(VLOOKUP(ListLayout[[#This Row],[Relation 1]],RelationTable[[Display]:[RELID]],2,0),""))</f>
        <v/>
      </c>
      <c r="BB208" s="68" t="str">
        <f>IF(ListLayout[[#This Row],[List Name for Layout]]="","nest_relation2",IFERROR(VLOOKUP(ListLayout[[#This Row],[Relation 2]],RelationTable[[Display]:[RELID]],2,0),""))</f>
        <v/>
      </c>
      <c r="BC208" s="107" t="s">
        <v>1485</v>
      </c>
      <c r="BD208" s="108"/>
      <c r="BE208" s="108"/>
    </row>
  </sheetData>
  <dataValidations count="4">
    <dataValidation type="list" allowBlank="1" showInputMessage="1" showErrorMessage="1" sqref="AO2:AR2 P2:S93 BC2:BE208">
      <formula1>Relations</formula1>
    </dataValidation>
    <dataValidation type="list" allowBlank="1" showInputMessage="1" showErrorMessage="1" sqref="AG2 M2:M93 AU2:AU208">
      <formula1>ListNames</formula1>
    </dataValidation>
    <dataValidation type="list" allowBlank="1" showInputMessage="1" showErrorMessage="1" sqref="B2:B52">
      <formula1>Resources</formula1>
    </dataValidation>
    <dataValidation type="list" allowBlank="1" showInputMessage="1" showErrorMessage="1" sqref="O2:O93">
      <formula1>Scopes</formula1>
    </dataValidation>
  </dataValidations>
  <pageMargins left="0.7" right="0.7" top="0.75" bottom="0.75" header="0.3" footer="0.3"/>
  <pageSetup paperSize="9" orientation="portrait" horizontalDpi="1200" verticalDpi="1200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41"/>
  <sheetViews>
    <sheetView topLeftCell="B1" workbookViewId="0">
      <selection activeCell="L15" sqref="L15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9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6" width="11" style="20" customWidth="1"/>
    <col min="17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29.425781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8554687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69" t="str">
        <f>'Table Seed Map'!$A$32&amp;"-"&amp;COUNTA($AF$1:DataViewSection[[#This Row],[Data Name for Layout]])-1</f>
        <v>Data View Section-0</v>
      </c>
      <c r="AF2" s="62"/>
      <c r="AG2" s="63" t="str">
        <f>DataViewSection[[#This Row],[Data Name for Layout]]&amp;"/"&amp;COUNTIF($AI$1:DataViewSection[[#This Row],[Data ID]],DataViewSection[[#This Row],[Data ID]])</f>
        <v>/1</v>
      </c>
      <c r="AH2" s="69" t="str">
        <f>IF(DataViewSection[[#This Row],[Data Name for Layout]]="","id",-1+COUNTA($AF$1:DataViewSection[[#This Row],[Data Name for Layout]])+VLOOKUP('Table Seed Map'!$A$32,SeedMap[],9,0))</f>
        <v>id</v>
      </c>
      <c r="AI2" s="69" t="str">
        <f>IFERROR(VLOOKUP(DataViewSection[[#This Row],[Data Name for Layout]],ResourceData[[DataDisplayName]:[No]],2,0),"resource_data")</f>
        <v>resource_data</v>
      </c>
      <c r="AJ2" s="69" t="s">
        <v>25</v>
      </c>
      <c r="AK2" s="69" t="s">
        <v>37</v>
      </c>
      <c r="AL2" s="69" t="str">
        <f>IF(DataViewSection[[#This Row],[Data Name for Layout]]="","relation",IFERROR(VLOOKUP(DataViewSection[[#This Row],[Relation]],RelationTable[[Display]:[RELID]],2,0),""))</f>
        <v>relation</v>
      </c>
      <c r="AM2" s="107" t="s">
        <v>212</v>
      </c>
      <c r="AN2" s="107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63" t="str">
        <f>'Table Seed Map'!$A$29&amp;"-"&amp;COUNTA($E$1:ResourceData[[#This Row],[Resource]])-2</f>
        <v>Resource Data-1</v>
      </c>
      <c r="B3" s="62" t="s">
        <v>1337</v>
      </c>
      <c r="C3" s="63" t="str">
        <f>ResourceData[[#This Row],[Resource Name]]&amp;"/"&amp;ResourceData[[#This Row],[Name]]</f>
        <v>Employee/EmployeeData</v>
      </c>
      <c r="D3" s="69">
        <f>IF(COUNTA($E$1:ResourceData[[#This Row],[Resource]])=2,"id",-2+COUNTA($E$1:ResourceData[[#This Row],[Resource]])+IF(ISNUMBER(VLOOKUP('Table Seed Map'!$A$29,SeedMap[],9,0)),VLOOKUP('Table Seed Map'!$A$29,SeedMap[],9,0),0))</f>
        <v>2128101</v>
      </c>
      <c r="E3" s="69">
        <f>IFERROR(VLOOKUP(ResourceData[[#This Row],[Resource Name]],ResourceTable[[RName]:[No]],3,0),"resource")</f>
        <v>2106104</v>
      </c>
      <c r="F3" s="107" t="s">
        <v>1548</v>
      </c>
      <c r="G3" s="107"/>
      <c r="H3" s="107" t="s">
        <v>23</v>
      </c>
      <c r="I3" s="111"/>
      <c r="J3" s="75">
        <f>[No]</f>
        <v>2128101</v>
      </c>
      <c r="L3" s="62" t="s">
        <v>1550</v>
      </c>
      <c r="M3" s="63">
        <f>VLOOKUP(DataExtra[[#This Row],[Data Name]],ResourceData[[DataDisplayName]:[No]],2,0)</f>
        <v>2128101</v>
      </c>
      <c r="N3" s="62"/>
      <c r="O3" s="62" t="s">
        <v>1453</v>
      </c>
      <c r="P3" s="62"/>
      <c r="Q3" s="62"/>
      <c r="R3" s="62"/>
      <c r="S3" s="63" t="str">
        <f>'Table Seed Map'!$A$30&amp;"-"&amp;COUNT($V$1:DataExtra[[#This Row],[Scope ID]])</f>
        <v>Data Scopes-0</v>
      </c>
      <c r="T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69">
        <f>IF(DataExtra[[#This Row],[DID]]=0,"resource_data",DataExtra[[#This Row],[DID]])</f>
        <v>2128101</v>
      </c>
      <c r="V3" s="69" t="str">
        <f>IFERROR(VLOOKUP(DataExtra[[#This Row],[Scope Name]],ResourceScopes[[ScopesDisplayNames]:[No]],2,0),IF(DataExtra[[#This Row],[DID]]=0,"scope",""))</f>
        <v/>
      </c>
      <c r="W3" s="63" t="str">
        <f>'Table Seed Map'!$A$31&amp;"-"&amp;COUNT($Z$1:DataExtra[[#This Row],[Relation]])</f>
        <v>Data Relations-1</v>
      </c>
      <c r="X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2130101</v>
      </c>
      <c r="Y3" s="69">
        <f>IF(DataExtra[[#This Row],[DID]]=0,"resource_data",DataExtra[[#This Row],[DID]])</f>
        <v>2128101</v>
      </c>
      <c r="Z3" s="69">
        <f>IFERROR(VLOOKUP(DataExtra[[#This Row],[Relation Name]],RelationTable[[Display]:[RELID]],2,0),IF(DataExtra[[#This Row],[DID]]=0,"relation",""))</f>
        <v>2109104</v>
      </c>
      <c r="AA3" s="69" t="str">
        <f>IFERROR(VLOOKUP(DataExtra[[#This Row],[R1 Name]],RelationTable[[Display]:[RELID]],2,0),IF(DataExtra[[#This Row],[DID]]=0,"nest_relation1",""))</f>
        <v/>
      </c>
      <c r="AB3" s="69" t="str">
        <f>IFERROR(VLOOKUP(DataExtra[[#This Row],[R2 Name]],RelationTable[[Display]:[RELID]],2,0),IF(DataExtra[[#This Row],[DID]]=0,"nest_relation2",""))</f>
        <v/>
      </c>
      <c r="AC3" s="69" t="str">
        <f>IFERROR(VLOOKUP(DataExtra[[#This Row],[R3 Name]],RelationTable[[Display]:[RELID]],2,0),IF(DataExtra[[#This Row],[DID]]=0,"nest_relation3",""))</f>
        <v/>
      </c>
      <c r="AE3" s="69" t="str">
        <f>'Table Seed Map'!$A$32&amp;"-"&amp;COUNTA($AF$1:DataViewSection[[#This Row],[Data Name for Layout]])-1</f>
        <v>Data View Section-1</v>
      </c>
      <c r="AF3" s="62" t="s">
        <v>1550</v>
      </c>
      <c r="AG3" s="63" t="str">
        <f>DataViewSection[[#This Row],[Data Name for Layout]]&amp;"/"&amp;COUNTIF($AI$1:DataViewSection[[#This Row],[Data ID]],DataViewSection[[#This Row],[Data ID]])</f>
        <v>Employee/EmployeeData/1</v>
      </c>
      <c r="AH3" s="69">
        <f>IF(DataViewSection[[#This Row],[Data Name for Layout]]="","id",-1+COUNTA($AF$1:DataViewSection[[#This Row],[Data Name for Layout]])+VLOOKUP('Table Seed Map'!$A$32,SeedMap[],9,0))</f>
        <v>2131101</v>
      </c>
      <c r="AI3" s="69">
        <f>IFERROR(VLOOKUP(DataViewSection[[#This Row],[Data Name for Layout]],ResourceData[[DataDisplayName]:[No]],2,0),"resource_data")</f>
        <v>2128101</v>
      </c>
      <c r="AJ3" s="69"/>
      <c r="AK3" s="69" t="s">
        <v>23</v>
      </c>
      <c r="AL3" s="69" t="str">
        <f>IF(DataViewSection[[#This Row],[Data Name for Layout]]="","relation",IFERROR(VLOOKUP(DataViewSection[[#This Row],[Relation]],RelationTable[[Display]:[RELID]],2,0),""))</f>
        <v/>
      </c>
      <c r="AM3" s="107">
        <v>12</v>
      </c>
      <c r="AN3" s="107"/>
      <c r="AP3" s="69" t="str">
        <f>'Table Seed Map'!$A$33&amp;"-"&amp;-1+COUNTA($AQ$1:DataViewSectionItem[[#This Row],[Data Section for Items]])</f>
        <v>Data View Section Items-1</v>
      </c>
      <c r="AQ3" s="62" t="s">
        <v>1555</v>
      </c>
      <c r="AR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2132101</v>
      </c>
      <c r="AS3" s="69">
        <f>IF(DataViewSectionItem[[#This Row],[Data Section for Items]]="","section",VLOOKUP(DataViewSectionItem[[#This Row],[Data Section for Items]],DataViewSection[[DataSectionDisplayName]:[No]],2,0))</f>
        <v>2131101</v>
      </c>
      <c r="AT3" s="69" t="s">
        <v>1182</v>
      </c>
      <c r="AU3" s="107" t="s">
        <v>800</v>
      </c>
      <c r="AV3" s="69" t="str">
        <f>IF(DataViewSectionItem[[#This Row],[Data Section for Items]]="","relation",IFERROR(VLOOKUP(DataViewSectionItem[[#This Row],[Relation]],RelationTable[[Display]:[RELID]],2,0),""))</f>
        <v/>
      </c>
      <c r="AW3" s="107"/>
    </row>
    <row r="4" spans="1:49">
      <c r="A4" s="63" t="str">
        <f>'Table Seed Map'!$A$29&amp;"-"&amp;COUNTA($E$1:ResourceData[[#This Row],[Resource]])-2</f>
        <v>Resource Data-2</v>
      </c>
      <c r="B4" s="62" t="s">
        <v>777</v>
      </c>
      <c r="C4" s="63" t="str">
        <f>ResourceData[[#This Row],[Resource Name]]&amp;"/"&amp;ResourceData[[#This Row],[Name]]</f>
        <v>Hub/HubData</v>
      </c>
      <c r="D4" s="69">
        <f>IF(COUNTA($E$1:ResourceData[[#This Row],[Resource]])=2,"id",-2+COUNTA($E$1:ResourceData[[#This Row],[Resource]])+IF(ISNUMBER(VLOOKUP('Table Seed Map'!$A$29,SeedMap[],9,0)),VLOOKUP('Table Seed Map'!$A$29,SeedMap[],9,0),0))</f>
        <v>2128102</v>
      </c>
      <c r="E4" s="69">
        <f>IFERROR(VLOOKUP(ResourceData[[#This Row],[Resource Name]],ResourceTable[[RName]:[No]],3,0),"resource")</f>
        <v>2106107</v>
      </c>
      <c r="F4" s="107" t="s">
        <v>1547</v>
      </c>
      <c r="G4" s="107"/>
      <c r="H4" s="107" t="s">
        <v>23</v>
      </c>
      <c r="I4" s="111"/>
      <c r="J4" s="75">
        <f>[No]</f>
        <v>2128102</v>
      </c>
      <c r="L4" s="62" t="s">
        <v>1550</v>
      </c>
      <c r="M4" s="63">
        <f>VLOOKUP(DataExtra[[#This Row],[Data Name]],ResourceData[[DataDisplayName]:[No]],2,0)</f>
        <v>2128101</v>
      </c>
      <c r="N4" s="62"/>
      <c r="O4" s="62" t="s">
        <v>1454</v>
      </c>
      <c r="P4" s="62"/>
      <c r="Q4" s="62"/>
      <c r="R4" s="62"/>
      <c r="S4" s="63" t="str">
        <f>'Table Seed Map'!$A$30&amp;"-"&amp;COUNT($V$1:DataExtra[[#This Row],[Scope ID]])</f>
        <v>Data Scopes-0</v>
      </c>
      <c r="T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9">
        <f>IF(DataExtra[[#This Row],[DID]]=0,"resource_data",DataExtra[[#This Row],[DID]])</f>
        <v>2128101</v>
      </c>
      <c r="V4" s="69" t="str">
        <f>IFERROR(VLOOKUP(DataExtra[[#This Row],[Scope Name]],ResourceScopes[[ScopesDisplayNames]:[No]],2,0),IF(DataExtra[[#This Row],[DID]]=0,"scope",""))</f>
        <v/>
      </c>
      <c r="W4" s="63" t="str">
        <f>'Table Seed Map'!$A$31&amp;"-"&amp;COUNT($Z$1:DataExtra[[#This Row],[Relation]])</f>
        <v>Data Relations-2</v>
      </c>
      <c r="X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2130102</v>
      </c>
      <c r="Y4" s="69">
        <f>IF(DataExtra[[#This Row],[DID]]=0,"resource_data",DataExtra[[#This Row],[DID]])</f>
        <v>2128101</v>
      </c>
      <c r="Z4" s="69">
        <f>IFERROR(VLOOKUP(DataExtra[[#This Row],[Relation Name]],RelationTable[[Display]:[RELID]],2,0),IF(DataExtra[[#This Row],[DID]]=0,"relation",""))</f>
        <v>2109106</v>
      </c>
      <c r="AA4" s="69" t="str">
        <f>IFERROR(VLOOKUP(DataExtra[[#This Row],[R1 Name]],RelationTable[[Display]:[RELID]],2,0),IF(DataExtra[[#This Row],[DID]]=0,"nest_relation1",""))</f>
        <v/>
      </c>
      <c r="AB4" s="69" t="str">
        <f>IFERROR(VLOOKUP(DataExtra[[#This Row],[R2 Name]],RelationTable[[Display]:[RELID]],2,0),IF(DataExtra[[#This Row],[DID]]=0,"nest_relation2",""))</f>
        <v/>
      </c>
      <c r="AC4" s="69" t="str">
        <f>IFERROR(VLOOKUP(DataExtra[[#This Row],[R3 Name]],RelationTable[[Display]:[RELID]],2,0),IF(DataExtra[[#This Row],[DID]]=0,"nest_relation3",""))</f>
        <v/>
      </c>
      <c r="AE4" s="69" t="str">
        <f>'Table Seed Map'!$A$32&amp;"-"&amp;COUNTA($AF$1:DataViewSection[[#This Row],[Data Name for Layout]])-1</f>
        <v>Data View Section-2</v>
      </c>
      <c r="AF4" s="62" t="s">
        <v>1551</v>
      </c>
      <c r="AG4" s="63" t="str">
        <f>DataViewSection[[#This Row],[Data Name for Layout]]&amp;"/"&amp;COUNTIF($AI$1:DataViewSection[[#This Row],[Data ID]],DataViewSection[[#This Row],[Data ID]])</f>
        <v>Hub/HubData/1</v>
      </c>
      <c r="AH4" s="69">
        <f>IF(DataViewSection[[#This Row],[Data Name for Layout]]="","id",-1+COUNTA($AF$1:DataViewSection[[#This Row],[Data Name for Layout]])+VLOOKUP('Table Seed Map'!$A$32,SeedMap[],9,0))</f>
        <v>2131102</v>
      </c>
      <c r="AI4" s="69">
        <f>IFERROR(VLOOKUP(DataViewSection[[#This Row],[Data Name for Layout]],ResourceData[[DataDisplayName]:[No]],2,0),"resource_data")</f>
        <v>2128102</v>
      </c>
      <c r="AJ4" s="69" t="s">
        <v>1538</v>
      </c>
      <c r="AK4" s="69"/>
      <c r="AL4" s="69" t="str">
        <f>IF(DataViewSection[[#This Row],[Data Name for Layout]]="","relation",IFERROR(VLOOKUP(DataViewSection[[#This Row],[Relation]],RelationTable[[Display]:[RELID]],2,0),""))</f>
        <v/>
      </c>
      <c r="AM4" s="107">
        <v>12</v>
      </c>
      <c r="AN4" s="107"/>
      <c r="AP4" s="69" t="str">
        <f>'Table Seed Map'!$A$33&amp;"-"&amp;-1+COUNTA($AQ$1:DataViewSectionItem[[#This Row],[Data Section for Items]])</f>
        <v>Data View Section Items-2</v>
      </c>
      <c r="AQ4" s="62" t="s">
        <v>1555</v>
      </c>
      <c r="AR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2132102</v>
      </c>
      <c r="AS4" s="69">
        <f>IF(DataViewSectionItem[[#This Row],[Data Section for Items]]="","section",VLOOKUP(DataViewSectionItem[[#This Row],[Data Section for Items]],DataViewSection[[DataSectionDisplayName]:[No]],2,0))</f>
        <v>2131101</v>
      </c>
      <c r="AT4" s="69" t="s">
        <v>896</v>
      </c>
      <c r="AU4" s="107" t="s">
        <v>23</v>
      </c>
      <c r="AV4" s="69">
        <f>IF(DataViewSectionItem[[#This Row],[Data Section for Items]]="","relation",IFERROR(VLOOKUP(DataViewSectionItem[[#This Row],[Relation]],RelationTable[[Display]:[RELID]],2,0),""))</f>
        <v>2109104</v>
      </c>
      <c r="AW4" s="107" t="s">
        <v>1453</v>
      </c>
    </row>
    <row r="5" spans="1:49">
      <c r="A5" s="63" t="str">
        <f>'Table Seed Map'!$A$29&amp;"-"&amp;COUNTA($E$1:ResourceData[[#This Row],[Resource]])-2</f>
        <v>Resource Data-3</v>
      </c>
      <c r="B5" s="62" t="s">
        <v>785</v>
      </c>
      <c r="C5" s="63" t="str">
        <f>ResourceData[[#This Row],[Resource Name]]&amp;"/"&amp;ResourceData[[#This Row],[Name]]</f>
        <v>Customer/CustomerData</v>
      </c>
      <c r="D5" s="69">
        <f>IF(COUNTA($E$1:ResourceData[[#This Row],[Resource]])=2,"id",-2+COUNTA($E$1:ResourceData[[#This Row],[Resource]])+IF(ISNUMBER(VLOOKUP('Table Seed Map'!$A$29,SeedMap[],9,0)),VLOOKUP('Table Seed Map'!$A$29,SeedMap[],9,0),0))</f>
        <v>2128103</v>
      </c>
      <c r="E5" s="69">
        <f>IFERROR(VLOOKUP(ResourceData[[#This Row],[Resource Name]],ResourceTable[[RName]:[No]],3,0),"resource")</f>
        <v>2106105</v>
      </c>
      <c r="F5" s="107" t="s">
        <v>1549</v>
      </c>
      <c r="G5" s="107"/>
      <c r="H5" s="107" t="s">
        <v>23</v>
      </c>
      <c r="I5" s="111"/>
      <c r="J5" s="75">
        <f>[No]</f>
        <v>2128103</v>
      </c>
      <c r="L5" s="62" t="s">
        <v>1550</v>
      </c>
      <c r="M5" s="63">
        <f>VLOOKUP(DataExtra[[#This Row],[Data Name]],ResourceData[[DataDisplayName]:[No]],2,0)</f>
        <v>2128101</v>
      </c>
      <c r="N5" s="62"/>
      <c r="O5" s="62" t="s">
        <v>1369</v>
      </c>
      <c r="P5" s="62"/>
      <c r="Q5" s="62"/>
      <c r="R5" s="62"/>
      <c r="S5" s="63" t="str">
        <f>'Table Seed Map'!$A$30&amp;"-"&amp;COUNT($V$1:DataExtra[[#This Row],[Scope ID]])</f>
        <v>Data Scopes-0</v>
      </c>
      <c r="T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9">
        <f>IF(DataExtra[[#This Row],[DID]]=0,"resource_data",DataExtra[[#This Row],[DID]])</f>
        <v>2128101</v>
      </c>
      <c r="V5" s="69" t="str">
        <f>IFERROR(VLOOKUP(DataExtra[[#This Row],[Scope Name]],ResourceScopes[[ScopesDisplayNames]:[No]],2,0),IF(DataExtra[[#This Row],[DID]]=0,"scope",""))</f>
        <v/>
      </c>
      <c r="W5" s="63" t="str">
        <f>'Table Seed Map'!$A$31&amp;"-"&amp;COUNT($Z$1:DataExtra[[#This Row],[Relation]])</f>
        <v>Data Relations-3</v>
      </c>
      <c r="X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2130103</v>
      </c>
      <c r="Y5" s="69">
        <f>IF(DataExtra[[#This Row],[DID]]=0,"resource_data",DataExtra[[#This Row],[DID]])</f>
        <v>2128101</v>
      </c>
      <c r="Z5" s="69">
        <f>IFERROR(VLOOKUP(DataExtra[[#This Row],[Relation Name]],RelationTable[[Display]:[RELID]],2,0),IF(DataExtra[[#This Row],[DID]]=0,"relation",""))</f>
        <v>2109105</v>
      </c>
      <c r="AA5" s="69" t="str">
        <f>IFERROR(VLOOKUP(DataExtra[[#This Row],[R1 Name]],RelationTable[[Display]:[RELID]],2,0),IF(DataExtra[[#This Row],[DID]]=0,"nest_relation1",""))</f>
        <v/>
      </c>
      <c r="AB5" s="69" t="str">
        <f>IFERROR(VLOOKUP(DataExtra[[#This Row],[R2 Name]],RelationTable[[Display]:[RELID]],2,0),IF(DataExtra[[#This Row],[DID]]=0,"nest_relation2",""))</f>
        <v/>
      </c>
      <c r="AC5" s="69" t="str">
        <f>IFERROR(VLOOKUP(DataExtra[[#This Row],[R3 Name]],RelationTable[[Display]:[RELID]],2,0),IF(DataExtra[[#This Row],[DID]]=0,"nest_relation3",""))</f>
        <v/>
      </c>
      <c r="AE5" s="69" t="str">
        <f>'Table Seed Map'!$A$32&amp;"-"&amp;COUNTA($AF$1:DataViewSection[[#This Row],[Data Name for Layout]])-1</f>
        <v>Data View Section-3</v>
      </c>
      <c r="AF5" s="62" t="s">
        <v>1551</v>
      </c>
      <c r="AG5" s="63" t="str">
        <f>DataViewSection[[#This Row],[Data Name for Layout]]&amp;"/"&amp;COUNTIF($AI$1:DataViewSection[[#This Row],[Data ID]],DataViewSection[[#This Row],[Data ID]])</f>
        <v>Hub/HubData/2</v>
      </c>
      <c r="AH5" s="69">
        <f>IF(DataViewSection[[#This Row],[Data Name for Layout]]="","id",-1+COUNTA($AF$1:DataViewSection[[#This Row],[Data Name for Layout]])+VLOOKUP('Table Seed Map'!$A$32,SeedMap[],9,0))</f>
        <v>2131103</v>
      </c>
      <c r="AI5" s="69">
        <f>IFERROR(VLOOKUP(DataViewSection[[#This Row],[Data Name for Layout]],ResourceData[[DataDisplayName]:[No]],2,0),"resource_data")</f>
        <v>2128102</v>
      </c>
      <c r="AJ5" s="69" t="s">
        <v>78</v>
      </c>
      <c r="AK5" s="69"/>
      <c r="AL5" s="69">
        <f>IF(DataViewSection[[#This Row],[Data Name for Layout]]="","relation",IFERROR(VLOOKUP(DataViewSection[[#This Row],[Relation]],RelationTable[[Display]:[RELID]],2,0),""))</f>
        <v>2109108</v>
      </c>
      <c r="AM5" s="107">
        <v>12</v>
      </c>
      <c r="AN5" s="107" t="s">
        <v>1534</v>
      </c>
      <c r="AP5" s="69" t="str">
        <f>'Table Seed Map'!$A$33&amp;"-"&amp;-1+COUNTA($AQ$1:DataViewSectionItem[[#This Row],[Data Section for Items]])</f>
        <v>Data View Section Items-3</v>
      </c>
      <c r="AQ5" s="62" t="s">
        <v>1555</v>
      </c>
      <c r="AR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2132103</v>
      </c>
      <c r="AS5" s="69">
        <f>IF(DataViewSectionItem[[#This Row],[Data Section for Items]]="","section",VLOOKUP(DataViewSectionItem[[#This Row],[Data Section for Items]],DataViewSection[[DataSectionDisplayName]:[No]],2,0))</f>
        <v>2131101</v>
      </c>
      <c r="AT5" s="69" t="s">
        <v>895</v>
      </c>
      <c r="AU5" s="107" t="s">
        <v>23</v>
      </c>
      <c r="AV5" s="69">
        <f>IF(DataViewSectionItem[[#This Row],[Data Section for Items]]="","relation",IFERROR(VLOOKUP(DataViewSectionItem[[#This Row],[Relation]],RelationTable[[Display]:[RELID]],2,0),""))</f>
        <v>2109106</v>
      </c>
      <c r="AW5" s="107" t="s">
        <v>1454</v>
      </c>
    </row>
    <row r="6" spans="1:49">
      <c r="A6" s="63" t="str">
        <f>'Table Seed Map'!$A$29&amp;"-"&amp;COUNTA($E$1:ResourceData[[#This Row],[Resource]])-2</f>
        <v>Resource Data-4</v>
      </c>
      <c r="B6" s="62" t="s">
        <v>778</v>
      </c>
      <c r="C6" s="63" t="str">
        <f>ResourceData[[#This Row],[Resource Name]]&amp;"/"&amp;ResourceData[[#This Row],[Name]]</f>
        <v>Service/ServiceData</v>
      </c>
      <c r="D6" s="69">
        <f>IF(COUNTA($E$1:ResourceData[[#This Row],[Resource]])=2,"id",-2+COUNTA($E$1:ResourceData[[#This Row],[Resource]])+IF(ISNUMBER(VLOOKUP('Table Seed Map'!$A$29,SeedMap[],9,0)),VLOOKUP('Table Seed Map'!$A$29,SeedMap[],9,0),0))</f>
        <v>2128104</v>
      </c>
      <c r="E6" s="69">
        <f>IFERROR(VLOOKUP(ResourceData[[#This Row],[Resource Name]],ResourceTable[[RName]:[No]],3,0),"resource")</f>
        <v>2106108</v>
      </c>
      <c r="F6" s="107" t="s">
        <v>1573</v>
      </c>
      <c r="G6" s="107"/>
      <c r="H6" s="107" t="s">
        <v>23</v>
      </c>
      <c r="I6" s="111"/>
      <c r="J6" s="75">
        <f>[No]</f>
        <v>2128104</v>
      </c>
      <c r="L6" s="62" t="s">
        <v>1551</v>
      </c>
      <c r="M6" s="63">
        <f>VLOOKUP(DataExtra[[#This Row],[Data Name]],ResourceData[[DataDisplayName]:[No]],2,0)</f>
        <v>2128102</v>
      </c>
      <c r="N6" s="62"/>
      <c r="O6" s="62" t="s">
        <v>1534</v>
      </c>
      <c r="P6" s="62" t="s">
        <v>1545</v>
      </c>
      <c r="Q6" s="62"/>
      <c r="R6" s="62"/>
      <c r="S6" s="63" t="str">
        <f>'Table Seed Map'!$A$30&amp;"-"&amp;COUNT($V$1:DataExtra[[#This Row],[Scope ID]])</f>
        <v>Data Scopes-0</v>
      </c>
      <c r="T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9">
        <f>IF(DataExtra[[#This Row],[DID]]=0,"resource_data",DataExtra[[#This Row],[DID]])</f>
        <v>2128102</v>
      </c>
      <c r="V6" s="69" t="str">
        <f>IFERROR(VLOOKUP(DataExtra[[#This Row],[Scope Name]],ResourceScopes[[ScopesDisplayNames]:[No]],2,0),IF(DataExtra[[#This Row],[DID]]=0,"scope",""))</f>
        <v/>
      </c>
      <c r="W6" s="63" t="str">
        <f>'Table Seed Map'!$A$31&amp;"-"&amp;COUNT($Z$1:DataExtra[[#This Row],[Relation]])</f>
        <v>Data Relations-4</v>
      </c>
      <c r="X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2130104</v>
      </c>
      <c r="Y6" s="69">
        <f>IF(DataExtra[[#This Row],[DID]]=0,"resource_data",DataExtra[[#This Row],[DID]])</f>
        <v>2128102</v>
      </c>
      <c r="Z6" s="69">
        <f>IFERROR(VLOOKUP(DataExtra[[#This Row],[Relation Name]],RelationTable[[Display]:[RELID]],2,0),IF(DataExtra[[#This Row],[DID]]=0,"relation",""))</f>
        <v>2109108</v>
      </c>
      <c r="AA6" s="69">
        <f>IFERROR(VLOOKUP(DataExtra[[#This Row],[R1 Name]],RelationTable[[Display]:[RELID]],2,0),IF(DataExtra[[#This Row],[DID]]=0,"nest_relation1",""))</f>
        <v>2109102</v>
      </c>
      <c r="AB6" s="69" t="str">
        <f>IFERROR(VLOOKUP(DataExtra[[#This Row],[R2 Name]],RelationTable[[Display]:[RELID]],2,0),IF(DataExtra[[#This Row],[DID]]=0,"nest_relation2",""))</f>
        <v/>
      </c>
      <c r="AC6" s="69" t="str">
        <f>IFERROR(VLOOKUP(DataExtra[[#This Row],[R3 Name]],RelationTable[[Display]:[RELID]],2,0),IF(DataExtra[[#This Row],[DID]]=0,"nest_relation3",""))</f>
        <v/>
      </c>
      <c r="AE6" s="69" t="str">
        <f>'Table Seed Map'!$A$32&amp;"-"&amp;COUNTA($AF$1:DataViewSection[[#This Row],[Data Name for Layout]])-1</f>
        <v>Data View Section-4</v>
      </c>
      <c r="AF6" s="62" t="s">
        <v>1551</v>
      </c>
      <c r="AG6" s="63" t="str">
        <f>DataViewSection[[#This Row],[Data Name for Layout]]&amp;"/"&amp;COUNTIF($AI$1:DataViewSection[[#This Row],[Data ID]],DataViewSection[[#This Row],[Data ID]])</f>
        <v>Hub/HubData/3</v>
      </c>
      <c r="AH6" s="69">
        <f>IF(DataViewSection[[#This Row],[Data Name for Layout]]="","id",-1+COUNTA($AF$1:DataViewSection[[#This Row],[Data Name for Layout]])+VLOOKUP('Table Seed Map'!$A$32,SeedMap[],9,0))</f>
        <v>2131104</v>
      </c>
      <c r="AI6" s="69">
        <f>IFERROR(VLOOKUP(DataViewSection[[#This Row],[Data Name for Layout]],ResourceData[[DataDisplayName]:[No]],2,0),"resource_data")</f>
        <v>2128102</v>
      </c>
      <c r="AJ6" s="69" t="s">
        <v>896</v>
      </c>
      <c r="AK6" s="69"/>
      <c r="AL6" s="69">
        <f>IF(DataViewSection[[#This Row],[Data Name for Layout]]="","relation",IFERROR(VLOOKUP(DataViewSection[[#This Row],[Relation]],RelationTable[[Display]:[RELID]],2,0),""))</f>
        <v>2109109</v>
      </c>
      <c r="AM6" s="107">
        <v>12</v>
      </c>
      <c r="AN6" s="107" t="s">
        <v>1535</v>
      </c>
      <c r="AP6" s="69" t="str">
        <f>'Table Seed Map'!$A$33&amp;"-"&amp;-1+COUNTA($AQ$1:DataViewSectionItem[[#This Row],[Data Section for Items]])</f>
        <v>Data View Section Items-4</v>
      </c>
      <c r="AQ6" s="62" t="s">
        <v>1555</v>
      </c>
      <c r="AR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2132104</v>
      </c>
      <c r="AS6" s="69">
        <f>IF(DataViewSectionItem[[#This Row],[Data Section for Items]]="","section",VLOOKUP(DataViewSectionItem[[#This Row],[Data Section for Items]],DataViewSection[[DataSectionDisplayName]:[No]],2,0))</f>
        <v>2131101</v>
      </c>
      <c r="AT6" s="69" t="s">
        <v>76</v>
      </c>
      <c r="AU6" s="107" t="s">
        <v>25</v>
      </c>
      <c r="AV6" s="69">
        <f>IF(DataViewSectionItem[[#This Row],[Data Section for Items]]="","relation",IFERROR(VLOOKUP(DataViewSectionItem[[#This Row],[Relation]],RelationTable[[Display]:[RELID]],2,0),""))</f>
        <v>2109105</v>
      </c>
      <c r="AW6" s="107" t="s">
        <v>1369</v>
      </c>
    </row>
    <row r="7" spans="1:49">
      <c r="A7" s="63" t="str">
        <f>'Table Seed Map'!$A$29&amp;"-"&amp;COUNTA($E$1:ResourceData[[#This Row],[Resource]])-2</f>
        <v>Resource Data-5</v>
      </c>
      <c r="B7" s="62" t="s">
        <v>1029</v>
      </c>
      <c r="C7" s="63" t="str">
        <f>ResourceData[[#This Row],[Resource Name]]&amp;"/"&amp;ResourceData[[#This Row],[Name]]</f>
        <v>Shelf/ShelfData</v>
      </c>
      <c r="D7" s="69">
        <f>IF(COUNTA($E$1:ResourceData[[#This Row],[Resource]])=2,"id",-2+COUNTA($E$1:ResourceData[[#This Row],[Resource]])+IF(ISNUMBER(VLOOKUP('Table Seed Map'!$A$29,SeedMap[],9,0)),VLOOKUP('Table Seed Map'!$A$29,SeedMap[],9,0),0))</f>
        <v>2128105</v>
      </c>
      <c r="E7" s="69">
        <f>IFERROR(VLOOKUP(ResourceData[[#This Row],[Resource Name]],ResourceTable[[RName]:[No]],3,0),"resource")</f>
        <v>2106113</v>
      </c>
      <c r="F7" s="107" t="s">
        <v>1706</v>
      </c>
      <c r="G7" s="107"/>
      <c r="H7" s="107" t="s">
        <v>23</v>
      </c>
      <c r="I7" s="111"/>
      <c r="J7" s="75">
        <f>[No]</f>
        <v>2128105</v>
      </c>
      <c r="L7" s="62" t="s">
        <v>1551</v>
      </c>
      <c r="M7" s="63">
        <f>VLOOKUP(DataExtra[[#This Row],[Data Name]],ResourceData[[DataDisplayName]:[No]],2,0)</f>
        <v>2128102</v>
      </c>
      <c r="N7" s="62"/>
      <c r="O7" s="62" t="s">
        <v>1535</v>
      </c>
      <c r="P7" s="62" t="s">
        <v>1544</v>
      </c>
      <c r="Q7" s="62"/>
      <c r="R7" s="62"/>
      <c r="S7" s="63" t="str">
        <f>'Table Seed Map'!$A$30&amp;"-"&amp;COUNT($V$1:DataExtra[[#This Row],[Scope ID]])</f>
        <v>Data Scopes-0</v>
      </c>
      <c r="T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9">
        <f>IF(DataExtra[[#This Row],[DID]]=0,"resource_data",DataExtra[[#This Row],[DID]])</f>
        <v>2128102</v>
      </c>
      <c r="V7" s="69" t="str">
        <f>IFERROR(VLOOKUP(DataExtra[[#This Row],[Scope Name]],ResourceScopes[[ScopesDisplayNames]:[No]],2,0),IF(DataExtra[[#This Row],[DID]]=0,"scope",""))</f>
        <v/>
      </c>
      <c r="W7" s="63" t="str">
        <f>'Table Seed Map'!$A$31&amp;"-"&amp;COUNT($Z$1:DataExtra[[#This Row],[Relation]])</f>
        <v>Data Relations-5</v>
      </c>
      <c r="X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2130105</v>
      </c>
      <c r="Y7" s="69">
        <f>IF(DataExtra[[#This Row],[DID]]=0,"resource_data",DataExtra[[#This Row],[DID]])</f>
        <v>2128102</v>
      </c>
      <c r="Z7" s="69">
        <f>IFERROR(VLOOKUP(DataExtra[[#This Row],[Relation Name]],RelationTable[[Display]:[RELID]],2,0),IF(DataExtra[[#This Row],[DID]]=0,"relation",""))</f>
        <v>2109109</v>
      </c>
      <c r="AA7" s="69">
        <f>IFERROR(VLOOKUP(DataExtra[[#This Row],[R1 Name]],RelationTable[[Display]:[RELID]],2,0),IF(DataExtra[[#This Row],[DID]]=0,"nest_relation1",""))</f>
        <v>2109134</v>
      </c>
      <c r="AB7" s="69" t="str">
        <f>IFERROR(VLOOKUP(DataExtra[[#This Row],[R2 Name]],RelationTable[[Display]:[RELID]],2,0),IF(DataExtra[[#This Row],[DID]]=0,"nest_relation2",""))</f>
        <v/>
      </c>
      <c r="AC7" s="69" t="str">
        <f>IFERROR(VLOOKUP(DataExtra[[#This Row],[R3 Name]],RelationTable[[Display]:[RELID]],2,0),IF(DataExtra[[#This Row],[DID]]=0,"nest_relation3",""))</f>
        <v/>
      </c>
      <c r="AE7" s="69" t="str">
        <f>'Table Seed Map'!$A$32&amp;"-"&amp;COUNTA($AF$1:DataViewSection[[#This Row],[Data Name for Layout]])-1</f>
        <v>Data View Section-5</v>
      </c>
      <c r="AF7" s="62" t="s">
        <v>1551</v>
      </c>
      <c r="AG7" s="63" t="str">
        <f>DataViewSection[[#This Row],[Data Name for Layout]]&amp;"/"&amp;COUNTIF($AI$1:DataViewSection[[#This Row],[Data ID]],DataViewSection[[#This Row],[Data ID]])</f>
        <v>Hub/HubData/4</v>
      </c>
      <c r="AH7" s="69">
        <f>IF(DataViewSection[[#This Row],[Data Name for Layout]]="","id",-1+COUNTA($AF$1:DataViewSection[[#This Row],[Data Name for Layout]])+VLOOKUP('Table Seed Map'!$A$32,SeedMap[],9,0))</f>
        <v>2131105</v>
      </c>
      <c r="AI7" s="69">
        <f>IFERROR(VLOOKUP(DataViewSection[[#This Row],[Data Name for Layout]],ResourceData[[DataDisplayName]:[No]],2,0),"resource_data")</f>
        <v>2128102</v>
      </c>
      <c r="AJ7" s="69" t="s">
        <v>1037</v>
      </c>
      <c r="AK7" s="69"/>
      <c r="AL7" s="69">
        <f>IF(DataViewSection[[#This Row],[Data Name for Layout]]="","relation",IFERROR(VLOOKUP(DataViewSection[[#This Row],[Relation]],RelationTable[[Display]:[RELID]],2,0),""))</f>
        <v>2109110</v>
      </c>
      <c r="AM7" s="107">
        <v>12</v>
      </c>
      <c r="AN7" s="107" t="s">
        <v>1536</v>
      </c>
      <c r="AP7" s="69" t="str">
        <f>'Table Seed Map'!$A$33&amp;"-"&amp;-1+COUNTA($AQ$1:DataViewSectionItem[[#This Row],[Data Section for Items]])</f>
        <v>Data View Section Items-5</v>
      </c>
      <c r="AQ7" s="62" t="s">
        <v>1556</v>
      </c>
      <c r="AR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2132105</v>
      </c>
      <c r="AS7" s="69">
        <f>IF(DataViewSectionItem[[#This Row],[Data Section for Items]]="","section",VLOOKUP(DataViewSectionItem[[#This Row],[Data Section for Items]],DataViewSection[[DataSectionDisplayName]:[No]],2,0))</f>
        <v>2131102</v>
      </c>
      <c r="AT7" s="69" t="s">
        <v>1156</v>
      </c>
      <c r="AU7" s="107" t="s">
        <v>796</v>
      </c>
      <c r="AV7" s="69" t="str">
        <f>IF(DataViewSectionItem[[#This Row],[Data Section for Items]]="","relation",IFERROR(VLOOKUP(DataViewSectionItem[[#This Row],[Relation]],RelationTable[[Display]:[RELID]],2,0),""))</f>
        <v/>
      </c>
      <c r="AW7" s="107"/>
    </row>
    <row r="8" spans="1:49">
      <c r="A8" s="63" t="str">
        <f>'Table Seed Map'!$A$29&amp;"-"&amp;COUNTA($E$1:ResourceData[[#This Row],[Resource]])-2</f>
        <v>Resource Data-6</v>
      </c>
      <c r="B8" s="62" t="s">
        <v>788</v>
      </c>
      <c r="C8" s="63" t="str">
        <f>ResourceData[[#This Row],[Resource Name]]&amp;"/"&amp;ResourceData[[#This Row],[Name]]</f>
        <v>OrderItem/OrderItemData</v>
      </c>
      <c r="D8" s="69">
        <f>IF(COUNTA($E$1:ResourceData[[#This Row],[Resource]])=2,"id",-2+COUNTA($E$1:ResourceData[[#This Row],[Resource]])+IF(ISNUMBER(VLOOKUP('Table Seed Map'!$A$29,SeedMap[],9,0)),VLOOKUP('Table Seed Map'!$A$29,SeedMap[],9,0),0))</f>
        <v>2128106</v>
      </c>
      <c r="E8" s="69">
        <f>IFERROR(VLOOKUP(ResourceData[[#This Row],[Resource Name]],ResourceTable[[RName]:[No]],3,0),"resource")</f>
        <v>2106119</v>
      </c>
      <c r="F8" s="107" t="s">
        <v>1724</v>
      </c>
      <c r="G8" s="107"/>
      <c r="H8" s="107" t="s">
        <v>23</v>
      </c>
      <c r="I8" s="111"/>
      <c r="J8" s="75">
        <f>[No]</f>
        <v>2128106</v>
      </c>
      <c r="L8" s="62" t="s">
        <v>1551</v>
      </c>
      <c r="M8" s="63">
        <f>VLOOKUP(DataExtra[[#This Row],[Data Name]],ResourceData[[DataDisplayName]:[No]],2,0)</f>
        <v>2128102</v>
      </c>
      <c r="N8" s="62"/>
      <c r="O8" s="62" t="s">
        <v>1535</v>
      </c>
      <c r="P8" s="62" t="s">
        <v>1546</v>
      </c>
      <c r="Q8" s="62"/>
      <c r="R8" s="62"/>
      <c r="S8" s="63" t="str">
        <f>'Table Seed Map'!$A$30&amp;"-"&amp;COUNT($V$1:DataExtra[[#This Row],[Scope ID]])</f>
        <v>Data Scopes-0</v>
      </c>
      <c r="T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69">
        <f>IF(DataExtra[[#This Row],[DID]]=0,"resource_data",DataExtra[[#This Row],[DID]])</f>
        <v>2128102</v>
      </c>
      <c r="V8" s="69" t="str">
        <f>IFERROR(VLOOKUP(DataExtra[[#This Row],[Scope Name]],ResourceScopes[[ScopesDisplayNames]:[No]],2,0),IF(DataExtra[[#This Row],[DID]]=0,"scope",""))</f>
        <v/>
      </c>
      <c r="W8" s="63" t="str">
        <f>'Table Seed Map'!$A$31&amp;"-"&amp;COUNT($Z$1:DataExtra[[#This Row],[Relation]])</f>
        <v>Data Relations-6</v>
      </c>
      <c r="X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2130106</v>
      </c>
      <c r="Y8" s="69">
        <f>IF(DataExtra[[#This Row],[DID]]=0,"resource_data",DataExtra[[#This Row],[DID]])</f>
        <v>2128102</v>
      </c>
      <c r="Z8" s="69">
        <f>IFERROR(VLOOKUP(DataExtra[[#This Row],[Relation Name]],RelationTable[[Display]:[RELID]],2,0),IF(DataExtra[[#This Row],[DID]]=0,"relation",""))</f>
        <v>2109109</v>
      </c>
      <c r="AA8" s="69">
        <f>IFERROR(VLOOKUP(DataExtra[[#This Row],[R1 Name]],RelationTable[[Display]:[RELID]],2,0),IF(DataExtra[[#This Row],[DID]]=0,"nest_relation1",""))</f>
        <v>2109135</v>
      </c>
      <c r="AB8" s="69" t="str">
        <f>IFERROR(VLOOKUP(DataExtra[[#This Row],[R2 Name]],RelationTable[[Display]:[RELID]],2,0),IF(DataExtra[[#This Row],[DID]]=0,"nest_relation2",""))</f>
        <v/>
      </c>
      <c r="AC8" s="69" t="str">
        <f>IFERROR(VLOOKUP(DataExtra[[#This Row],[R3 Name]],RelationTable[[Display]:[RELID]],2,0),IF(DataExtra[[#This Row],[DID]]=0,"nest_relation3",""))</f>
        <v/>
      </c>
      <c r="AE8" s="69" t="str">
        <f>'Table Seed Map'!$A$32&amp;"-"&amp;COUNTA($AF$1:DataViewSection[[#This Row],[Data Name for Layout]])-1</f>
        <v>Data View Section-6</v>
      </c>
      <c r="AF8" s="62" t="s">
        <v>1554</v>
      </c>
      <c r="AG8" s="63" t="str">
        <f>DataViewSection[[#This Row],[Data Name for Layout]]&amp;"/"&amp;COUNTIF($AI$1:DataViewSection[[#This Row],[Data ID]],DataViewSection[[#This Row],[Data ID]])</f>
        <v>Customer/CustomerData/1</v>
      </c>
      <c r="AH8" s="69">
        <f>IF(DataViewSection[[#This Row],[Data Name for Layout]]="","id",-1+COUNTA($AF$1:DataViewSection[[#This Row],[Data Name for Layout]])+VLOOKUP('Table Seed Map'!$A$32,SeedMap[],9,0))</f>
        <v>2131106</v>
      </c>
      <c r="AI8" s="69">
        <f>IFERROR(VLOOKUP(DataViewSection[[#This Row],[Data Name for Layout]],ResourceData[[DataDisplayName]:[No]],2,0),"resource_data")</f>
        <v>2128103</v>
      </c>
      <c r="AJ8" s="69"/>
      <c r="AK8" s="69" t="s">
        <v>23</v>
      </c>
      <c r="AL8" s="69" t="str">
        <f>IF(DataViewSection[[#This Row],[Data Name for Layout]]="","relation",IFERROR(VLOOKUP(DataViewSection[[#This Row],[Relation]],RelationTable[[Display]:[RELID]],2,0),""))</f>
        <v/>
      </c>
      <c r="AM8" s="107">
        <v>12</v>
      </c>
      <c r="AN8" s="107"/>
      <c r="AP8" s="69" t="str">
        <f>'Table Seed Map'!$A$33&amp;"-"&amp;-1+COUNTA($AQ$1:DataViewSectionItem[[#This Row],[Data Section for Items]])</f>
        <v>Data View Section Items-6</v>
      </c>
      <c r="AQ8" s="62" t="s">
        <v>1556</v>
      </c>
      <c r="AR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2132106</v>
      </c>
      <c r="AS8" s="69">
        <f>IF(DataViewSectionItem[[#This Row],[Data Section for Items]]="","section",VLOOKUP(DataViewSectionItem[[#This Row],[Data Section for Items]],DataViewSection[[DataSectionDisplayName]:[No]],2,0))</f>
        <v>2131102</v>
      </c>
      <c r="AT8" s="69" t="s">
        <v>1456</v>
      </c>
      <c r="AU8" s="107" t="s">
        <v>799</v>
      </c>
      <c r="AV8" s="69" t="str">
        <f>IF(DataViewSectionItem[[#This Row],[Data Section for Items]]="","relation",IFERROR(VLOOKUP(DataViewSectionItem[[#This Row],[Relation]],RelationTable[[Display]:[RELID]],2,0),""))</f>
        <v/>
      </c>
      <c r="AW8" s="107"/>
    </row>
    <row r="9" spans="1:49">
      <c r="A9" s="9" t="str">
        <f>'Table Seed Map'!$A$29&amp;"-"&amp;COUNTA($E$1:ResourceData[[#This Row],[Resource]])-2</f>
        <v>Resource Data-7</v>
      </c>
      <c r="B9" s="62" t="s">
        <v>780</v>
      </c>
      <c r="C9" s="9" t="str">
        <f>ResourceData[[#This Row],[Resource Name]]&amp;"/"&amp;ResourceData[[#This Row],[Name]]</f>
        <v>ItemService/ItemServiceEditData</v>
      </c>
      <c r="D9" s="16">
        <f>IF(COUNTA($E$1:ResourceData[[#This Row],[Resource]])=2,"id",-2+COUNTA($E$1:ResourceData[[#This Row],[Resource]])+IF(ISNUMBER(VLOOKUP('Table Seed Map'!$A$29,SeedMap[],9,0)),VLOOKUP('Table Seed Map'!$A$29,SeedMap[],9,0),0))</f>
        <v>2128107</v>
      </c>
      <c r="E9" s="16">
        <f>IFERROR(VLOOKUP(ResourceData[[#This Row],[Resource Name]],ResourceTable[[RName]:[No]],3,0),"resource")</f>
        <v>2106110</v>
      </c>
      <c r="F9" s="14" t="s">
        <v>1739</v>
      </c>
      <c r="G9" s="14"/>
      <c r="H9" s="14" t="s">
        <v>23</v>
      </c>
      <c r="I9" s="113"/>
      <c r="J9" s="79">
        <f>[No]</f>
        <v>2128107</v>
      </c>
      <c r="L9" s="62" t="s">
        <v>1551</v>
      </c>
      <c r="M9" s="63">
        <f>VLOOKUP(DataExtra[[#This Row],[Data Name]],ResourceData[[DataDisplayName]:[No]],2,0)</f>
        <v>2128102</v>
      </c>
      <c r="N9" s="62"/>
      <c r="O9" s="62" t="s">
        <v>1536</v>
      </c>
      <c r="P9" s="62"/>
      <c r="Q9" s="62"/>
      <c r="R9" s="62"/>
      <c r="S9" s="63" t="str">
        <f>'Table Seed Map'!$A$30&amp;"-"&amp;COUNT($V$1:DataExtra[[#This Row],[Scope ID]])</f>
        <v>Data Scopes-0</v>
      </c>
      <c r="T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69">
        <f>IF(DataExtra[[#This Row],[DID]]=0,"resource_data",DataExtra[[#This Row],[DID]])</f>
        <v>2128102</v>
      </c>
      <c r="V9" s="69" t="str">
        <f>IFERROR(VLOOKUP(DataExtra[[#This Row],[Scope Name]],ResourceScopes[[ScopesDisplayNames]:[No]],2,0),IF(DataExtra[[#This Row],[DID]]=0,"scope",""))</f>
        <v/>
      </c>
      <c r="W9" s="63" t="str">
        <f>'Table Seed Map'!$A$31&amp;"-"&amp;COUNT($Z$1:DataExtra[[#This Row],[Relation]])</f>
        <v>Data Relations-7</v>
      </c>
      <c r="X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2130107</v>
      </c>
      <c r="Y9" s="69">
        <f>IF(DataExtra[[#This Row],[DID]]=0,"resource_data",DataExtra[[#This Row],[DID]])</f>
        <v>2128102</v>
      </c>
      <c r="Z9" s="69">
        <f>IFERROR(VLOOKUP(DataExtra[[#This Row],[Relation Name]],RelationTable[[Display]:[RELID]],2,0),IF(DataExtra[[#This Row],[DID]]=0,"relation",""))</f>
        <v>2109110</v>
      </c>
      <c r="AA9" s="69" t="str">
        <f>IFERROR(VLOOKUP(DataExtra[[#This Row],[R1 Name]],RelationTable[[Display]:[RELID]],2,0),IF(DataExtra[[#This Row],[DID]]=0,"nest_relation1",""))</f>
        <v/>
      </c>
      <c r="AB9" s="69" t="str">
        <f>IFERROR(VLOOKUP(DataExtra[[#This Row],[R2 Name]],RelationTable[[Display]:[RELID]],2,0),IF(DataExtra[[#This Row],[DID]]=0,"nest_relation2",""))</f>
        <v/>
      </c>
      <c r="AC9" s="69" t="str">
        <f>IFERROR(VLOOKUP(DataExtra[[#This Row],[R3 Name]],RelationTable[[Display]:[RELID]],2,0),IF(DataExtra[[#This Row],[DID]]=0,"nest_relation3",""))</f>
        <v/>
      </c>
      <c r="AE9" s="69" t="str">
        <f>'Table Seed Map'!$A$32&amp;"-"&amp;COUNTA($AF$1:DataViewSection[[#This Row],[Data Name for Layout]])-1</f>
        <v>Data View Section-7</v>
      </c>
      <c r="AF9" s="62" t="s">
        <v>1577</v>
      </c>
      <c r="AG9" s="63" t="str">
        <f>DataViewSection[[#This Row],[Data Name for Layout]]&amp;"/"&amp;COUNTIF($AI$1:DataViewSection[[#This Row],[Data ID]],DataViewSection[[#This Row],[Data ID]])</f>
        <v>Service/ServiceData/1</v>
      </c>
      <c r="AH9" s="69">
        <f>IF(DataViewSection[[#This Row],[Data Name for Layout]]="","id",-1+COUNTA($AF$1:DataViewSection[[#This Row],[Data Name for Layout]])+VLOOKUP('Table Seed Map'!$A$32,SeedMap[],9,0))</f>
        <v>2131107</v>
      </c>
      <c r="AI9" s="69">
        <f>IFERROR(VLOOKUP(DataViewSection[[#This Row],[Data Name for Layout]],ResourceData[[DataDisplayName]:[No]],2,0),"resource_data")</f>
        <v>2128104</v>
      </c>
      <c r="AJ9" s="69"/>
      <c r="AK9" s="69" t="s">
        <v>23</v>
      </c>
      <c r="AL9" s="69" t="str">
        <f>IF(DataViewSection[[#This Row],[Data Name for Layout]]="","relation",IFERROR(VLOOKUP(DataViewSection[[#This Row],[Relation]],RelationTable[[Display]:[RELID]],2,0),""))</f>
        <v/>
      </c>
      <c r="AM9" s="107"/>
      <c r="AN9" s="107"/>
      <c r="AP9" s="69" t="str">
        <f>'Table Seed Map'!$A$33&amp;"-"&amp;-1+COUNTA($AQ$1:DataViewSectionItem[[#This Row],[Data Section for Items]])</f>
        <v>Data View Section Items-7</v>
      </c>
      <c r="AQ9" s="62" t="s">
        <v>1556</v>
      </c>
      <c r="AR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2132107</v>
      </c>
      <c r="AS9" s="69">
        <f>IF(DataViewSectionItem[[#This Row],[Data Section for Items]]="","section",VLOOKUP(DataViewSectionItem[[#This Row],[Data Section for Items]],DataViewSection[[DataSectionDisplayName]:[No]],2,0))</f>
        <v>2131102</v>
      </c>
      <c r="AT9" s="69" t="s">
        <v>1182</v>
      </c>
      <c r="AU9" s="107" t="s">
        <v>800</v>
      </c>
      <c r="AV9" s="69" t="str">
        <f>IF(DataViewSectionItem[[#This Row],[Data Section for Items]]="","relation",IFERROR(VLOOKUP(DataViewSectionItem[[#This Row],[Relation]],RelationTable[[Display]:[RELID]],2,0),""))</f>
        <v/>
      </c>
      <c r="AW9" s="107"/>
    </row>
    <row r="10" spans="1:49">
      <c r="A10" s="9" t="str">
        <f>'Table Seed Map'!$A$29&amp;"-"&amp;COUNTA($E$1:ResourceData[[#This Row],[Resource]])-2</f>
        <v>Resource Data-8</v>
      </c>
      <c r="B10" s="62" t="s">
        <v>786</v>
      </c>
      <c r="C10" s="9" t="str">
        <f>ResourceData[[#This Row],[Resource Name]]&amp;"/"&amp;ResourceData[[#This Row],[Name]]</f>
        <v>IdentityLabel/LabelEditData</v>
      </c>
      <c r="D10" s="16">
        <f>IF(COUNTA($E$1:ResourceData[[#This Row],[Resource]])=2,"id",-2+COUNTA($E$1:ResourceData[[#This Row],[Resource]])+IF(ISNUMBER(VLOOKUP('Table Seed Map'!$A$29,SeedMap[],9,0)),VLOOKUP('Table Seed Map'!$A$29,SeedMap[],9,0),0))</f>
        <v>2128108</v>
      </c>
      <c r="E10" s="16">
        <f>IFERROR(VLOOKUP(ResourceData[[#This Row],[Resource Name]],ResourceTable[[RName]:[No]],3,0),"resource")</f>
        <v>2106117</v>
      </c>
      <c r="F10" s="14" t="s">
        <v>1744</v>
      </c>
      <c r="G10" s="14"/>
      <c r="H10" s="14" t="s">
        <v>850</v>
      </c>
      <c r="I10" s="113"/>
      <c r="J10" s="79">
        <f>[No]</f>
        <v>2128108</v>
      </c>
      <c r="L10" s="62" t="s">
        <v>1551</v>
      </c>
      <c r="M10" s="63">
        <f>VLOOKUP(DataExtra[[#This Row],[Data Name]],ResourceData[[DataDisplayName]:[No]],2,0)</f>
        <v>2128102</v>
      </c>
      <c r="N10" s="62"/>
      <c r="O10" s="62" t="s">
        <v>1537</v>
      </c>
      <c r="P10" s="62"/>
      <c r="Q10" s="62"/>
      <c r="R10" s="62"/>
      <c r="S10" s="63" t="str">
        <f>'Table Seed Map'!$A$30&amp;"-"&amp;COUNT($V$1:DataExtra[[#This Row],[Scope ID]])</f>
        <v>Data Scopes-0</v>
      </c>
      <c r="T1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69">
        <f>IF(DataExtra[[#This Row],[DID]]=0,"resource_data",DataExtra[[#This Row],[DID]])</f>
        <v>2128102</v>
      </c>
      <c r="V10" s="69" t="str">
        <f>IFERROR(VLOOKUP(DataExtra[[#This Row],[Scope Name]],ResourceScopes[[ScopesDisplayNames]:[No]],2,0),IF(DataExtra[[#This Row],[DID]]=0,"scope",""))</f>
        <v/>
      </c>
      <c r="W10" s="63" t="str">
        <f>'Table Seed Map'!$A$31&amp;"-"&amp;COUNT($Z$1:DataExtra[[#This Row],[Relation]])</f>
        <v>Data Relations-8</v>
      </c>
      <c r="X1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2130108</v>
      </c>
      <c r="Y10" s="69">
        <f>IF(DataExtra[[#This Row],[DID]]=0,"resource_data",DataExtra[[#This Row],[DID]])</f>
        <v>2128102</v>
      </c>
      <c r="Z10" s="69">
        <f>IFERROR(VLOOKUP(DataExtra[[#This Row],[Relation Name]],RelationTable[[Display]:[RELID]],2,0),IF(DataExtra[[#This Row],[DID]]=0,"relation",""))</f>
        <v>2109111</v>
      </c>
      <c r="AA10" s="69" t="str">
        <f>IFERROR(VLOOKUP(DataExtra[[#This Row],[R1 Name]],RelationTable[[Display]:[RELID]],2,0),IF(DataExtra[[#This Row],[DID]]=0,"nest_relation1",""))</f>
        <v/>
      </c>
      <c r="AB10" s="69" t="str">
        <f>IFERROR(VLOOKUP(DataExtra[[#This Row],[R2 Name]],RelationTable[[Display]:[RELID]],2,0),IF(DataExtra[[#This Row],[DID]]=0,"nest_relation2",""))</f>
        <v/>
      </c>
      <c r="AC10" s="69" t="str">
        <f>IFERROR(VLOOKUP(DataExtra[[#This Row],[R3 Name]],RelationTable[[Display]:[RELID]],2,0),IF(DataExtra[[#This Row],[DID]]=0,"nest_relation3",""))</f>
        <v/>
      </c>
      <c r="AE10" s="69" t="str">
        <f>'Table Seed Map'!$A$32&amp;"-"&amp;COUNTA($AF$1:DataViewSection[[#This Row],[Data Name for Layout]])-1</f>
        <v>Data View Section-8</v>
      </c>
      <c r="AF10" s="62" t="s">
        <v>1577</v>
      </c>
      <c r="AG10" s="63" t="str">
        <f>DataViewSection[[#This Row],[Data Name for Layout]]&amp;"/"&amp;COUNTIF($AI$1:DataViewSection[[#This Row],[Data ID]],DataViewSection[[#This Row],[Data ID]])</f>
        <v>Service/ServiceData/2</v>
      </c>
      <c r="AH10" s="69">
        <f>IF(DataViewSection[[#This Row],[Data Name for Layout]]="","id",-1+COUNTA($AF$1:DataViewSection[[#This Row],[Data Name for Layout]])+VLOOKUP('Table Seed Map'!$A$32,SeedMap[],9,0))</f>
        <v>2131108</v>
      </c>
      <c r="AI10" s="69">
        <f>IFERROR(VLOOKUP(DataViewSection[[#This Row],[Data Name for Layout]],ResourceData[[DataDisplayName]:[No]],2,0),"resource_data")</f>
        <v>2128104</v>
      </c>
      <c r="AJ10" s="69" t="s">
        <v>1090</v>
      </c>
      <c r="AK10" s="69"/>
      <c r="AL10" s="69">
        <f>IF(DataViewSection[[#This Row],[Data Name for Layout]]="","relation",IFERROR(VLOOKUP(DataViewSection[[#This Row],[Relation]],RelationTable[[Display]:[RELID]],2,0),""))</f>
        <v>2109116</v>
      </c>
      <c r="AM10" s="107"/>
      <c r="AN10" s="107" t="s">
        <v>1539</v>
      </c>
      <c r="AP10" s="69" t="str">
        <f>'Table Seed Map'!$A$33&amp;"-"&amp;-1+COUNTA($AQ$1:DataViewSectionItem[[#This Row],[Data Section for Items]])</f>
        <v>Data View Section Items-8</v>
      </c>
      <c r="AQ10" s="62" t="s">
        <v>1556</v>
      </c>
      <c r="AR1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2132108</v>
      </c>
      <c r="AS10" s="69">
        <f>IF(DataViewSectionItem[[#This Row],[Data Section for Items]]="","section",VLOOKUP(DataViewSectionItem[[#This Row],[Data Section for Items]],DataViewSection[[DataSectionDisplayName]:[No]],2,0))</f>
        <v>2131102</v>
      </c>
      <c r="AT10" s="69" t="s">
        <v>1183</v>
      </c>
      <c r="AU10" s="107" t="s">
        <v>801</v>
      </c>
      <c r="AV10" s="69" t="str">
        <f>IF(DataViewSectionItem[[#This Row],[Data Section for Items]]="","relation",IFERROR(VLOOKUP(DataViewSectionItem[[#This Row],[Relation]],RelationTable[[Display]:[RELID]],2,0),""))</f>
        <v/>
      </c>
      <c r="AW10" s="107"/>
    </row>
    <row r="11" spans="1:49">
      <c r="A11" s="63" t="str">
        <f>'Table Seed Map'!$A$29&amp;"-"&amp;COUNTA($E$1:ResourceData[[#This Row],[Resource]])-2</f>
        <v>Resource Data-9</v>
      </c>
      <c r="B11" s="62" t="s">
        <v>783</v>
      </c>
      <c r="C11" s="63" t="str">
        <f>ResourceData[[#This Row],[Resource Name]]&amp;"/"&amp;ResourceData[[#This Row],[Name]]</f>
        <v>Pricelist/PricelistEditData</v>
      </c>
      <c r="D11" s="69">
        <f>IF(COUNTA($E$1:ResourceData[[#This Row],[Resource]])=2,"id",-2+COUNTA($E$1:ResourceData[[#This Row],[Resource]])+IF(ISNUMBER(VLOOKUP('Table Seed Map'!$A$29,SeedMap[],9,0)),VLOOKUP('Table Seed Map'!$A$29,SeedMap[],9,0),0))</f>
        <v>2128109</v>
      </c>
      <c r="E11" s="69">
        <f>IFERROR(VLOOKUP(ResourceData[[#This Row],[Resource Name]],ResourceTable[[RName]:[No]],3,0),"resource")</f>
        <v>2106115</v>
      </c>
      <c r="F11" s="107" t="s">
        <v>1754</v>
      </c>
      <c r="G11" s="107"/>
      <c r="H11" s="107" t="s">
        <v>23</v>
      </c>
      <c r="I11" s="111"/>
      <c r="J11" s="75">
        <f>[No]</f>
        <v>2128109</v>
      </c>
      <c r="L11" s="62" t="s">
        <v>1554</v>
      </c>
      <c r="M11" s="63">
        <f>VLOOKUP(DataExtra[[#This Row],[Data Name]],ResourceData[[DataDisplayName]:[No]],2,0)</f>
        <v>2128103</v>
      </c>
      <c r="N11" s="62"/>
      <c r="O11" s="62" t="s">
        <v>1162</v>
      </c>
      <c r="P11" s="62"/>
      <c r="Q11" s="62"/>
      <c r="R11" s="62"/>
      <c r="S11" s="63" t="str">
        <f>'Table Seed Map'!$A$30&amp;"-"&amp;COUNT($V$1:DataExtra[[#This Row],[Scope ID]])</f>
        <v>Data Scopes-0</v>
      </c>
      <c r="T1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1" s="69">
        <f>IF(DataExtra[[#This Row],[DID]]=0,"resource_data",DataExtra[[#This Row],[DID]])</f>
        <v>2128103</v>
      </c>
      <c r="V11" s="69" t="str">
        <f>IFERROR(VLOOKUP(DataExtra[[#This Row],[Scope Name]],ResourceScopes[[ScopesDisplayNames]:[No]],2,0),IF(DataExtra[[#This Row],[DID]]=0,"scope",""))</f>
        <v/>
      </c>
      <c r="W11" s="63" t="str">
        <f>'Table Seed Map'!$A$31&amp;"-"&amp;COUNT($Z$1:DataExtra[[#This Row],[Relation]])</f>
        <v>Data Relations-9</v>
      </c>
      <c r="X1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2130109</v>
      </c>
      <c r="Y11" s="69">
        <f>IF(DataExtra[[#This Row],[DID]]=0,"resource_data",DataExtra[[#This Row],[DID]])</f>
        <v>2128103</v>
      </c>
      <c r="Z11" s="69">
        <f>IFERROR(VLOOKUP(DataExtra[[#This Row],[Relation Name]],RelationTable[[Display]:[RELID]],2,0),IF(DataExtra[[#This Row],[DID]]=0,"relation",""))</f>
        <v>2109185</v>
      </c>
      <c r="AA11" s="69" t="str">
        <f>IFERROR(VLOOKUP(DataExtra[[#This Row],[R1 Name]],RelationTable[[Display]:[RELID]],2,0),IF(DataExtra[[#This Row],[DID]]=0,"nest_relation1",""))</f>
        <v/>
      </c>
      <c r="AB11" s="69" t="str">
        <f>IFERROR(VLOOKUP(DataExtra[[#This Row],[R2 Name]],RelationTable[[Display]:[RELID]],2,0),IF(DataExtra[[#This Row],[DID]]=0,"nest_relation2",""))</f>
        <v/>
      </c>
      <c r="AC11" s="69" t="str">
        <f>IFERROR(VLOOKUP(DataExtra[[#This Row],[R3 Name]],RelationTable[[Display]:[RELID]],2,0),IF(DataExtra[[#This Row],[DID]]=0,"nest_relation3",""))</f>
        <v/>
      </c>
      <c r="AE11" s="69" t="str">
        <f>'Table Seed Map'!$A$32&amp;"-"&amp;COUNTA($AF$1:DataViewSection[[#This Row],[Data Name for Layout]])-1</f>
        <v>Data View Section-9</v>
      </c>
      <c r="AF11" s="62" t="s">
        <v>1577</v>
      </c>
      <c r="AG11" s="63" t="str">
        <f>DataViewSection[[#This Row],[Data Name for Layout]]&amp;"/"&amp;COUNTIF($AI$1:DataViewSection[[#This Row],[Data ID]],DataViewSection[[#This Row],[Data ID]])</f>
        <v>Service/ServiceData/3</v>
      </c>
      <c r="AH11" s="69">
        <f>IF(DataViewSection[[#This Row],[Data Name for Layout]]="","id",-1+COUNTA($AF$1:DataViewSection[[#This Row],[Data Name for Layout]])+VLOOKUP('Table Seed Map'!$A$32,SeedMap[],9,0))</f>
        <v>2131109</v>
      </c>
      <c r="AI11" s="69">
        <f>IFERROR(VLOOKUP(DataViewSection[[#This Row],[Data Name for Layout]],ResourceData[[DataDisplayName]:[No]],2,0),"resource_data")</f>
        <v>2128104</v>
      </c>
      <c r="AJ11" s="69" t="s">
        <v>895</v>
      </c>
      <c r="AK11" s="69"/>
      <c r="AL11" s="69">
        <f>IF(DataViewSection[[#This Row],[Data Name for Layout]]="","relation",IFERROR(VLOOKUP(DataViewSection[[#This Row],[Relation]],RelationTable[[Display]:[RELID]],2,0),""))</f>
        <v>2109117</v>
      </c>
      <c r="AM11" s="107"/>
      <c r="AN11" s="107" t="s">
        <v>1578</v>
      </c>
      <c r="AP11" s="69" t="str">
        <f>'Table Seed Map'!$A$33&amp;"-"&amp;-1+COUNTA($AQ$1:DataViewSectionItem[[#This Row],[Data Section for Items]])</f>
        <v>Data View Section Items-9</v>
      </c>
      <c r="AQ11" s="62" t="s">
        <v>1556</v>
      </c>
      <c r="AR1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2132109</v>
      </c>
      <c r="AS11" s="69">
        <f>IF(DataViewSectionItem[[#This Row],[Data Section for Items]]="","section",VLOOKUP(DataViewSectionItem[[#This Row],[Data Section for Items]],DataViewSection[[DataSectionDisplayName]:[No]],2,0))</f>
        <v>2131102</v>
      </c>
      <c r="AT11" s="69" t="s">
        <v>1211</v>
      </c>
      <c r="AU11" s="107" t="s">
        <v>23</v>
      </c>
      <c r="AV11" s="69">
        <f>IF(DataViewSectionItem[[#This Row],[Data Section for Items]]="","relation",IFERROR(VLOOKUP(DataViewSectionItem[[#This Row],[Relation]],RelationTable[[Display]:[RELID]],2,0),""))</f>
        <v>2109111</v>
      </c>
      <c r="AW11" s="107" t="s">
        <v>1537</v>
      </c>
    </row>
    <row r="12" spans="1:49">
      <c r="A12" s="63" t="str">
        <f>'Table Seed Map'!$A$29&amp;"-"&amp;COUNTA($E$1:ResourceData[[#This Row],[Resource]])-2</f>
        <v>Resource Data-10</v>
      </c>
      <c r="B12" s="62" t="s">
        <v>779</v>
      </c>
      <c r="C12" s="63" t="str">
        <f>ResourceData[[#This Row],[Resource Name]]&amp;"/"&amp;ResourceData[[#This Row],[Name]]</f>
        <v>Item/ItemEditData</v>
      </c>
      <c r="D12" s="69">
        <f>IF(COUNTA($E$1:ResourceData[[#This Row],[Resource]])=2,"id",-2+COUNTA($E$1:ResourceData[[#This Row],[Resource]])+IF(ISNUMBER(VLOOKUP('Table Seed Map'!$A$29,SeedMap[],9,0)),VLOOKUP('Table Seed Map'!$A$29,SeedMap[],9,0),0))</f>
        <v>2128110</v>
      </c>
      <c r="E12" s="69">
        <f>IFERROR(VLOOKUP(ResourceData[[#This Row],[Resource Name]],ResourceTable[[RName]:[No]],3,0),"resource")</f>
        <v>2106109</v>
      </c>
      <c r="F12" s="107" t="s">
        <v>1762</v>
      </c>
      <c r="G12" s="107"/>
      <c r="H12" s="107" t="s">
        <v>23</v>
      </c>
      <c r="I12" s="111"/>
      <c r="J12" s="75">
        <f>[No]</f>
        <v>2128110</v>
      </c>
      <c r="L12" s="62" t="s">
        <v>1577</v>
      </c>
      <c r="M12" s="63">
        <f>VLOOKUP(DataExtra[[#This Row],[Data Name]],ResourceData[[DataDisplayName]:[No]],2,0)</f>
        <v>2128104</v>
      </c>
      <c r="N12" s="62"/>
      <c r="O12" s="62" t="s">
        <v>1539</v>
      </c>
      <c r="P12" s="62"/>
      <c r="Q12" s="62"/>
      <c r="R12" s="62"/>
      <c r="S12" s="63" t="str">
        <f>'Table Seed Map'!$A$30&amp;"-"&amp;COUNT($V$1:DataExtra[[#This Row],[Scope ID]])</f>
        <v>Data Scopes-0</v>
      </c>
      <c r="T1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2" s="69">
        <f>IF(DataExtra[[#This Row],[DID]]=0,"resource_data",DataExtra[[#This Row],[DID]])</f>
        <v>2128104</v>
      </c>
      <c r="V12" s="69" t="str">
        <f>IFERROR(VLOOKUP(DataExtra[[#This Row],[Scope Name]],ResourceScopes[[ScopesDisplayNames]:[No]],2,0),IF(DataExtra[[#This Row],[DID]]=0,"scope",""))</f>
        <v/>
      </c>
      <c r="W12" s="63" t="str">
        <f>'Table Seed Map'!$A$31&amp;"-"&amp;COUNT($Z$1:DataExtra[[#This Row],[Relation]])</f>
        <v>Data Relations-10</v>
      </c>
      <c r="X1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2130110</v>
      </c>
      <c r="Y12" s="69">
        <f>IF(DataExtra[[#This Row],[DID]]=0,"resource_data",DataExtra[[#This Row],[DID]])</f>
        <v>2128104</v>
      </c>
      <c r="Z12" s="69">
        <f>IFERROR(VLOOKUP(DataExtra[[#This Row],[Relation Name]],RelationTable[[Display]:[RELID]],2,0),IF(DataExtra[[#This Row],[DID]]=0,"relation",""))</f>
        <v>2109116</v>
      </c>
      <c r="AA12" s="69" t="str">
        <f>IFERROR(VLOOKUP(DataExtra[[#This Row],[R1 Name]],RelationTable[[Display]:[RELID]],2,0),IF(DataExtra[[#This Row],[DID]]=0,"nest_relation1",""))</f>
        <v/>
      </c>
      <c r="AB12" s="69" t="str">
        <f>IFERROR(VLOOKUP(DataExtra[[#This Row],[R2 Name]],RelationTable[[Display]:[RELID]],2,0),IF(DataExtra[[#This Row],[DID]]=0,"nest_relation2",""))</f>
        <v/>
      </c>
      <c r="AC12" s="69" t="str">
        <f>IFERROR(VLOOKUP(DataExtra[[#This Row],[R3 Name]],RelationTable[[Display]:[RELID]],2,0),IF(DataExtra[[#This Row],[DID]]=0,"nest_relation3",""))</f>
        <v/>
      </c>
      <c r="AE12" s="69" t="str">
        <f>'Table Seed Map'!$A$32&amp;"-"&amp;COUNTA($AF$1:DataViewSection[[#This Row],[Data Name for Layout]])-1</f>
        <v>Data View Section-10</v>
      </c>
      <c r="AF12" s="62" t="s">
        <v>1577</v>
      </c>
      <c r="AG12" s="63" t="str">
        <f>DataViewSection[[#This Row],[Data Name for Layout]]&amp;"/"&amp;COUNTIF($AI$1:DataViewSection[[#This Row],[Data ID]],DataViewSection[[#This Row],[Data ID]])</f>
        <v>Service/ServiceData/4</v>
      </c>
      <c r="AH12" s="69">
        <f>IF(DataViewSection[[#This Row],[Data Name for Layout]]="","id",-1+COUNTA($AF$1:DataViewSection[[#This Row],[Data Name for Layout]])+VLOOKUP('Table Seed Map'!$A$32,SeedMap[],9,0))</f>
        <v>2131110</v>
      </c>
      <c r="AI12" s="69">
        <f>IFERROR(VLOOKUP(DataViewSection[[#This Row],[Data Name for Layout]],ResourceData[[DataDisplayName]:[No]],2,0),"resource_data")</f>
        <v>2128104</v>
      </c>
      <c r="AJ12" s="69" t="s">
        <v>969</v>
      </c>
      <c r="AK12" s="69"/>
      <c r="AL12" s="69">
        <f>IF(DataViewSection[[#This Row],[Data Name for Layout]]="","relation",IFERROR(VLOOKUP(DataViewSection[[#This Row],[Relation]],RelationTable[[Display]:[RELID]],2,0),""))</f>
        <v>2109119</v>
      </c>
      <c r="AM12" s="107"/>
      <c r="AN12" s="107" t="s">
        <v>1460</v>
      </c>
      <c r="AP12" s="69" t="str">
        <f>'Table Seed Map'!$A$33&amp;"-"&amp;-1+COUNTA($AQ$1:DataViewSectionItem[[#This Row],[Data Section for Items]])</f>
        <v>Data View Section Items-10</v>
      </c>
      <c r="AQ12" s="62" t="s">
        <v>1556</v>
      </c>
      <c r="AR1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2132110</v>
      </c>
      <c r="AS12" s="69">
        <f>IF(DataViewSectionItem[[#This Row],[Data Section for Items]]="","section",VLOOKUP(DataViewSectionItem[[#This Row],[Data Section for Items]],DataViewSection[[DataSectionDisplayName]:[No]],2,0))</f>
        <v>2131102</v>
      </c>
      <c r="AT12" s="69" t="s">
        <v>1190</v>
      </c>
      <c r="AU12" s="107" t="s">
        <v>804</v>
      </c>
      <c r="AV12" s="69" t="str">
        <f>IF(DataViewSectionItem[[#This Row],[Data Section for Items]]="","relation",IFERROR(VLOOKUP(DataViewSectionItem[[#This Row],[Relation]],RelationTable[[Display]:[RELID]],2,0),""))</f>
        <v/>
      </c>
      <c r="AW12" s="107"/>
    </row>
    <row r="13" spans="1:49">
      <c r="A13" s="63" t="str">
        <f>'Table Seed Map'!$A$29&amp;"-"&amp;COUNTA($E$1:ResourceData[[#This Row],[Resource]])-2</f>
        <v>Resource Data-11</v>
      </c>
      <c r="B13" s="62" t="s">
        <v>787</v>
      </c>
      <c r="C13" s="63" t="str">
        <f>ResourceData[[#This Row],[Resource Name]]&amp;"/"&amp;ResourceData[[#This Row],[Name]]</f>
        <v>Order/OrderEditData</v>
      </c>
      <c r="D13" s="69">
        <f>IF(COUNTA($E$1:ResourceData[[#This Row],[Resource]])=2,"id",-2+COUNTA($E$1:ResourceData[[#This Row],[Resource]])+IF(ISNUMBER(VLOOKUP('Table Seed Map'!$A$29,SeedMap[],9,0)),VLOOKUP('Table Seed Map'!$A$29,SeedMap[],9,0),0))</f>
        <v>2128111</v>
      </c>
      <c r="E13" s="69">
        <f>IFERROR(VLOOKUP(ResourceData[[#This Row],[Resource Name]],ResourceTable[[RName]:[No]],3,0),"resource")</f>
        <v>2106118</v>
      </c>
      <c r="F13" s="107" t="s">
        <v>1774</v>
      </c>
      <c r="G13" s="107"/>
      <c r="H13" s="107" t="s">
        <v>21</v>
      </c>
      <c r="I13" s="111"/>
      <c r="J13" s="75">
        <f>[No]</f>
        <v>2128111</v>
      </c>
      <c r="L13" s="62" t="s">
        <v>1577</v>
      </c>
      <c r="M13" s="63">
        <f>VLOOKUP(DataExtra[[#This Row],[Data Name]],ResourceData[[DataDisplayName]:[No]],2,0)</f>
        <v>2128104</v>
      </c>
      <c r="N13" s="62"/>
      <c r="O13" s="62" t="s">
        <v>1578</v>
      </c>
      <c r="P13" s="62"/>
      <c r="Q13" s="62"/>
      <c r="R13" s="62"/>
      <c r="S13" s="63" t="str">
        <f>'Table Seed Map'!$A$30&amp;"-"&amp;COUNT($V$1:DataExtra[[#This Row],[Scope ID]])</f>
        <v>Data Scopes-0</v>
      </c>
      <c r="T1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3" s="69">
        <f>IF(DataExtra[[#This Row],[DID]]=0,"resource_data",DataExtra[[#This Row],[DID]])</f>
        <v>2128104</v>
      </c>
      <c r="V13" s="69" t="str">
        <f>IFERROR(VLOOKUP(DataExtra[[#This Row],[Scope Name]],ResourceScopes[[ScopesDisplayNames]:[No]],2,0),IF(DataExtra[[#This Row],[DID]]=0,"scope",""))</f>
        <v/>
      </c>
      <c r="W13" s="63" t="str">
        <f>'Table Seed Map'!$A$31&amp;"-"&amp;COUNT($Z$1:DataExtra[[#This Row],[Relation]])</f>
        <v>Data Relations-11</v>
      </c>
      <c r="X1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2130111</v>
      </c>
      <c r="Y13" s="69">
        <f>IF(DataExtra[[#This Row],[DID]]=0,"resource_data",DataExtra[[#This Row],[DID]])</f>
        <v>2128104</v>
      </c>
      <c r="Z13" s="69">
        <f>IFERROR(VLOOKUP(DataExtra[[#This Row],[Relation Name]],RelationTable[[Display]:[RELID]],2,0),IF(DataExtra[[#This Row],[DID]]=0,"relation",""))</f>
        <v>2109117</v>
      </c>
      <c r="AA13" s="69" t="str">
        <f>IFERROR(VLOOKUP(DataExtra[[#This Row],[R1 Name]],RelationTable[[Display]:[RELID]],2,0),IF(DataExtra[[#This Row],[DID]]=0,"nest_relation1",""))</f>
        <v/>
      </c>
      <c r="AB13" s="69" t="str">
        <f>IFERROR(VLOOKUP(DataExtra[[#This Row],[R2 Name]],RelationTable[[Display]:[RELID]],2,0),IF(DataExtra[[#This Row],[DID]]=0,"nest_relation2",""))</f>
        <v/>
      </c>
      <c r="AC13" s="69" t="str">
        <f>IFERROR(VLOOKUP(DataExtra[[#This Row],[R3 Name]],RelationTable[[Display]:[RELID]],2,0),IF(DataExtra[[#This Row],[DID]]=0,"nest_relation3",""))</f>
        <v/>
      </c>
      <c r="AE13" s="69" t="str">
        <f>'Table Seed Map'!$A$32&amp;"-"&amp;COUNTA($AF$1:DataViewSection[[#This Row],[Data Name for Layout]])-1</f>
        <v>Data View Section-11</v>
      </c>
      <c r="AF13" s="62" t="s">
        <v>1707</v>
      </c>
      <c r="AG13" s="63" t="str">
        <f>DataViewSection[[#This Row],[Data Name for Layout]]&amp;"/"&amp;COUNTIF($AI$1:DataViewSection[[#This Row],[Data ID]],DataViewSection[[#This Row],[Data ID]])</f>
        <v>Shelf/ShelfData/1</v>
      </c>
      <c r="AH13" s="69">
        <f>IF(DataViewSection[[#This Row],[Data Name for Layout]]="","id",-1+COUNTA($AF$1:DataViewSection[[#This Row],[Data Name for Layout]])+VLOOKUP('Table Seed Map'!$A$32,SeedMap[],9,0))</f>
        <v>2131111</v>
      </c>
      <c r="AI13" s="69">
        <f>IFERROR(VLOOKUP(DataViewSection[[#This Row],[Data Name for Layout]],ResourceData[[DataDisplayName]:[No]],2,0),"resource_data")</f>
        <v>2128105</v>
      </c>
      <c r="AJ13" s="69"/>
      <c r="AK13" s="69" t="s">
        <v>23</v>
      </c>
      <c r="AL13" s="69" t="str">
        <f>IF(DataViewSection[[#This Row],[Data Name for Layout]]="","relation",IFERROR(VLOOKUP(DataViewSection[[#This Row],[Relation]],RelationTable[[Display]:[RELID]],2,0),""))</f>
        <v/>
      </c>
      <c r="AM13" s="107">
        <v>12</v>
      </c>
      <c r="AN13" s="107"/>
      <c r="AP13" s="69" t="str">
        <f>'Table Seed Map'!$A$33&amp;"-"&amp;-1+COUNTA($AQ$1:DataViewSectionItem[[#This Row],[Data Section for Items]])</f>
        <v>Data View Section Items-11</v>
      </c>
      <c r="AQ13" s="62" t="s">
        <v>1557</v>
      </c>
      <c r="AR1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2132111</v>
      </c>
      <c r="AS13" s="69">
        <f>IF(DataViewSectionItem[[#This Row],[Data Section for Items]]="","section",VLOOKUP(DataViewSectionItem[[#This Row],[Data Section for Items]],DataViewSection[[DataSectionDisplayName]:[No]],2,0))</f>
        <v>2131103</v>
      </c>
      <c r="AT13" s="69" t="s">
        <v>1</v>
      </c>
      <c r="AU13" s="107" t="s">
        <v>23</v>
      </c>
      <c r="AV13" s="69" t="str">
        <f>IF(DataViewSectionItem[[#This Row],[Data Section for Items]]="","relation",IFERROR(VLOOKUP(DataViewSectionItem[[#This Row],[Relation]],RelationTable[[Display]:[RELID]],2,0),""))</f>
        <v/>
      </c>
      <c r="AW13" s="107"/>
    </row>
    <row r="14" spans="1:49">
      <c r="A14" s="63" t="str">
        <f>'Table Seed Map'!$A$29&amp;"-"&amp;COUNTA($E$1:ResourceData[[#This Row],[Resource]])-2</f>
        <v>Resource Data-12</v>
      </c>
      <c r="B14" s="62" t="s">
        <v>792</v>
      </c>
      <c r="C14" s="63" t="str">
        <f>ResourceData[[#This Row],[Resource Name]]&amp;"/"&amp;ResourceData[[#This Row],[Name]]</f>
        <v>HubShift/HubShiftEditData</v>
      </c>
      <c r="D14" s="69">
        <f>IF(COUNTA($E$1:ResourceData[[#This Row],[Resource]])=2,"id",-2+COUNTA($E$1:ResourceData[[#This Row],[Resource]])+IF(ISNUMBER(VLOOKUP('Table Seed Map'!$A$29,SeedMap[],9,0)),VLOOKUP('Table Seed Map'!$A$29,SeedMap[],9,0),0))</f>
        <v>2128112</v>
      </c>
      <c r="E14" s="69">
        <f>IFERROR(VLOOKUP(ResourceData[[#This Row],[Resource Name]],ResourceTable[[RName]:[No]],3,0),"resource")</f>
        <v>2106127</v>
      </c>
      <c r="F14" s="107" t="s">
        <v>1861</v>
      </c>
      <c r="G14" s="107"/>
      <c r="H14" s="107" t="s">
        <v>21</v>
      </c>
      <c r="I14" s="111"/>
      <c r="J14" s="75">
        <f>[No]</f>
        <v>2128112</v>
      </c>
      <c r="L14" s="62" t="s">
        <v>1577</v>
      </c>
      <c r="M14" s="63">
        <f>VLOOKUP(DataExtra[[#This Row],[Data Name]],ResourceData[[DataDisplayName]:[No]],2,0)</f>
        <v>2128104</v>
      </c>
      <c r="N14" s="62"/>
      <c r="O14" s="62" t="s">
        <v>1579</v>
      </c>
      <c r="P14" s="62"/>
      <c r="Q14" s="62"/>
      <c r="R14" s="62"/>
      <c r="S14" s="63" t="str">
        <f>'Table Seed Map'!$A$30&amp;"-"&amp;COUNT($V$1:DataExtra[[#This Row],[Scope ID]])</f>
        <v>Data Scopes-0</v>
      </c>
      <c r="T1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4" s="69">
        <f>IF(DataExtra[[#This Row],[DID]]=0,"resource_data",DataExtra[[#This Row],[DID]])</f>
        <v>2128104</v>
      </c>
      <c r="V14" s="69" t="str">
        <f>IFERROR(VLOOKUP(DataExtra[[#This Row],[Scope Name]],ResourceScopes[[ScopesDisplayNames]:[No]],2,0),IF(DataExtra[[#This Row],[DID]]=0,"scope",""))</f>
        <v/>
      </c>
      <c r="W14" s="63" t="str">
        <f>'Table Seed Map'!$A$31&amp;"-"&amp;COUNT($Z$1:DataExtra[[#This Row],[Relation]])</f>
        <v>Data Relations-12</v>
      </c>
      <c r="X1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2130112</v>
      </c>
      <c r="Y14" s="69">
        <f>IF(DataExtra[[#This Row],[DID]]=0,"resource_data",DataExtra[[#This Row],[DID]])</f>
        <v>2128104</v>
      </c>
      <c r="Z14" s="69">
        <f>IFERROR(VLOOKUP(DataExtra[[#This Row],[Relation Name]],RelationTable[[Display]:[RELID]],2,0),IF(DataExtra[[#This Row],[DID]]=0,"relation",""))</f>
        <v>2109118</v>
      </c>
      <c r="AA14" s="69" t="str">
        <f>IFERROR(VLOOKUP(DataExtra[[#This Row],[R1 Name]],RelationTable[[Display]:[RELID]],2,0),IF(DataExtra[[#This Row],[DID]]=0,"nest_relation1",""))</f>
        <v/>
      </c>
      <c r="AB14" s="69" t="str">
        <f>IFERROR(VLOOKUP(DataExtra[[#This Row],[R2 Name]],RelationTable[[Display]:[RELID]],2,0),IF(DataExtra[[#This Row],[DID]]=0,"nest_relation2",""))</f>
        <v/>
      </c>
      <c r="AC14" s="69" t="str">
        <f>IFERROR(VLOOKUP(DataExtra[[#This Row],[R3 Name]],RelationTable[[Display]:[RELID]],2,0),IF(DataExtra[[#This Row],[DID]]=0,"nest_relation3",""))</f>
        <v/>
      </c>
      <c r="AE14" s="69" t="str">
        <f>'Table Seed Map'!$A$32&amp;"-"&amp;COUNTA($AF$1:DataViewSection[[#This Row],[Data Name for Layout]])-1</f>
        <v>Data View Section-12</v>
      </c>
      <c r="AF14" s="62" t="s">
        <v>1725</v>
      </c>
      <c r="AG14" s="63" t="str">
        <f>DataViewSection[[#This Row],[Data Name for Layout]]&amp;"/"&amp;COUNTIF($AI$1:DataViewSection[[#This Row],[Data ID]],DataViewSection[[#This Row],[Data ID]])</f>
        <v>OrderItem/OrderItemData/1</v>
      </c>
      <c r="AH14" s="69">
        <f>IF(DataViewSection[[#This Row],[Data Name for Layout]]="","id",-1+COUNTA($AF$1:DataViewSection[[#This Row],[Data Name for Layout]])+VLOOKUP('Table Seed Map'!$A$32,SeedMap[],9,0))</f>
        <v>2131112</v>
      </c>
      <c r="AI14" s="69">
        <f>IFERROR(VLOOKUP(DataViewSection[[#This Row],[Data Name for Layout]],ResourceData[[DataDisplayName]:[No]],2,0),"resource_data")</f>
        <v>2128106</v>
      </c>
      <c r="AJ14" s="69"/>
      <c r="AK14" s="69" t="s">
        <v>23</v>
      </c>
      <c r="AL14" s="69" t="str">
        <f>IF(DataViewSection[[#This Row],[Data Name for Layout]]="","relation",IFERROR(VLOOKUP(DataViewSection[[#This Row],[Relation]],RelationTable[[Display]:[RELID]],2,0),""))</f>
        <v/>
      </c>
      <c r="AM14" s="107">
        <v>12</v>
      </c>
      <c r="AN14" s="107"/>
      <c r="AP14" s="69" t="str">
        <f>'Table Seed Map'!$A$33&amp;"-"&amp;-1+COUNTA($AQ$1:DataViewSectionItem[[#This Row],[Data Section for Items]])</f>
        <v>Data View Section Items-12</v>
      </c>
      <c r="AQ14" s="62" t="s">
        <v>1557</v>
      </c>
      <c r="AR1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2132112</v>
      </c>
      <c r="AS14" s="69">
        <f>IF(DataViewSectionItem[[#This Row],[Data Section for Items]]="","section",VLOOKUP(DataViewSectionItem[[#This Row],[Data Section for Items]],DataViewSection[[DataSectionDisplayName]:[No]],2,0))</f>
        <v>2131103</v>
      </c>
      <c r="AT14" s="69" t="s">
        <v>1182</v>
      </c>
      <c r="AU14" s="107" t="s">
        <v>800</v>
      </c>
      <c r="AV14" s="69" t="str">
        <f>IF(DataViewSectionItem[[#This Row],[Data Section for Items]]="","relation",IFERROR(VLOOKUP(DataViewSectionItem[[#This Row],[Relation]],RelationTable[[Display]:[RELID]],2,0),""))</f>
        <v/>
      </c>
      <c r="AW14" s="107"/>
    </row>
    <row r="15" spans="1:49">
      <c r="A15" s="63" t="str">
        <f>'Table Seed Map'!$A$29&amp;"-"&amp;COUNTA($E$1:ResourceData[[#This Row],[Resource]])-2</f>
        <v>Resource Data-13</v>
      </c>
      <c r="B15" s="62" t="s">
        <v>790</v>
      </c>
      <c r="C15" s="63" t="str">
        <f>ResourceData[[#This Row],[Resource Name]]&amp;"/"&amp;ResourceData[[#This Row],[Name]]</f>
        <v>OrderItemServiceUser/OrderItemServiceData</v>
      </c>
      <c r="D15" s="69">
        <f>IF(COUNTA($E$1:ResourceData[[#This Row],[Resource]])=2,"id",-2+COUNTA($E$1:ResourceData[[#This Row],[Resource]])+IF(ISNUMBER(VLOOKUP('Table Seed Map'!$A$29,SeedMap[],9,0)),VLOOKUP('Table Seed Map'!$A$29,SeedMap[],9,0),0))</f>
        <v>2128113</v>
      </c>
      <c r="E15" s="69">
        <f>IFERROR(VLOOKUP(ResourceData[[#This Row],[Resource Name]],ResourceTable[[RName]:[No]],3,0),"resource")</f>
        <v>2106123</v>
      </c>
      <c r="F15" s="107" t="s">
        <v>1989</v>
      </c>
      <c r="G15" s="107"/>
      <c r="H15" s="107" t="s">
        <v>841</v>
      </c>
      <c r="I15" s="111"/>
      <c r="J15" s="75">
        <f>[No]</f>
        <v>2128113</v>
      </c>
      <c r="L15" s="62" t="s">
        <v>1577</v>
      </c>
      <c r="M15" s="63">
        <f>VLOOKUP(DataExtra[[#This Row],[Data Name]],ResourceData[[DataDisplayName]:[No]],2,0)</f>
        <v>2128104</v>
      </c>
      <c r="N15" s="62"/>
      <c r="O15" s="62" t="s">
        <v>1460</v>
      </c>
      <c r="P15" s="62" t="s">
        <v>1580</v>
      </c>
      <c r="Q15" s="62"/>
      <c r="R15" s="62"/>
      <c r="S15" s="63" t="str">
        <f>'Table Seed Map'!$A$30&amp;"-"&amp;COUNT($V$1:DataExtra[[#This Row],[Scope ID]])</f>
        <v>Data Scopes-0</v>
      </c>
      <c r="T1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5" s="69">
        <f>IF(DataExtra[[#This Row],[DID]]=0,"resource_data",DataExtra[[#This Row],[DID]])</f>
        <v>2128104</v>
      </c>
      <c r="V15" s="69" t="str">
        <f>IFERROR(VLOOKUP(DataExtra[[#This Row],[Scope Name]],ResourceScopes[[ScopesDisplayNames]:[No]],2,0),IF(DataExtra[[#This Row],[DID]]=0,"scope",""))</f>
        <v/>
      </c>
      <c r="W15" s="63" t="str">
        <f>'Table Seed Map'!$A$31&amp;"-"&amp;COUNT($Z$1:DataExtra[[#This Row],[Relation]])</f>
        <v>Data Relations-13</v>
      </c>
      <c r="X1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2130113</v>
      </c>
      <c r="Y15" s="69">
        <f>IF(DataExtra[[#This Row],[DID]]=0,"resource_data",DataExtra[[#This Row],[DID]])</f>
        <v>2128104</v>
      </c>
      <c r="Z15" s="69">
        <f>IFERROR(VLOOKUP(DataExtra[[#This Row],[Relation Name]],RelationTable[[Display]:[RELID]],2,0),IF(DataExtra[[#This Row],[DID]]=0,"relation",""))</f>
        <v>2109119</v>
      </c>
      <c r="AA15" s="69">
        <f>IFERROR(VLOOKUP(DataExtra[[#This Row],[R1 Name]],RelationTable[[Display]:[RELID]],2,0),IF(DataExtra[[#This Row],[DID]]=0,"nest_relation1",""))</f>
        <v>2109143</v>
      </c>
      <c r="AB15" s="69" t="str">
        <f>IFERROR(VLOOKUP(DataExtra[[#This Row],[R2 Name]],RelationTable[[Display]:[RELID]],2,0),IF(DataExtra[[#This Row],[DID]]=0,"nest_relation2",""))</f>
        <v/>
      </c>
      <c r="AC15" s="69" t="str">
        <f>IFERROR(VLOOKUP(DataExtra[[#This Row],[R3 Name]],RelationTable[[Display]:[RELID]],2,0),IF(DataExtra[[#This Row],[DID]]=0,"nest_relation3",""))</f>
        <v/>
      </c>
      <c r="AE15" s="69" t="str">
        <f>'Table Seed Map'!$A$32&amp;"-"&amp;COUNTA($AF$1:DataViewSection[[#This Row],[Data Name for Layout]])-1</f>
        <v>Data View Section-13</v>
      </c>
      <c r="AF15" s="62" t="s">
        <v>1725</v>
      </c>
      <c r="AG15" s="63" t="str">
        <f>DataViewSection[[#This Row],[Data Name for Layout]]&amp;"/"&amp;COUNTIF($AI$1:DataViewSection[[#This Row],[Data ID]],DataViewSection[[#This Row],[Data ID]])</f>
        <v>OrderItem/OrderItemData/2</v>
      </c>
      <c r="AH15" s="69">
        <f>IF(DataViewSection[[#This Row],[Data Name for Layout]]="","id",-1+COUNTA($AF$1:DataViewSection[[#This Row],[Data Name for Layout]])+VLOOKUP('Table Seed Map'!$A$32,SeedMap[],9,0))</f>
        <v>2131113</v>
      </c>
      <c r="AI15" s="69">
        <f>IFERROR(VLOOKUP(DataViewSection[[#This Row],[Data Name for Layout]],ResourceData[[DataDisplayName]:[No]],2,0),"resource_data")</f>
        <v>2128106</v>
      </c>
      <c r="AJ15" s="69" t="s">
        <v>1728</v>
      </c>
      <c r="AK15" s="69"/>
      <c r="AL15" s="69">
        <f>IF(DataViewSection[[#This Row],[Data Name for Layout]]="","relation",IFERROR(VLOOKUP(DataViewSection[[#This Row],[Relation]],RelationTable[[Display]:[RELID]],2,0),""))</f>
        <v>2109156</v>
      </c>
      <c r="AM15" s="107">
        <v>12</v>
      </c>
      <c r="AN15" s="107" t="s">
        <v>1726</v>
      </c>
      <c r="AP15" s="69" t="str">
        <f>'Table Seed Map'!$A$33&amp;"-"&amp;-1+COUNTA($AQ$1:DataViewSectionItem[[#This Row],[Data Section for Items]])</f>
        <v>Data View Section Items-13</v>
      </c>
      <c r="AQ15" s="62" t="s">
        <v>1557</v>
      </c>
      <c r="AR1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2132113</v>
      </c>
      <c r="AS15" s="69">
        <f>IF(DataViewSectionItem[[#This Row],[Data Section for Items]]="","section",VLOOKUP(DataViewSectionItem[[#This Row],[Data Section for Items]],DataViewSection[[DataSectionDisplayName]:[No]],2,0))</f>
        <v>2131103</v>
      </c>
      <c r="AT15" s="69" t="s">
        <v>79</v>
      </c>
      <c r="AU15" s="107" t="s">
        <v>25</v>
      </c>
      <c r="AV15" s="69">
        <f>IF(DataViewSectionItem[[#This Row],[Data Section for Items]]="","relation",IFERROR(VLOOKUP(DataViewSectionItem[[#This Row],[Relation]],RelationTable[[Display]:[RELID]],2,0),""))</f>
        <v>2109102</v>
      </c>
      <c r="AW15" s="107" t="s">
        <v>1545</v>
      </c>
    </row>
    <row r="16" spans="1:49">
      <c r="L16" s="62" t="s">
        <v>1707</v>
      </c>
      <c r="M16" s="63">
        <f>VLOOKUP(DataExtra[[#This Row],[Data Name]],ResourceData[[DataDisplayName]:[No]],2,0)</f>
        <v>2128105</v>
      </c>
      <c r="N16" s="62"/>
      <c r="O16" s="62" t="s">
        <v>1464</v>
      </c>
      <c r="P16" s="62"/>
      <c r="Q16" s="62"/>
      <c r="R16" s="62"/>
      <c r="S16" s="63" t="str">
        <f>'Table Seed Map'!$A$30&amp;"-"&amp;COUNT($V$1:DataExtra[[#This Row],[Scope ID]])</f>
        <v>Data Scopes-0</v>
      </c>
      <c r="T1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6" s="69">
        <f>IF(DataExtra[[#This Row],[DID]]=0,"resource_data",DataExtra[[#This Row],[DID]])</f>
        <v>2128105</v>
      </c>
      <c r="V16" s="69" t="str">
        <f>IFERROR(VLOOKUP(DataExtra[[#This Row],[Scope Name]],ResourceScopes[[ScopesDisplayNames]:[No]],2,0),IF(DataExtra[[#This Row],[DID]]=0,"scope",""))</f>
        <v/>
      </c>
      <c r="W16" s="63" t="str">
        <f>'Table Seed Map'!$A$31&amp;"-"&amp;COUNT($Z$1:DataExtra[[#This Row],[Relation]])</f>
        <v>Data Relations-14</v>
      </c>
      <c r="X1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2130114</v>
      </c>
      <c r="Y16" s="69">
        <f>IF(DataExtra[[#This Row],[DID]]=0,"resource_data",DataExtra[[#This Row],[DID]])</f>
        <v>2128105</v>
      </c>
      <c r="Z16" s="69">
        <f>IFERROR(VLOOKUP(DataExtra[[#This Row],[Relation Name]],RelationTable[[Display]:[RELID]],2,0),IF(DataExtra[[#This Row],[DID]]=0,"relation",""))</f>
        <v>2109138</v>
      </c>
      <c r="AA16" s="69" t="str">
        <f>IFERROR(VLOOKUP(DataExtra[[#This Row],[R1 Name]],RelationTable[[Display]:[RELID]],2,0),IF(DataExtra[[#This Row],[DID]]=0,"nest_relation1",""))</f>
        <v/>
      </c>
      <c r="AB16" s="69" t="str">
        <f>IFERROR(VLOOKUP(DataExtra[[#This Row],[R2 Name]],RelationTable[[Display]:[RELID]],2,0),IF(DataExtra[[#This Row],[DID]]=0,"nest_relation2",""))</f>
        <v/>
      </c>
      <c r="AC16" s="69" t="str">
        <f>IFERROR(VLOOKUP(DataExtra[[#This Row],[R3 Name]],RelationTable[[Display]:[RELID]],2,0),IF(DataExtra[[#This Row],[DID]]=0,"nest_relation3",""))</f>
        <v/>
      </c>
      <c r="AP16" s="69" t="str">
        <f>'Table Seed Map'!$A$33&amp;"-"&amp;-1+COUNTA($AQ$1:DataViewSectionItem[[#This Row],[Data Section for Items]])</f>
        <v>Data View Section Items-14</v>
      </c>
      <c r="AQ16" s="62" t="s">
        <v>1558</v>
      </c>
      <c r="AR1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2132114</v>
      </c>
      <c r="AS16" s="69">
        <f>IF(DataViewSectionItem[[#This Row],[Data Section for Items]]="","section",VLOOKUP(DataViewSectionItem[[#This Row],[Data Section for Items]],DataViewSection[[DataSectionDisplayName]:[No]],2,0))</f>
        <v>2131104</v>
      </c>
      <c r="AT16" s="69" t="s">
        <v>1</v>
      </c>
      <c r="AU16" s="107" t="s">
        <v>23</v>
      </c>
      <c r="AV16" s="69">
        <f>IF(DataViewSectionItem[[#This Row],[Data Section for Items]]="","relation",IFERROR(VLOOKUP(DataViewSectionItem[[#This Row],[Relation]],RelationTable[[Display]:[RELID]],2,0),""))</f>
        <v>2109135</v>
      </c>
      <c r="AW16" s="107" t="s">
        <v>1546</v>
      </c>
    </row>
    <row r="17" spans="12:49">
      <c r="L17" s="62" t="s">
        <v>1707</v>
      </c>
      <c r="M17" s="63">
        <f>VLOOKUP(DataExtra[[#This Row],[Data Name]],ResourceData[[DataDisplayName]:[No]],2,0)</f>
        <v>2128105</v>
      </c>
      <c r="N17" s="62"/>
      <c r="O17" s="62" t="s">
        <v>1540</v>
      </c>
      <c r="P17" s="62"/>
      <c r="Q17" s="62"/>
      <c r="R17" s="62"/>
      <c r="S17" s="63" t="str">
        <f>'Table Seed Map'!$A$30&amp;"-"&amp;COUNT($V$1:DataExtra[[#This Row],[Scope ID]])</f>
        <v>Data Scopes-0</v>
      </c>
      <c r="T1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7" s="69">
        <f>IF(DataExtra[[#This Row],[DID]]=0,"resource_data",DataExtra[[#This Row],[DID]])</f>
        <v>2128105</v>
      </c>
      <c r="V17" s="69" t="str">
        <f>IFERROR(VLOOKUP(DataExtra[[#This Row],[Scope Name]],ResourceScopes[[ScopesDisplayNames]:[No]],2,0),IF(DataExtra[[#This Row],[DID]]=0,"scope",""))</f>
        <v/>
      </c>
      <c r="W17" s="63" t="str">
        <f>'Table Seed Map'!$A$31&amp;"-"&amp;COUNT($Z$1:DataExtra[[#This Row],[Relation]])</f>
        <v>Data Relations-15</v>
      </c>
      <c r="X1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2130115</v>
      </c>
      <c r="Y17" s="69">
        <f>IF(DataExtra[[#This Row],[DID]]=0,"resource_data",DataExtra[[#This Row],[DID]])</f>
        <v>2128105</v>
      </c>
      <c r="Z17" s="69">
        <f>IFERROR(VLOOKUP(DataExtra[[#This Row],[Relation Name]],RelationTable[[Display]:[RELID]],2,0),IF(DataExtra[[#This Row],[DID]]=0,"relation",""))</f>
        <v>2109139</v>
      </c>
      <c r="AA17" s="69" t="str">
        <f>IFERROR(VLOOKUP(DataExtra[[#This Row],[R1 Name]],RelationTable[[Display]:[RELID]],2,0),IF(DataExtra[[#This Row],[DID]]=0,"nest_relation1",""))</f>
        <v/>
      </c>
      <c r="AB17" s="69" t="str">
        <f>IFERROR(VLOOKUP(DataExtra[[#This Row],[R2 Name]],RelationTable[[Display]:[RELID]],2,0),IF(DataExtra[[#This Row],[DID]]=0,"nest_relation2",""))</f>
        <v/>
      </c>
      <c r="AC17" s="69" t="str">
        <f>IFERROR(VLOOKUP(DataExtra[[#This Row],[R3 Name]],RelationTable[[Display]:[RELID]],2,0),IF(DataExtra[[#This Row],[DID]]=0,"nest_relation3",""))</f>
        <v/>
      </c>
      <c r="AP17" s="69" t="str">
        <f>'Table Seed Map'!$A$33&amp;"-"&amp;-1+COUNTA($AQ$1:DataViewSectionItem[[#This Row],[Data Section for Items]])</f>
        <v>Data View Section Items-15</v>
      </c>
      <c r="AQ17" s="62" t="s">
        <v>1558</v>
      </c>
      <c r="AR1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2132115</v>
      </c>
      <c r="AS17" s="69">
        <f>IF(DataViewSectionItem[[#This Row],[Data Section for Items]]="","section",VLOOKUP(DataViewSectionItem[[#This Row],[Data Section for Items]],DataViewSection[[DataSectionDisplayName]:[No]],2,0))</f>
        <v>2131104</v>
      </c>
      <c r="AT17" s="69" t="s">
        <v>78</v>
      </c>
      <c r="AU17" s="107" t="s">
        <v>23</v>
      </c>
      <c r="AV17" s="69">
        <f>IF(DataViewSectionItem[[#This Row],[Data Section for Items]]="","relation",IFERROR(VLOOKUP(DataViewSectionItem[[#This Row],[Relation]],RelationTable[[Display]:[RELID]],2,0),""))</f>
        <v>2109134</v>
      </c>
      <c r="AW17" s="107" t="s">
        <v>1544</v>
      </c>
    </row>
    <row r="18" spans="12:49">
      <c r="L18" s="62" t="s">
        <v>1725</v>
      </c>
      <c r="M18" s="63">
        <f>VLOOKUP(DataExtra[[#This Row],[Data Name]],ResourceData[[DataDisplayName]:[No]],2,0)</f>
        <v>2128106</v>
      </c>
      <c r="N18" s="62"/>
      <c r="O18" s="62" t="s">
        <v>1628</v>
      </c>
      <c r="P18" s="62"/>
      <c r="Q18" s="62"/>
      <c r="R18" s="62"/>
      <c r="S18" s="63" t="str">
        <f>'Table Seed Map'!$A$30&amp;"-"&amp;COUNT($V$1:DataExtra[[#This Row],[Scope ID]])</f>
        <v>Data Scopes-0</v>
      </c>
      <c r="T1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8" s="69">
        <f>IF(DataExtra[[#This Row],[DID]]=0,"resource_data",DataExtra[[#This Row],[DID]])</f>
        <v>2128106</v>
      </c>
      <c r="V18" s="69" t="str">
        <f>IFERROR(VLOOKUP(DataExtra[[#This Row],[Scope Name]],ResourceScopes[[ScopesDisplayNames]:[No]],2,0),IF(DataExtra[[#This Row],[DID]]=0,"scope",""))</f>
        <v/>
      </c>
      <c r="W18" s="63" t="str">
        <f>'Table Seed Map'!$A$31&amp;"-"&amp;COUNT($Z$1:DataExtra[[#This Row],[Relation]])</f>
        <v>Data Relations-16</v>
      </c>
      <c r="X1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2130116</v>
      </c>
      <c r="Y18" s="69">
        <f>IF(DataExtra[[#This Row],[DID]]=0,"resource_data",DataExtra[[#This Row],[DID]])</f>
        <v>2128106</v>
      </c>
      <c r="Z18" s="69">
        <f>IFERROR(VLOOKUP(DataExtra[[#This Row],[Relation Name]],RelationTable[[Display]:[RELID]],2,0),IF(DataExtra[[#This Row],[DID]]=0,"relation",""))</f>
        <v>2109153</v>
      </c>
      <c r="AA18" s="69" t="str">
        <f>IFERROR(VLOOKUP(DataExtra[[#This Row],[R1 Name]],RelationTable[[Display]:[RELID]],2,0),IF(DataExtra[[#This Row],[DID]]=0,"nest_relation1",""))</f>
        <v/>
      </c>
      <c r="AB18" s="69" t="str">
        <f>IFERROR(VLOOKUP(DataExtra[[#This Row],[R2 Name]],RelationTable[[Display]:[RELID]],2,0),IF(DataExtra[[#This Row],[DID]]=0,"nest_relation2",""))</f>
        <v/>
      </c>
      <c r="AC18" s="69" t="str">
        <f>IFERROR(VLOOKUP(DataExtra[[#This Row],[R3 Name]],RelationTable[[Display]:[RELID]],2,0),IF(DataExtra[[#This Row],[DID]]=0,"nest_relation3",""))</f>
        <v/>
      </c>
      <c r="AP18" s="69" t="str">
        <f>'Table Seed Map'!$A$33&amp;"-"&amp;-1+COUNTA($AQ$1:DataViewSectionItem[[#This Row],[Data Section for Items]])</f>
        <v>Data View Section Items-16</v>
      </c>
      <c r="AQ18" s="62" t="s">
        <v>1559</v>
      </c>
      <c r="AR1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2132116</v>
      </c>
      <c r="AS18" s="69">
        <f>IF(DataViewSectionItem[[#This Row],[Data Section for Items]]="","section",VLOOKUP(DataViewSectionItem[[#This Row],[Data Section for Items]],DataViewSection[[DataSectionDisplayName]:[No]],2,0))</f>
        <v>2131105</v>
      </c>
      <c r="AT18" s="69" t="s">
        <v>1</v>
      </c>
      <c r="AU18" s="107" t="s">
        <v>23</v>
      </c>
      <c r="AV18" s="69" t="str">
        <f>IF(DataViewSectionItem[[#This Row],[Data Section for Items]]="","relation",IFERROR(VLOOKUP(DataViewSectionItem[[#This Row],[Relation]],RelationTable[[Display]:[RELID]],2,0),""))</f>
        <v/>
      </c>
      <c r="AW18" s="107"/>
    </row>
    <row r="19" spans="12:49">
      <c r="L19" s="62" t="s">
        <v>1725</v>
      </c>
      <c r="M19" s="63">
        <f>VLOOKUP(DataExtra[[#This Row],[Data Name]],ResourceData[[DataDisplayName]:[No]],2,0)</f>
        <v>2128106</v>
      </c>
      <c r="N19" s="62"/>
      <c r="O19" s="62" t="s">
        <v>1629</v>
      </c>
      <c r="P19" s="62"/>
      <c r="Q19" s="62"/>
      <c r="R19" s="62"/>
      <c r="S19" s="63" t="str">
        <f>'Table Seed Map'!$A$30&amp;"-"&amp;COUNT($V$1:DataExtra[[#This Row],[Scope ID]])</f>
        <v>Data Scopes-0</v>
      </c>
      <c r="T1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9" s="69">
        <f>IF(DataExtra[[#This Row],[DID]]=0,"resource_data",DataExtra[[#This Row],[DID]])</f>
        <v>2128106</v>
      </c>
      <c r="V19" s="69" t="str">
        <f>IFERROR(VLOOKUP(DataExtra[[#This Row],[Scope Name]],ResourceScopes[[ScopesDisplayNames]:[No]],2,0),IF(DataExtra[[#This Row],[DID]]=0,"scope",""))</f>
        <v/>
      </c>
      <c r="W19" s="63" t="str">
        <f>'Table Seed Map'!$A$31&amp;"-"&amp;COUNT($Z$1:DataExtra[[#This Row],[Relation]])</f>
        <v>Data Relations-17</v>
      </c>
      <c r="X1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2130117</v>
      </c>
      <c r="Y19" s="69">
        <f>IF(DataExtra[[#This Row],[DID]]=0,"resource_data",DataExtra[[#This Row],[DID]])</f>
        <v>2128106</v>
      </c>
      <c r="Z19" s="69">
        <f>IFERROR(VLOOKUP(DataExtra[[#This Row],[Relation Name]],RelationTable[[Display]:[RELID]],2,0),IF(DataExtra[[#This Row],[DID]]=0,"relation",""))</f>
        <v>2109154</v>
      </c>
      <c r="AA19" s="69" t="str">
        <f>IFERROR(VLOOKUP(DataExtra[[#This Row],[R1 Name]],RelationTable[[Display]:[RELID]],2,0),IF(DataExtra[[#This Row],[DID]]=0,"nest_relation1",""))</f>
        <v/>
      </c>
      <c r="AB19" s="69" t="str">
        <f>IFERROR(VLOOKUP(DataExtra[[#This Row],[R2 Name]],RelationTable[[Display]:[RELID]],2,0),IF(DataExtra[[#This Row],[DID]]=0,"nest_relation2",""))</f>
        <v/>
      </c>
      <c r="AC19" s="69" t="str">
        <f>IFERROR(VLOOKUP(DataExtra[[#This Row],[R3 Name]],RelationTable[[Display]:[RELID]],2,0),IF(DataExtra[[#This Row],[DID]]=0,"nest_relation3",""))</f>
        <v/>
      </c>
      <c r="AP19" s="69" t="str">
        <f>'Table Seed Map'!$A$33&amp;"-"&amp;-1+COUNTA($AQ$1:DataViewSectionItem[[#This Row],[Data Section for Items]])</f>
        <v>Data View Section Items-17</v>
      </c>
      <c r="AQ19" s="62" t="s">
        <v>1559</v>
      </c>
      <c r="AR1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2132117</v>
      </c>
      <c r="AS19" s="69">
        <f>IF(DataViewSectionItem[[#This Row],[Data Section for Items]]="","section",VLOOKUP(DataViewSectionItem[[#This Row],[Data Section for Items]],DataViewSection[[DataSectionDisplayName]:[No]],2,0))</f>
        <v>2131105</v>
      </c>
      <c r="AT19" s="69" t="s">
        <v>1190</v>
      </c>
      <c r="AU19" s="107" t="s">
        <v>804</v>
      </c>
      <c r="AV19" s="69" t="str">
        <f>IF(DataViewSectionItem[[#This Row],[Data Section for Items]]="","relation",IFERROR(VLOOKUP(DataViewSectionItem[[#This Row],[Relation]],RelationTable[[Display]:[RELID]],2,0),""))</f>
        <v/>
      </c>
      <c r="AW19" s="107"/>
    </row>
    <row r="20" spans="12:49">
      <c r="L20" s="62" t="s">
        <v>1725</v>
      </c>
      <c r="M20" s="63">
        <f>VLOOKUP(DataExtra[[#This Row],[Data Name]],ResourceData[[DataDisplayName]:[No]],2,0)</f>
        <v>2128106</v>
      </c>
      <c r="N20" s="62"/>
      <c r="O20" s="62" t="s">
        <v>1630</v>
      </c>
      <c r="P20" s="62"/>
      <c r="Q20" s="62"/>
      <c r="R20" s="62"/>
      <c r="S20" s="63" t="str">
        <f>'Table Seed Map'!$A$30&amp;"-"&amp;COUNT($V$1:DataExtra[[#This Row],[Scope ID]])</f>
        <v>Data Scopes-0</v>
      </c>
      <c r="T2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0" s="69">
        <f>IF(DataExtra[[#This Row],[DID]]=0,"resource_data",DataExtra[[#This Row],[DID]])</f>
        <v>2128106</v>
      </c>
      <c r="V20" s="69" t="str">
        <f>IFERROR(VLOOKUP(DataExtra[[#This Row],[Scope Name]],ResourceScopes[[ScopesDisplayNames]:[No]],2,0),IF(DataExtra[[#This Row],[DID]]=0,"scope",""))</f>
        <v/>
      </c>
      <c r="W20" s="63" t="str">
        <f>'Table Seed Map'!$A$31&amp;"-"&amp;COUNT($Z$1:DataExtra[[#This Row],[Relation]])</f>
        <v>Data Relations-18</v>
      </c>
      <c r="X2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2130118</v>
      </c>
      <c r="Y20" s="69">
        <f>IF(DataExtra[[#This Row],[DID]]=0,"resource_data",DataExtra[[#This Row],[DID]])</f>
        <v>2128106</v>
      </c>
      <c r="Z20" s="69">
        <f>IFERROR(VLOOKUP(DataExtra[[#This Row],[Relation Name]],RelationTable[[Display]:[RELID]],2,0),IF(DataExtra[[#This Row],[DID]]=0,"relation",""))</f>
        <v>2109155</v>
      </c>
      <c r="AA20" s="69" t="str">
        <f>IFERROR(VLOOKUP(DataExtra[[#This Row],[R1 Name]],RelationTable[[Display]:[RELID]],2,0),IF(DataExtra[[#This Row],[DID]]=0,"nest_relation1",""))</f>
        <v/>
      </c>
      <c r="AB20" s="69" t="str">
        <f>IFERROR(VLOOKUP(DataExtra[[#This Row],[R2 Name]],RelationTable[[Display]:[RELID]],2,0),IF(DataExtra[[#This Row],[DID]]=0,"nest_relation2",""))</f>
        <v/>
      </c>
      <c r="AC20" s="69" t="str">
        <f>IFERROR(VLOOKUP(DataExtra[[#This Row],[R3 Name]],RelationTable[[Display]:[RELID]],2,0),IF(DataExtra[[#This Row],[DID]]=0,"nest_relation3",""))</f>
        <v/>
      </c>
      <c r="AP20" s="69" t="str">
        <f>'Table Seed Map'!$A$33&amp;"-"&amp;-1+COUNTA($AQ$1:DataViewSectionItem[[#This Row],[Data Section for Items]])</f>
        <v>Data View Section Items-18</v>
      </c>
      <c r="AQ20" s="62" t="s">
        <v>1559</v>
      </c>
      <c r="AR2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2132118</v>
      </c>
      <c r="AS20" s="69">
        <f>IF(DataViewSectionItem[[#This Row],[Data Section for Items]]="","section",VLOOKUP(DataViewSectionItem[[#This Row],[Data Section for Items]],DataViewSection[[DataSectionDisplayName]:[No]],2,0))</f>
        <v>2131105</v>
      </c>
      <c r="AT20" s="69" t="s">
        <v>897</v>
      </c>
      <c r="AU20" s="107" t="s">
        <v>23</v>
      </c>
      <c r="AV20" s="69">
        <f>IF(DataViewSectionItem[[#This Row],[Data Section for Items]]="","relation",IFERROR(VLOOKUP(DataViewSectionItem[[#This Row],[Relation]],RelationTable[[Display]:[RELID]],2,0),""))</f>
        <v>2109139</v>
      </c>
      <c r="AW20" s="107" t="s">
        <v>1540</v>
      </c>
    </row>
    <row r="21" spans="12:49">
      <c r="L21" s="62" t="s">
        <v>1725</v>
      </c>
      <c r="M21" s="63">
        <f>VLOOKUP(DataExtra[[#This Row],[Data Name]],ResourceData[[DataDisplayName]:[No]],2,0)</f>
        <v>2128106</v>
      </c>
      <c r="N21" s="62"/>
      <c r="O21" s="62" t="s">
        <v>1251</v>
      </c>
      <c r="P21" s="62"/>
      <c r="Q21" s="62"/>
      <c r="R21" s="62"/>
      <c r="S21" s="63" t="str">
        <f>'Table Seed Map'!$A$30&amp;"-"&amp;COUNT($V$1:DataExtra[[#This Row],[Scope ID]])</f>
        <v>Data Scopes-0</v>
      </c>
      <c r="T2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1" s="69">
        <f>IF(DataExtra[[#This Row],[DID]]=0,"resource_data",DataExtra[[#This Row],[DID]])</f>
        <v>2128106</v>
      </c>
      <c r="V21" s="69" t="str">
        <f>IFERROR(VLOOKUP(DataExtra[[#This Row],[Scope Name]],ResourceScopes[[ScopesDisplayNames]:[No]],2,0),IF(DataExtra[[#This Row],[DID]]=0,"scope",""))</f>
        <v/>
      </c>
      <c r="W21" s="63" t="str">
        <f>'Table Seed Map'!$A$31&amp;"-"&amp;COUNT($Z$1:DataExtra[[#This Row],[Relation]])</f>
        <v>Data Relations-19</v>
      </c>
      <c r="X2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2130119</v>
      </c>
      <c r="Y21" s="69">
        <f>IF(DataExtra[[#This Row],[DID]]=0,"resource_data",DataExtra[[#This Row],[DID]])</f>
        <v>2128106</v>
      </c>
      <c r="Z21" s="69">
        <f>IFERROR(VLOOKUP(DataExtra[[#This Row],[Relation Name]],RelationTable[[Display]:[RELID]],2,0),IF(DataExtra[[#This Row],[DID]]=0,"relation",""))</f>
        <v>2109188</v>
      </c>
      <c r="AA21" s="69" t="str">
        <f>IFERROR(VLOOKUP(DataExtra[[#This Row],[R1 Name]],RelationTable[[Display]:[RELID]],2,0),IF(DataExtra[[#This Row],[DID]]=0,"nest_relation1",""))</f>
        <v/>
      </c>
      <c r="AB21" s="69" t="str">
        <f>IFERROR(VLOOKUP(DataExtra[[#This Row],[R2 Name]],RelationTable[[Display]:[RELID]],2,0),IF(DataExtra[[#This Row],[DID]]=0,"nest_relation2",""))</f>
        <v/>
      </c>
      <c r="AC21" s="69" t="str">
        <f>IFERROR(VLOOKUP(DataExtra[[#This Row],[R3 Name]],RelationTable[[Display]:[RELID]],2,0),IF(DataExtra[[#This Row],[DID]]=0,"nest_relation3",""))</f>
        <v/>
      </c>
      <c r="AP21" s="69" t="str">
        <f>'Table Seed Map'!$A$33&amp;"-"&amp;-1+COUNTA($AQ$1:DataViewSectionItem[[#This Row],[Data Section for Items]])</f>
        <v>Data View Section Items-19</v>
      </c>
      <c r="AQ21" s="62" t="s">
        <v>1572</v>
      </c>
      <c r="AR2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2132119</v>
      </c>
      <c r="AS21" s="69">
        <f>IF(DataViewSectionItem[[#This Row],[Data Section for Items]]="","section",VLOOKUP(DataViewSectionItem[[#This Row],[Data Section for Items]],DataViewSection[[DataSectionDisplayName]:[No]],2,0))</f>
        <v>2131106</v>
      </c>
      <c r="AT21" s="69" t="s">
        <v>1156</v>
      </c>
      <c r="AU21" s="107" t="s">
        <v>796</v>
      </c>
      <c r="AV21" s="69">
        <f>IF(DataViewSectionItem[[#This Row],[Data Section for Items]]="","relation",IFERROR(VLOOKUP(DataViewSectionItem[[#This Row],[Relation]],RelationTable[[Display]:[RELID]],2,0),""))</f>
        <v>2109185</v>
      </c>
      <c r="AW21" s="107" t="s">
        <v>1162</v>
      </c>
    </row>
    <row r="22" spans="12:49">
      <c r="L22" s="62" t="s">
        <v>1725</v>
      </c>
      <c r="M22" s="63">
        <f>VLOOKUP(DataExtra[[#This Row],[Data Name]],ResourceData[[DataDisplayName]:[No]],2,0)</f>
        <v>2128106</v>
      </c>
      <c r="N22" s="62"/>
      <c r="O22" s="62" t="s">
        <v>1726</v>
      </c>
      <c r="P22" s="62" t="s">
        <v>1644</v>
      </c>
      <c r="Q22" s="62"/>
      <c r="R22" s="62"/>
      <c r="S22" s="63" t="str">
        <f>'Table Seed Map'!$A$30&amp;"-"&amp;COUNT($V$1:DataExtra[[#This Row],[Scope ID]])</f>
        <v>Data Scopes-0</v>
      </c>
      <c r="T2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2" s="69">
        <f>IF(DataExtra[[#This Row],[DID]]=0,"resource_data",DataExtra[[#This Row],[DID]])</f>
        <v>2128106</v>
      </c>
      <c r="V22" s="69" t="str">
        <f>IFERROR(VLOOKUP(DataExtra[[#This Row],[Scope Name]],ResourceScopes[[ScopesDisplayNames]:[No]],2,0),IF(DataExtra[[#This Row],[DID]]=0,"scope",""))</f>
        <v/>
      </c>
      <c r="W22" s="63" t="str">
        <f>'Table Seed Map'!$A$31&amp;"-"&amp;COUNT($Z$1:DataExtra[[#This Row],[Relation]])</f>
        <v>Data Relations-20</v>
      </c>
      <c r="X2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2130120</v>
      </c>
      <c r="Y22" s="69">
        <f>IF(DataExtra[[#This Row],[DID]]=0,"resource_data",DataExtra[[#This Row],[DID]])</f>
        <v>2128106</v>
      </c>
      <c r="Z22" s="69">
        <f>IFERROR(VLOOKUP(DataExtra[[#This Row],[Relation Name]],RelationTable[[Display]:[RELID]],2,0),IF(DataExtra[[#This Row],[DID]]=0,"relation",""))</f>
        <v>2109156</v>
      </c>
      <c r="AA22" s="69">
        <f>IFERROR(VLOOKUP(DataExtra[[#This Row],[R1 Name]],RelationTable[[Display]:[RELID]],2,0),IF(DataExtra[[#This Row],[DID]]=0,"nest_relation1",""))</f>
        <v>2109159</v>
      </c>
      <c r="AB22" s="69" t="str">
        <f>IFERROR(VLOOKUP(DataExtra[[#This Row],[R2 Name]],RelationTable[[Display]:[RELID]],2,0),IF(DataExtra[[#This Row],[DID]]=0,"nest_relation2",""))</f>
        <v/>
      </c>
      <c r="AC22" s="69" t="str">
        <f>IFERROR(VLOOKUP(DataExtra[[#This Row],[R3 Name]],RelationTable[[Display]:[RELID]],2,0),IF(DataExtra[[#This Row],[DID]]=0,"nest_relation3",""))</f>
        <v/>
      </c>
      <c r="AP22" s="69" t="str">
        <f>'Table Seed Map'!$A$33&amp;"-"&amp;-1+COUNTA($AQ$1:DataViewSectionItem[[#This Row],[Data Section for Items]])</f>
        <v>Data View Section Items-20</v>
      </c>
      <c r="AQ22" s="62" t="s">
        <v>1572</v>
      </c>
      <c r="AR2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2132120</v>
      </c>
      <c r="AS22" s="69">
        <f>IF(DataViewSectionItem[[#This Row],[Data Section for Items]]="","section",VLOOKUP(DataViewSectionItem[[#This Row],[Data Section for Items]],DataViewSection[[DataSectionDisplayName]:[No]],2,0))</f>
        <v>2131106</v>
      </c>
      <c r="AT22" s="69" t="s">
        <v>1456</v>
      </c>
      <c r="AU22" s="107" t="s">
        <v>799</v>
      </c>
      <c r="AV22" s="69">
        <f>IF(DataViewSectionItem[[#This Row],[Data Section for Items]]="","relation",IFERROR(VLOOKUP(DataViewSectionItem[[#This Row],[Relation]],RelationTable[[Display]:[RELID]],2,0),""))</f>
        <v>2109185</v>
      </c>
      <c r="AW22" s="107" t="s">
        <v>1162</v>
      </c>
    </row>
    <row r="23" spans="12:49">
      <c r="L23" s="62" t="s">
        <v>1725</v>
      </c>
      <c r="M23" s="63">
        <f>VLOOKUP(DataExtra[[#This Row],[Data Name]],ResourceData[[DataDisplayName]:[No]],2,0)</f>
        <v>2128106</v>
      </c>
      <c r="N23" s="62"/>
      <c r="O23" s="62" t="s">
        <v>1848</v>
      </c>
      <c r="P23" s="62"/>
      <c r="Q23" s="62"/>
      <c r="R23" s="62"/>
      <c r="S23" s="63" t="str">
        <f>'Table Seed Map'!$A$30&amp;"-"&amp;COUNT($V$1:DataExtra[[#This Row],[Scope ID]])</f>
        <v>Data Scopes-0</v>
      </c>
      <c r="T2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3" s="69">
        <f>IF(DataExtra[[#This Row],[DID]]=0,"resource_data",DataExtra[[#This Row],[DID]])</f>
        <v>2128106</v>
      </c>
      <c r="V23" s="69" t="str">
        <f>IFERROR(VLOOKUP(DataExtra[[#This Row],[Scope Name]],ResourceScopes[[ScopesDisplayNames]:[No]],2,0),IF(DataExtra[[#This Row],[DID]]=0,"scope",""))</f>
        <v/>
      </c>
      <c r="W23" s="63" t="str">
        <f>'Table Seed Map'!$A$31&amp;"-"&amp;COUNT($Z$1:DataExtra[[#This Row],[Relation]])</f>
        <v>Data Relations-21</v>
      </c>
      <c r="X2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2130121</v>
      </c>
      <c r="Y23" s="69">
        <f>IF(DataExtra[[#This Row],[DID]]=0,"resource_data",DataExtra[[#This Row],[DID]])</f>
        <v>2128106</v>
      </c>
      <c r="Z23" s="69">
        <f>IFERROR(VLOOKUP(DataExtra[[#This Row],[Relation Name]],RelationTable[[Display]:[RELID]],2,0),IF(DataExtra[[#This Row],[DID]]=0,"relation",""))</f>
        <v>2109194</v>
      </c>
      <c r="AA23" s="69" t="str">
        <f>IFERROR(VLOOKUP(DataExtra[[#This Row],[R1 Name]],RelationTable[[Display]:[RELID]],2,0),IF(DataExtra[[#This Row],[DID]]=0,"nest_relation1",""))</f>
        <v/>
      </c>
      <c r="AB23" s="69" t="str">
        <f>IFERROR(VLOOKUP(DataExtra[[#This Row],[R2 Name]],RelationTable[[Display]:[RELID]],2,0),IF(DataExtra[[#This Row],[DID]]=0,"nest_relation2",""))</f>
        <v/>
      </c>
      <c r="AC23" s="69" t="str">
        <f>IFERROR(VLOOKUP(DataExtra[[#This Row],[R3 Name]],RelationTable[[Display]:[RELID]],2,0),IF(DataExtra[[#This Row],[DID]]=0,"nest_relation3",""))</f>
        <v/>
      </c>
      <c r="AP23" s="69" t="str">
        <f>'Table Seed Map'!$A$33&amp;"-"&amp;-1+COUNTA($AQ$1:DataViewSectionItem[[#This Row],[Data Section for Items]])</f>
        <v>Data View Section Items-21</v>
      </c>
      <c r="AQ23" s="62" t="s">
        <v>1581</v>
      </c>
      <c r="AR2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2132121</v>
      </c>
      <c r="AS23" s="69">
        <f>IF(DataViewSectionItem[[#This Row],[Data Section for Items]]="","section",VLOOKUP(DataViewSectionItem[[#This Row],[Data Section for Items]],DataViewSection[[DataSectionDisplayName]:[No]],2,0))</f>
        <v>2131107</v>
      </c>
      <c r="AT23" s="69" t="s">
        <v>897</v>
      </c>
      <c r="AU23" s="107" t="s">
        <v>23</v>
      </c>
      <c r="AV23" s="69">
        <f>IF(DataViewSectionItem[[#This Row],[Data Section for Items]]="","relation",IFERROR(VLOOKUP(DataViewSectionItem[[#This Row],[Relation]],RelationTable[[Display]:[RELID]],2,0),""))</f>
        <v>2109118</v>
      </c>
      <c r="AW23" s="107" t="s">
        <v>1579</v>
      </c>
    </row>
    <row r="24" spans="12:49">
      <c r="AP24" s="69" t="str">
        <f>'Table Seed Map'!$A$33&amp;"-"&amp;-1+COUNTA($AQ$1:DataViewSectionItem[[#This Row],[Data Section for Items]])</f>
        <v>Data View Section Items-22</v>
      </c>
      <c r="AQ24" s="62" t="s">
        <v>1581</v>
      </c>
      <c r="AR2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2132122</v>
      </c>
      <c r="AS24" s="69">
        <f>IF(DataViewSectionItem[[#This Row],[Data Section for Items]]="","section",VLOOKUP(DataViewSectionItem[[#This Row],[Data Section for Items]],DataViewSection[[DataSectionDisplayName]:[No]],2,0))</f>
        <v>2131107</v>
      </c>
      <c r="AT24" s="69" t="s">
        <v>1190</v>
      </c>
      <c r="AU24" s="107" t="s">
        <v>804</v>
      </c>
      <c r="AV24" s="69" t="str">
        <f>IF(DataViewSectionItem[[#This Row],[Data Section for Items]]="","relation",IFERROR(VLOOKUP(DataViewSectionItem[[#This Row],[Relation]],RelationTable[[Display]:[RELID]],2,0),""))</f>
        <v/>
      </c>
      <c r="AW24" s="107"/>
    </row>
    <row r="25" spans="12:49">
      <c r="AP25" s="69" t="str">
        <f>'Table Seed Map'!$A$33&amp;"-"&amp;-1+COUNTA($AQ$1:DataViewSectionItem[[#This Row],[Data Section for Items]])</f>
        <v>Data View Section Items-23</v>
      </c>
      <c r="AQ25" s="62" t="s">
        <v>1582</v>
      </c>
      <c r="AR2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2132123</v>
      </c>
      <c r="AS25" s="69">
        <f>IF(DataViewSectionItem[[#This Row],[Data Section for Items]]="","section",VLOOKUP(DataViewSectionItem[[#This Row],[Data Section for Items]],DataViewSection[[DataSectionDisplayName]:[No]],2,0))</f>
        <v>2131108</v>
      </c>
      <c r="AT25" s="69" t="s">
        <v>1</v>
      </c>
      <c r="AU25" s="107" t="s">
        <v>23</v>
      </c>
      <c r="AV25" s="69" t="str">
        <f>IF(DataViewSectionItem[[#This Row],[Data Section for Items]]="","relation",IFERROR(VLOOKUP(DataViewSectionItem[[#This Row],[Relation]],RelationTable[[Display]:[RELID]],2,0),""))</f>
        <v/>
      </c>
      <c r="AW25" s="107"/>
    </row>
    <row r="26" spans="12:49">
      <c r="AP26" s="69" t="str">
        <f>'Table Seed Map'!$A$33&amp;"-"&amp;-1+COUNTA($AQ$1:DataViewSectionItem[[#This Row],[Data Section for Items]])</f>
        <v>Data View Section Items-24</v>
      </c>
      <c r="AQ26" s="62" t="s">
        <v>1582</v>
      </c>
      <c r="AR2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2132124</v>
      </c>
      <c r="AS26" s="69">
        <f>IF(DataViewSectionItem[[#This Row],[Data Section for Items]]="","section",VLOOKUP(DataViewSectionItem[[#This Row],[Data Section for Items]],DataViewSection[[DataSectionDisplayName]:[No]],2,0))</f>
        <v>2131108</v>
      </c>
      <c r="AT26" s="69" t="s">
        <v>1182</v>
      </c>
      <c r="AU26" s="107" t="s">
        <v>800</v>
      </c>
      <c r="AV26" s="69" t="str">
        <f>IF(DataViewSectionItem[[#This Row],[Data Section for Items]]="","relation",IFERROR(VLOOKUP(DataViewSectionItem[[#This Row],[Relation]],RelationTable[[Display]:[RELID]],2,0),""))</f>
        <v/>
      </c>
      <c r="AW26" s="107"/>
    </row>
    <row r="27" spans="12:49">
      <c r="AP27" s="69" t="str">
        <f>'Table Seed Map'!$A$33&amp;"-"&amp;-1+COUNTA($AQ$1:DataViewSectionItem[[#This Row],[Data Section for Items]])</f>
        <v>Data View Section Items-25</v>
      </c>
      <c r="AQ27" s="62" t="s">
        <v>1583</v>
      </c>
      <c r="AR2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2132125</v>
      </c>
      <c r="AS27" s="69">
        <f>IF(DataViewSectionItem[[#This Row],[Data Section for Items]]="","section",VLOOKUP(DataViewSectionItem[[#This Row],[Data Section for Items]],DataViewSection[[DataSectionDisplayName]:[No]],2,0))</f>
        <v>2131109</v>
      </c>
      <c r="AT27" s="69" t="s">
        <v>1</v>
      </c>
      <c r="AU27" s="107" t="s">
        <v>23</v>
      </c>
      <c r="AV27" s="69" t="str">
        <f>IF(DataViewSectionItem[[#This Row],[Data Section for Items]]="","relation",IFERROR(VLOOKUP(DataViewSectionItem[[#This Row],[Relation]],RelationTable[[Display]:[RELID]],2,0),""))</f>
        <v/>
      </c>
      <c r="AW27" s="107"/>
    </row>
    <row r="28" spans="12:49">
      <c r="AP28" s="69" t="str">
        <f>'Table Seed Map'!$A$33&amp;"-"&amp;-1+COUNTA($AQ$1:DataViewSectionItem[[#This Row],[Data Section for Items]])</f>
        <v>Data View Section Items-26</v>
      </c>
      <c r="AQ28" s="62" t="s">
        <v>1583</v>
      </c>
      <c r="AR2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2132126</v>
      </c>
      <c r="AS28" s="69">
        <f>IF(DataViewSectionItem[[#This Row],[Data Section for Items]]="","section",VLOOKUP(DataViewSectionItem[[#This Row],[Data Section for Items]],DataViewSection[[DataSectionDisplayName]:[No]],2,0))</f>
        <v>2131109</v>
      </c>
      <c r="AT28" s="69" t="s">
        <v>1456</v>
      </c>
      <c r="AU28" s="107" t="s">
        <v>799</v>
      </c>
      <c r="AV28" s="69" t="str">
        <f>IF(DataViewSectionItem[[#This Row],[Data Section for Items]]="","relation",IFERROR(VLOOKUP(DataViewSectionItem[[#This Row],[Relation]],RelationTable[[Display]:[RELID]],2,0),""))</f>
        <v/>
      </c>
      <c r="AW28" s="107"/>
    </row>
    <row r="29" spans="12:49">
      <c r="AP29" s="69" t="str">
        <f>'Table Seed Map'!$A$33&amp;"-"&amp;-1+COUNTA($AQ$1:DataViewSectionItem[[#This Row],[Data Section for Items]])</f>
        <v>Data View Section Items-27</v>
      </c>
      <c r="AQ29" s="62" t="s">
        <v>1584</v>
      </c>
      <c r="AR2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2132127</v>
      </c>
      <c r="AS29" s="69">
        <f>IF(DataViewSectionItem[[#This Row],[Data Section for Items]]="","section",VLOOKUP(DataViewSectionItem[[#This Row],[Data Section for Items]],DataViewSection[[DataSectionDisplayName]:[No]],2,0))</f>
        <v>2131110</v>
      </c>
      <c r="AT29" s="69" t="s">
        <v>901</v>
      </c>
      <c r="AU29" s="107" t="s">
        <v>23</v>
      </c>
      <c r="AV29" s="69">
        <f>IF(DataViewSectionItem[[#This Row],[Data Section for Items]]="","relation",IFERROR(VLOOKUP(DataViewSectionItem[[#This Row],[Relation]],RelationTable[[Display]:[RELID]],2,0),""))</f>
        <v>2109143</v>
      </c>
      <c r="AW29" s="107" t="s">
        <v>1580</v>
      </c>
    </row>
    <row r="30" spans="12:49">
      <c r="AP30" s="69" t="str">
        <f>'Table Seed Map'!$A$33&amp;"-"&amp;-1+COUNTA($AQ$1:DataViewSectionItem[[#This Row],[Data Section for Items]])</f>
        <v>Data View Section Items-28</v>
      </c>
      <c r="AQ30" s="62" t="s">
        <v>1584</v>
      </c>
      <c r="AR3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2132128</v>
      </c>
      <c r="AS30" s="69">
        <f>IF(DataViewSectionItem[[#This Row],[Data Section for Items]]="","section",VLOOKUP(DataViewSectionItem[[#This Row],[Data Section for Items]],DataViewSection[[DataSectionDisplayName]:[No]],2,0))</f>
        <v>2131110</v>
      </c>
      <c r="AT30" s="69" t="s">
        <v>1459</v>
      </c>
      <c r="AU30" s="107" t="s">
        <v>847</v>
      </c>
      <c r="AV30" s="69" t="str">
        <f>IF(DataViewSectionItem[[#This Row],[Data Section for Items]]="","relation",IFERROR(VLOOKUP(DataViewSectionItem[[#This Row],[Relation]],RelationTable[[Display]:[RELID]],2,0),""))</f>
        <v/>
      </c>
      <c r="AW30" s="107"/>
    </row>
    <row r="31" spans="12:49">
      <c r="AP31" s="69" t="str">
        <f>'Table Seed Map'!$A$33&amp;"-"&amp;-1+COUNTA($AQ$1:DataViewSectionItem[[#This Row],[Data Section for Items]])</f>
        <v>Data View Section Items-29</v>
      </c>
      <c r="AQ31" s="62" t="s">
        <v>1708</v>
      </c>
      <c r="AR3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2132129</v>
      </c>
      <c r="AS31" s="69">
        <f>IF(DataViewSectionItem[[#This Row],[Data Section for Items]]="","section",VLOOKUP(DataViewSectionItem[[#This Row],[Data Section for Items]],DataViewSection[[DataSectionDisplayName]:[No]],2,0))</f>
        <v>2131111</v>
      </c>
      <c r="AT31" s="69" t="s">
        <v>777</v>
      </c>
      <c r="AU31" s="107" t="s">
        <v>23</v>
      </c>
      <c r="AV31" s="69">
        <f>IF(DataViewSectionItem[[#This Row],[Data Section for Items]]="","relation",IFERROR(VLOOKUP(DataViewSectionItem[[#This Row],[Relation]],RelationTable[[Display]:[RELID]],2,0),""))</f>
        <v>2109138</v>
      </c>
      <c r="AW31" s="107" t="s">
        <v>1464</v>
      </c>
    </row>
    <row r="32" spans="12:49">
      <c r="AP32" s="69" t="str">
        <f>'Table Seed Map'!$A$33&amp;"-"&amp;-1+COUNTA($AQ$1:DataViewSectionItem[[#This Row],[Data Section for Items]])</f>
        <v>Data View Section Items-30</v>
      </c>
      <c r="AQ32" s="62" t="s">
        <v>1708</v>
      </c>
      <c r="AR3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2132130</v>
      </c>
      <c r="AS32" s="69">
        <f>IF(DataViewSectionItem[[#This Row],[Data Section for Items]]="","section",VLOOKUP(DataViewSectionItem[[#This Row],[Data Section for Items]],DataViewSection[[DataSectionDisplayName]:[No]],2,0))</f>
        <v>2131111</v>
      </c>
      <c r="AT32" s="69" t="s">
        <v>1709</v>
      </c>
      <c r="AU32" s="107" t="s">
        <v>23</v>
      </c>
      <c r="AV32" s="69">
        <f>IF(DataViewSectionItem[[#This Row],[Data Section for Items]]="","relation",IFERROR(VLOOKUP(DataViewSectionItem[[#This Row],[Relation]],RelationTable[[Display]:[RELID]],2,0),""))</f>
        <v>2109139</v>
      </c>
      <c r="AW32" s="107" t="s">
        <v>1540</v>
      </c>
    </row>
    <row r="33" spans="42:49">
      <c r="AP33" s="69" t="str">
        <f>'Table Seed Map'!$A$33&amp;"-"&amp;-1+COUNTA($AQ$1:DataViewSectionItem[[#This Row],[Data Section for Items]])</f>
        <v>Data View Section Items-31</v>
      </c>
      <c r="AQ33" s="62" t="s">
        <v>1708</v>
      </c>
      <c r="AR3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2132131</v>
      </c>
      <c r="AS33" s="69">
        <f>IF(DataViewSectionItem[[#This Row],[Data Section for Items]]="","section",VLOOKUP(DataViewSectionItem[[#This Row],[Data Section for Items]],DataViewSection[[DataSectionDisplayName]:[No]],2,0))</f>
        <v>2131111</v>
      </c>
      <c r="AT33" s="69" t="s">
        <v>1190</v>
      </c>
      <c r="AU33" s="107" t="s">
        <v>804</v>
      </c>
      <c r="AV33" s="69" t="str">
        <f>IF(DataViewSectionItem[[#This Row],[Data Section for Items]]="","relation",IFERROR(VLOOKUP(DataViewSectionItem[[#This Row],[Relation]],RelationTable[[Display]:[RELID]],2,0),""))</f>
        <v/>
      </c>
      <c r="AW33" s="107"/>
    </row>
    <row r="34" spans="42:49">
      <c r="AP34" s="69" t="str">
        <f>'Table Seed Map'!$A$33&amp;"-"&amp;-1+COUNTA($AQ$1:DataViewSectionItem[[#This Row],[Data Section for Items]])</f>
        <v>Data View Section Items-32</v>
      </c>
      <c r="AQ34" s="62" t="s">
        <v>1727</v>
      </c>
      <c r="AR3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2132132</v>
      </c>
      <c r="AS34" s="69">
        <f>IF(DataViewSectionItem[[#This Row],[Data Section for Items]]="","section",VLOOKUP(DataViewSectionItem[[#This Row],[Data Section for Items]],DataViewSection[[DataSectionDisplayName]:[No]],2,0))</f>
        <v>2131112</v>
      </c>
      <c r="AT34" s="69" t="s">
        <v>1029</v>
      </c>
      <c r="AU34" s="107" t="s">
        <v>23</v>
      </c>
      <c r="AV34" s="69">
        <f>IF(DataViewSectionItem[[#This Row],[Data Section for Items]]="","relation",IFERROR(VLOOKUP(DataViewSectionItem[[#This Row],[Relation]],RelationTable[[Display]:[RELID]],2,0),""))</f>
        <v>2109155</v>
      </c>
      <c r="AW34" s="107" t="s">
        <v>1630</v>
      </c>
    </row>
    <row r="35" spans="42:49">
      <c r="AP35" s="69" t="str">
        <f>'Table Seed Map'!$A$33&amp;"-"&amp;-1+COUNTA($AQ$1:DataViewSectionItem[[#This Row],[Data Section for Items]])</f>
        <v>Data View Section Items-33</v>
      </c>
      <c r="AQ35" s="62" t="s">
        <v>1727</v>
      </c>
      <c r="AR3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2132133</v>
      </c>
      <c r="AS35" s="69">
        <f>IF(DataViewSectionItem[[#This Row],[Data Section for Items]]="","section",VLOOKUP(DataViewSectionItem[[#This Row],[Data Section for Items]],DataViewSection[[DataSectionDisplayName]:[No]],2,0))</f>
        <v>2131112</v>
      </c>
      <c r="AT35" s="69" t="s">
        <v>104</v>
      </c>
      <c r="AU35" s="107" t="s">
        <v>850</v>
      </c>
      <c r="AV35" s="69">
        <f>IF(DataViewSectionItem[[#This Row],[Data Section for Items]]="","relation",IFERROR(VLOOKUP(DataViewSectionItem[[#This Row],[Relation]],RelationTable[[Display]:[RELID]],2,0),""))</f>
        <v>2109154</v>
      </c>
      <c r="AW35" s="107" t="s">
        <v>1629</v>
      </c>
    </row>
    <row r="36" spans="42:49">
      <c r="AP36" s="69" t="str">
        <f>'Table Seed Map'!$A$33&amp;"-"&amp;-1+COUNTA($AQ$1:DataViewSectionItem[[#This Row],[Data Section for Items]])</f>
        <v>Data View Section Items-34</v>
      </c>
      <c r="AQ36" s="62" t="s">
        <v>1727</v>
      </c>
      <c r="AR3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2132134</v>
      </c>
      <c r="AS36" s="69">
        <f>IF(DataViewSectionItem[[#This Row],[Data Section for Items]]="","section",VLOOKUP(DataViewSectionItem[[#This Row],[Data Section for Items]],DataViewSection[[DataSectionDisplayName]:[No]],2,0))</f>
        <v>2131112</v>
      </c>
      <c r="AT36" s="69" t="s">
        <v>896</v>
      </c>
      <c r="AU36" s="107" t="s">
        <v>23</v>
      </c>
      <c r="AV36" s="69">
        <f>IF(DataViewSectionItem[[#This Row],[Data Section for Items]]="","relation",IFERROR(VLOOKUP(DataViewSectionItem[[#This Row],[Relation]],RelationTable[[Display]:[RELID]],2,0),""))</f>
        <v>2109188</v>
      </c>
      <c r="AW36" s="107" t="s">
        <v>1251</v>
      </c>
    </row>
    <row r="37" spans="42:49">
      <c r="AP37" s="69" t="str">
        <f>'Table Seed Map'!$A$33&amp;"-"&amp;-1+COUNTA($AQ$1:DataViewSectionItem[[#This Row],[Data Section for Items]])</f>
        <v>Data View Section Items-35</v>
      </c>
      <c r="AQ37" s="62" t="s">
        <v>1727</v>
      </c>
      <c r="AR3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2132135</v>
      </c>
      <c r="AS37" s="69">
        <f>IF(DataViewSectionItem[[#This Row],[Data Section for Items]]="","section",VLOOKUP(DataViewSectionItem[[#This Row],[Data Section for Items]],DataViewSection[[DataSectionDisplayName]:[No]],2,0))</f>
        <v>2131112</v>
      </c>
      <c r="AT37" s="69" t="s">
        <v>1849</v>
      </c>
      <c r="AU37" s="107" t="s">
        <v>23</v>
      </c>
      <c r="AV37" s="69">
        <f>IF(DataViewSectionItem[[#This Row],[Data Section for Items]]="","relation",IFERROR(VLOOKUP(DataViewSectionItem[[#This Row],[Relation]],RelationTable[[Display]:[RELID]],2,0),""))</f>
        <v>2109194</v>
      </c>
      <c r="AW37" s="107" t="s">
        <v>1848</v>
      </c>
    </row>
    <row r="38" spans="42:49">
      <c r="AP38" s="69" t="str">
        <f>'Table Seed Map'!$A$33&amp;"-"&amp;-1+COUNTA($AQ$1:DataViewSectionItem[[#This Row],[Data Section for Items]])</f>
        <v>Data View Section Items-36</v>
      </c>
      <c r="AQ38" s="62" t="s">
        <v>1727</v>
      </c>
      <c r="AR3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2132136</v>
      </c>
      <c r="AS38" s="69">
        <f>IF(DataViewSectionItem[[#This Row],[Data Section for Items]]="","section",VLOOKUP(DataViewSectionItem[[#This Row],[Data Section for Items]],DataViewSection[[DataSectionDisplayName]:[No]],2,0))</f>
        <v>2131112</v>
      </c>
      <c r="AT38" s="69" t="s">
        <v>1471</v>
      </c>
      <c r="AU38" s="107" t="s">
        <v>882</v>
      </c>
      <c r="AV38" s="69" t="str">
        <f>IF(DataViewSectionItem[[#This Row],[Data Section for Items]]="","relation",IFERROR(VLOOKUP(DataViewSectionItem[[#This Row],[Relation]],RelationTable[[Display]:[RELID]],2,0),""))</f>
        <v/>
      </c>
      <c r="AW38" s="107"/>
    </row>
    <row r="39" spans="42:49">
      <c r="AP39" s="69" t="str">
        <f>'Table Seed Map'!$A$33&amp;"-"&amp;-1+COUNTA($AQ$1:DataViewSectionItem[[#This Row],[Data Section for Items]])</f>
        <v>Data View Section Items-37</v>
      </c>
      <c r="AQ39" s="62" t="s">
        <v>1729</v>
      </c>
      <c r="AR3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2132137</v>
      </c>
      <c r="AS39" s="69">
        <f>IF(DataViewSectionItem[[#This Row],[Data Section for Items]]="","section",VLOOKUP(DataViewSectionItem[[#This Row],[Data Section for Items]],DataViewSection[[DataSectionDisplayName]:[No]],2,0))</f>
        <v>2131113</v>
      </c>
      <c r="AT39" s="69" t="s">
        <v>778</v>
      </c>
      <c r="AU39" s="107" t="s">
        <v>23</v>
      </c>
      <c r="AV39" s="69">
        <f>IF(DataViewSectionItem[[#This Row],[Data Section for Items]]="","relation",IFERROR(VLOOKUP(DataViewSectionItem[[#This Row],[Relation]],RelationTable[[Display]:[RELID]],2,0),""))</f>
        <v>2109159</v>
      </c>
      <c r="AW39" s="107" t="s">
        <v>1644</v>
      </c>
    </row>
    <row r="40" spans="42:49">
      <c r="AP40" s="69" t="str">
        <f>'Table Seed Map'!$A$33&amp;"-"&amp;-1+COUNTA($AQ$1:DataViewSectionItem[[#This Row],[Data Section for Items]])</f>
        <v>Data View Section Items-38</v>
      </c>
      <c r="AQ40" s="62" t="s">
        <v>1729</v>
      </c>
      <c r="AR4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2132138</v>
      </c>
      <c r="AS40" s="69">
        <f>IF(DataViewSectionItem[[#This Row],[Data Section for Items]]="","section",VLOOKUP(DataViewSectionItem[[#This Row],[Data Section for Items]],DataViewSection[[DataSectionDisplayName]:[No]],2,0))</f>
        <v>2131113</v>
      </c>
      <c r="AT40" s="69" t="s">
        <v>78</v>
      </c>
      <c r="AU40" s="107" t="s">
        <v>23</v>
      </c>
      <c r="AV40" s="69">
        <f>IF(DataViewSectionItem[[#This Row],[Data Section for Items]]="","relation",IFERROR(VLOOKUP(DataViewSectionItem[[#This Row],[Relation]],RelationTable[[Display]:[RELID]],2,0),""))</f>
        <v>2109189</v>
      </c>
      <c r="AW40" s="107" t="s">
        <v>1645</v>
      </c>
    </row>
    <row r="41" spans="42:49">
      <c r="AP41" s="69" t="str">
        <f>'Table Seed Map'!$A$33&amp;"-"&amp;-1+COUNTA($AQ$1:DataViewSectionItem[[#This Row],[Data Section for Items]])</f>
        <v>Data View Section Items-39</v>
      </c>
      <c r="AQ41" s="62" t="s">
        <v>1729</v>
      </c>
      <c r="AR4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2132139</v>
      </c>
      <c r="AS41" s="69">
        <f>IF(DataViewSectionItem[[#This Row],[Data Section for Items]]="","section",VLOOKUP(DataViewSectionItem[[#This Row],[Data Section for Items]],DataViewSection[[DataSectionDisplayName]:[No]],2,0))</f>
        <v>2131113</v>
      </c>
      <c r="AT41" s="69" t="s">
        <v>1471</v>
      </c>
      <c r="AU41" s="107" t="s">
        <v>882</v>
      </c>
      <c r="AV41" s="69" t="str">
        <f>IF(DataViewSectionItem[[#This Row],[Data Section for Items]]="","relation",IFERROR(VLOOKUP(DataViewSectionItem[[#This Row],[Relation]],RelationTable[[Display]:[RELID]],2,0),""))</f>
        <v/>
      </c>
      <c r="AW41" s="107"/>
    </row>
  </sheetData>
  <dataValidations count="5">
    <dataValidation type="list" allowBlank="1" showInputMessage="1" showErrorMessage="1" sqref="AN2:AN15 AW2:AW41 O2:R23">
      <formula1>Relations</formula1>
    </dataValidation>
    <dataValidation type="list" allowBlank="1" showInputMessage="1" showErrorMessage="1" sqref="B2:B15">
      <formula1>Resources</formula1>
    </dataValidation>
    <dataValidation type="list" allowBlank="1" showInputMessage="1" showErrorMessage="1" sqref="AF2:AF15 L2:L23">
      <formula1>DataNames</formula1>
    </dataValidation>
    <dataValidation type="list" allowBlank="1" showInputMessage="1" showErrorMessage="1" sqref="N2:N23">
      <formula1>Scopes</formula1>
    </dataValidation>
    <dataValidation type="list" allowBlank="1" showInputMessage="1" showErrorMessage="1" sqref="AQ2:AQ41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6" sqref="K6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29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Owner/NewOwnerForm</v>
      </c>
      <c r="O2" s="6" t="str">
        <f ca="1">IF(IDNMaps[[#This Row],[Name]]="","","("&amp;IDNMaps[[#This Row],[Type]]&amp;") "&amp;IDNMaps[[#This Row],[Name]])</f>
        <v>(Forms) Owner/NewOwnerForm</v>
      </c>
      <c r="P2" s="6">
        <f ca="1">IFERROR(VLOOKUP(IDNMaps[[#This Row],[Primary]],INDIRECT(VLOOKUP(IDNMaps[[#This Row],[Type]],RecordCount[],2,0)),VLOOKUP(IDNMaps[[#This Row],[Type]],RecordCount[],8,0),0),"")</f>
        <v>2110101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50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Employee/NewEmployee</v>
      </c>
      <c r="O3" s="6" t="str">
        <f ca="1">IF(IDNMaps[[#This Row],[Name]]="","","("&amp;IDNMaps[[#This Row],[Type]]&amp;") "&amp;IDNMaps[[#This Row],[Name]])</f>
        <v>(Forms) Employee/NewEmployee</v>
      </c>
      <c r="P3" s="6">
        <f ca="1">IFERROR(VLOOKUP(IDNMaps[[#This Row],[Primary]],INDIRECT(VLOOKUP(IDNMaps[[#This Row],[Type]],RecordCount[],2,0)),VLOOKUP(IDNMaps[[#This Row],[Type]],RecordCount[],8,0),0),"")</f>
        <v>2110102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13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Employee/NewServiceProvider</v>
      </c>
      <c r="O4" s="6" t="str">
        <f ca="1">IF(IDNMaps[[#This Row],[Name]]="","","("&amp;IDNMaps[[#This Row],[Type]]&amp;") "&amp;IDNMaps[[#This Row],[Name]])</f>
        <v>(Forms) Employee/NewServiceProvider</v>
      </c>
      <c r="P4" s="6">
        <f ca="1">IFERROR(VLOOKUP(IDNMaps[[#This Row],[Primary]],INDIRECT(VLOOKUP(IDNMaps[[#This Row],[Type]],RecordCount[],2,0)),VLOOKUP(IDNMaps[[#This Row],[Type]],RecordCount[],8,0),0),"")</f>
        <v>2110103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99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Customer/NewCustomerForm</v>
      </c>
      <c r="O5" s="6" t="str">
        <f ca="1">IF(IDNMaps[[#This Row],[Name]]="","","("&amp;IDNMaps[[#This Row],[Type]]&amp;") "&amp;IDNMaps[[#This Row],[Name]])</f>
        <v>(Forms) Customer/NewCustomerForm</v>
      </c>
      <c r="P5" s="6">
        <f ca="1">IFERROR(VLOOKUP(IDNMaps[[#This Row],[Primary]],INDIRECT(VLOOKUP(IDNMaps[[#This Row],[Type]],RecordCount[],2,0)),VLOOKUP(IDNMaps[[#This Row],[Type]],RecordCount[],8,0),0),"")</f>
        <v>2110104</v>
      </c>
    </row>
    <row r="6" spans="1:16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87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Hub/NewHubCreateFrom</v>
      </c>
      <c r="O6" s="6" t="str">
        <f ca="1">IF(IDNMaps[[#This Row],[Name]]="","","("&amp;IDNMaps[[#This Row],[Type]]&amp;") "&amp;IDNMaps[[#This Row],[Name]])</f>
        <v>(Forms) Hub/NewHubCreateFrom</v>
      </c>
      <c r="P6" s="6">
        <f ca="1">IFERROR(VLOOKUP(IDNMaps[[#This Row],[Primary]],INDIRECT(VLOOKUP(IDNMaps[[#This Row],[Type]],RecordCount[],2,0)),VLOOKUP(IDNMaps[[#This Row],[Type]],RecordCount[],8,0),0),"")</f>
        <v>2110105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Service/AddNewServiceForm</v>
      </c>
      <c r="O7" s="6" t="str">
        <f ca="1">IF(IDNMaps[[#This Row],[Name]]="","","("&amp;IDNMaps[[#This Row],[Type]]&amp;") "&amp;IDNMaps[[#This Row],[Name]])</f>
        <v>(Forms) Service/AddNewServiceForm</v>
      </c>
      <c r="P7" s="6">
        <f ca="1">IFERROR(VLOOKUP(IDNMaps[[#This Row],[Primary]],INDIRECT(VLOOKUP(IDNMaps[[#This Row],[Type]],RecordCount[],2,0)),VLOOKUP(IDNMaps[[#This Row],[Type]],RecordCount[],8,0),0),"")</f>
        <v>2110106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Item/AddNewItemForm</v>
      </c>
      <c r="O8" s="6" t="str">
        <f ca="1">IF(IDNMaps[[#This Row],[Name]]="","","("&amp;IDNMaps[[#This Row],[Type]]&amp;") "&amp;IDNMaps[[#This Row],[Name]])</f>
        <v>(Forms) Item/AddNewItemForm</v>
      </c>
      <c r="P8" s="6">
        <f ca="1">IFERROR(VLOOKUP(IDNMaps[[#This Row],[Primary]],INDIRECT(VLOOKUP(IDNMaps[[#This Row],[Type]],RecordCount[],2,0)),VLOOKUP(IDNMaps[[#This Row],[Type]],RecordCount[],8,0),0),"")</f>
        <v>2110107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ItemService/AddServicesToItemForm</v>
      </c>
      <c r="O9" s="6" t="str">
        <f ca="1">IF(IDNMaps[[#This Row],[Name]]="","","("&amp;IDNMaps[[#This Row],[Type]]&amp;") "&amp;IDNMaps[[#This Row],[Name]])</f>
        <v>(Forms) ItemService/AddServicesToItemForm</v>
      </c>
      <c r="P9" s="6">
        <f ca="1">IFERROR(VLOOKUP(IDNMaps[[#This Row],[Primary]],INDIRECT(VLOOKUP(IDNMaps[[#This Row],[Type]],RecordCount[],2,0)),VLOOKUP(IDNMaps[[#This Row],[Type]],RecordCount[],8,0),0),"")</f>
        <v>2110108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ItemService/UpdateItemsService</v>
      </c>
      <c r="O10" s="6" t="str">
        <f ca="1">IF(IDNMaps[[#This Row],[Name]]="","","("&amp;IDNMaps[[#This Row],[Type]]&amp;") "&amp;IDNMaps[[#This Row],[Name]])</f>
        <v>(Forms) ItemService/UpdateItemsService</v>
      </c>
      <c r="P10" s="6">
        <f ca="1">IFERROR(VLOOKUP(IDNMaps[[#This Row],[Primary]],INDIRECT(VLOOKUP(IDNMaps[[#This Row],[Type]],RecordCount[],2,0)),VLOOKUP(IDNMaps[[#This Row],[Type]],RecordCount[],8,0),0),"")</f>
        <v>2110109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Shelf/CreateNewShelfForm</v>
      </c>
      <c r="O11" s="6" t="str">
        <f ca="1">IF(IDNMaps[[#This Row],[Name]]="","","("&amp;IDNMaps[[#This Row],[Type]]&amp;") "&amp;IDNMaps[[#This Row],[Name]])</f>
        <v>(Forms) Shelf/CreateNewShelfForm</v>
      </c>
      <c r="P11" s="6">
        <f ca="1">IFERROR(VLOOKUP(IDNMaps[[#This Row],[Primary]],INDIRECT(VLOOKUP(IDNMaps[[#This Row],[Type]],RecordCount[],2,0)),VLOOKUP(IDNMaps[[#This Row],[Type]],RecordCount[],8,0),0),"")</f>
        <v>2110110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HubDefaultShelf/AssignHubsDefaultShelf</v>
      </c>
      <c r="O12" s="6" t="str">
        <f ca="1">IF(IDNMaps[[#This Row],[Name]]="","","("&amp;IDNMaps[[#This Row],[Type]]&amp;") "&amp;IDNMaps[[#This Row],[Name]])</f>
        <v>(Forms) HubDefaultShelf/AssignHubsDefaultShelf</v>
      </c>
      <c r="P12" s="6">
        <f ca="1">IFERROR(VLOOKUP(IDNMaps[[#This Row],[Primary]],INDIRECT(VLOOKUP(IDNMaps[[#This Row],[Type]],RecordCount[],2,0)),VLOOKUP(IDNMaps[[#This Row],[Type]],RecordCount[],8,0),0),"")</f>
        <v>2110111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Pricelist/CreateNewPLForm</v>
      </c>
      <c r="O13" s="6" t="str">
        <f ca="1">IF(IDNMaps[[#This Row],[Name]]="","","("&amp;IDNMaps[[#This Row],[Type]]&amp;") "&amp;IDNMaps[[#This Row],[Name]])</f>
        <v>(Forms) Pricelist/CreateNewPLForm</v>
      </c>
      <c r="P13" s="6">
        <f ca="1">IFERROR(VLOOKUP(IDNMaps[[#This Row],[Primary]],INDIRECT(VLOOKUP(IDNMaps[[#This Row],[Type]],RecordCount[],2,0)),VLOOKUP(IDNMaps[[#This Row],[Type]],RecordCount[],8,0),0),"")</f>
        <v>2110112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PricelistContent/AddContentsToPL</v>
      </c>
      <c r="O14" s="6" t="str">
        <f ca="1">IF(IDNMaps[[#This Row],[Name]]="","","("&amp;IDNMaps[[#This Row],[Type]]&amp;") "&amp;IDNMaps[[#This Row],[Name]])</f>
        <v>(Forms) PricelistContent/AddContentsToPL</v>
      </c>
      <c r="P14" s="6">
        <f ca="1">IFERROR(VLOOKUP(IDNMaps[[#This Row],[Primary]],INDIRECT(VLOOKUP(IDNMaps[[#This Row],[Type]],RecordCount[],2,0)),VLOOKUP(IDNMaps[[#This Row],[Type]],RecordCount[],8,0),0),"")</f>
        <v>2110113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PricelistContent/UpdatePLContent</v>
      </c>
      <c r="O15" s="6" t="str">
        <f ca="1">IF(IDNMaps[[#This Row],[Name]]="","","("&amp;IDNMaps[[#This Row],[Type]]&amp;") "&amp;IDNMaps[[#This Row],[Name]])</f>
        <v>(Forms) PricelistContent/UpdatePLContent</v>
      </c>
      <c r="P15" s="6">
        <f ca="1">IFERROR(VLOOKUP(IDNMaps[[#This Row],[Primary]],INDIRECT(VLOOKUP(IDNMaps[[#This Row],[Type]],RecordCount[],2,0)),VLOOKUP(IDNMaps[[#This Row],[Type]],RecordCount[],8,0),0),"")</f>
        <v>2110114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IdentityLabel/NewIdentityLabelForm</v>
      </c>
      <c r="O16" s="6" t="str">
        <f ca="1">IF(IDNMaps[[#This Row],[Name]]="","","("&amp;IDNMaps[[#This Row],[Type]]&amp;") "&amp;IDNMaps[[#This Row],[Name]])</f>
        <v>(Forms) IdentityLabel/NewIdentityLabelForm</v>
      </c>
      <c r="P16" s="6">
        <f ca="1">IFERROR(VLOOKUP(IDNMaps[[#This Row],[Primary]],INDIRECT(VLOOKUP(IDNMaps[[#This Row],[Type]],RecordCount[],2,0)),VLOOKUP(IDNMaps[[#This Row],[Type]],RecordCount[],8,0),0),"")</f>
        <v>2110115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Order/NewOrderForm</v>
      </c>
      <c r="O17" s="6" t="str">
        <f ca="1">IF(IDNMaps[[#This Row],[Name]]="","","("&amp;IDNMaps[[#This Row],[Type]]&amp;") "&amp;IDNMaps[[#This Row],[Name]])</f>
        <v>(Forms) Order/NewOrderForm</v>
      </c>
      <c r="P17" s="6">
        <f ca="1">IFERROR(VLOOKUP(IDNMaps[[#This Row],[Primary]],INDIRECT(VLOOKUP(IDNMaps[[#This Row],[Type]],RecordCount[],2,0)),VLOOKUP(IDNMaps[[#This Row],[Type]],RecordCount[],8,0),0),"")</f>
        <v>2110116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OrderItem/AddOrderItemForm</v>
      </c>
      <c r="O18" s="6" t="str">
        <f ca="1">IF(IDNMaps[[#This Row],[Name]]="","","("&amp;IDNMaps[[#This Row],[Type]]&amp;") "&amp;IDNMaps[[#This Row],[Name]])</f>
        <v>(Forms) OrderItem/AddOrderItemForm</v>
      </c>
      <c r="P18" s="6">
        <f ca="1">IFERROR(VLOOKUP(IDNMaps[[#This Row],[Primary]],INDIRECT(VLOOKUP(IDNMaps[[#This Row],[Type]],RecordCount[],2,0)),VLOOKUP(IDNMaps[[#This Row],[Type]],RecordCount[],8,0),0),"")</f>
        <v>2110117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OrderItem/UpdateOrderItem</v>
      </c>
      <c r="O19" s="6" t="str">
        <f ca="1">IF(IDNMaps[[#This Row],[Name]]="","","("&amp;IDNMaps[[#This Row],[Type]]&amp;") "&amp;IDNMaps[[#This Row],[Name]])</f>
        <v>(Forms) OrderItem/UpdateOrderItem</v>
      </c>
      <c r="P19" s="6">
        <f ca="1">IFERROR(VLOOKUP(IDNMaps[[#This Row],[Primary]],INDIRECT(VLOOKUP(IDNMaps[[#This Row],[Type]],RecordCount[],2,0)),VLOOKUP(IDNMaps[[#This Row],[Type]],RecordCount[],8,0),0),"")</f>
        <v>2110118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0" s="6">
        <f ca="1">IF(IDNMaps[[#This Row],[Type]]="","",COUNTIF($K$1:IDNMaps[[#This Row],[Type]],IDNMaps[[#This Row],[Type]]))</f>
        <v>19</v>
      </c>
      <c r="M20" s="6" t="str">
        <f ca="1">IFERROR(VLOOKUP(IDNMaps[[#This Row],[Type]],RecordCount[],6,0)&amp;"-"&amp;IDNMaps[[#This Row],[Type Count]],"")</f>
        <v>Resource Forms-19</v>
      </c>
      <c r="N20" s="6" t="str">
        <f ca="1">IFERROR(VLOOKUP(IDNMaps[[#This Row],[Primary]],INDIRECT(VLOOKUP(IDNMaps[[#This Row],[Type]],RecordCount[],2,0)),VLOOKUP(IDNMaps[[#This Row],[Type]],RecordCount[],7,0),0),"")</f>
        <v>OrderItemServiceUser/AssignProviderToOIS</v>
      </c>
      <c r="O20" s="6" t="str">
        <f ca="1">IF(IDNMaps[[#This Row],[Name]]="","","("&amp;IDNMaps[[#This Row],[Type]]&amp;") "&amp;IDNMaps[[#This Row],[Name]])</f>
        <v>(Forms) OrderItemServiceUser/AssignProviderToOIS</v>
      </c>
      <c r="P20" s="6">
        <f ca="1">IFERROR(VLOOKUP(IDNMaps[[#This Row],[Primary]],INDIRECT(VLOOKUP(IDNMaps[[#This Row],[Type]],RecordCount[],2,0)),VLOOKUP(IDNMaps[[#This Row],[Type]],RecordCount[],8,0),0),"")</f>
        <v>2110119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1" s="6">
        <f ca="1">IF(IDNMaps[[#This Row],[Type]]="","",COUNTIF($K$1:IDNMaps[[#This Row],[Type]],IDNMaps[[#This Row],[Type]]))</f>
        <v>20</v>
      </c>
      <c r="M21" s="6" t="str">
        <f ca="1">IFERROR(VLOOKUP(IDNMaps[[#This Row],[Type]],RecordCount[],6,0)&amp;"-"&amp;IDNMaps[[#This Row],[Type Count]],"")</f>
        <v>Resource Forms-20</v>
      </c>
      <c r="N21" s="6" t="str">
        <f ca="1">IFERROR(VLOOKUP(IDNMaps[[#This Row],[Primary]],INDIRECT(VLOOKUP(IDNMaps[[#This Row],[Type]],RecordCount[],2,0)),VLOOKUP(IDNMaps[[#This Row],[Type]],RecordCount[],7,0),0),"")</f>
        <v>Receipt/NewReceiptForm</v>
      </c>
      <c r="O21" s="6" t="str">
        <f ca="1">IF(IDNMaps[[#This Row],[Name]]="","","("&amp;IDNMaps[[#This Row],[Type]]&amp;") "&amp;IDNMaps[[#This Row],[Name]])</f>
        <v>(Forms) Receipt/NewReceiptForm</v>
      </c>
      <c r="P21" s="6">
        <f ca="1">IFERROR(VLOOKUP(IDNMaps[[#This Row],[Primary]],INDIRECT(VLOOKUP(IDNMaps[[#This Row],[Type]],RecordCount[],2,0)),VLOOKUP(IDNMaps[[#This Row],[Type]],RecordCount[],8,0),0),"")</f>
        <v>2110120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2" s="6">
        <f ca="1">IF(IDNMaps[[#This Row],[Type]]="","",COUNTIF($K$1:IDNMaps[[#This Row],[Type]],IDNMaps[[#This Row],[Type]]))</f>
        <v>21</v>
      </c>
      <c r="M22" s="6" t="str">
        <f ca="1">IFERROR(VLOOKUP(IDNMaps[[#This Row],[Type]],RecordCount[],6,0)&amp;"-"&amp;IDNMaps[[#This Row],[Type Count]],"")</f>
        <v>Resource Forms-21</v>
      </c>
      <c r="N22" s="6" t="str">
        <f ca="1">IFERROR(VLOOKUP(IDNMaps[[#This Row],[Primary]],INDIRECT(VLOOKUP(IDNMaps[[#This Row],[Type]],RecordCount[],2,0)),VLOOKUP(IDNMaps[[#This Row],[Type]],RecordCount[],7,0),0),"")</f>
        <v>Delivery/NewOrderDeliveryForm</v>
      </c>
      <c r="O22" s="6" t="str">
        <f ca="1">IF(IDNMaps[[#This Row],[Name]]="","","("&amp;IDNMaps[[#This Row],[Type]]&amp;") "&amp;IDNMaps[[#This Row],[Name]])</f>
        <v>(Forms) Delivery/NewOrderDeliveryForm</v>
      </c>
      <c r="P22" s="6">
        <f ca="1">IFERROR(VLOOKUP(IDNMaps[[#This Row],[Primary]],INDIRECT(VLOOKUP(IDNMaps[[#This Row],[Type]],RecordCount[],2,0)),VLOOKUP(IDNMaps[[#This Row],[Type]],RecordCount[],8,0),0),"")</f>
        <v>2110121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3" s="6">
        <f ca="1">IF(IDNMaps[[#This Row],[Type]]="","",COUNTIF($K$1:IDNMaps[[#This Row],[Type]],IDNMaps[[#This Row],[Type]]))</f>
        <v>22</v>
      </c>
      <c r="M23" s="6" t="str">
        <f ca="1">IFERROR(VLOOKUP(IDNMaps[[#This Row],[Type]],RecordCount[],6,0)&amp;"-"&amp;IDNMaps[[#This Row],[Type Count]],"")</f>
        <v>Resource Forms-22</v>
      </c>
      <c r="N23" s="6" t="str">
        <f ca="1">IFERROR(VLOOKUP(IDNMaps[[#This Row],[Primary]],INDIRECT(VLOOKUP(IDNMaps[[#This Row],[Type]],RecordCount[],2,0)),VLOOKUP(IDNMaps[[#This Row],[Type]],RecordCount[],7,0),0),"")</f>
        <v>DeliveryItem/AddDeliveryItemsForm</v>
      </c>
      <c r="O23" s="6" t="str">
        <f ca="1">IF(IDNMaps[[#This Row],[Name]]="","","("&amp;IDNMaps[[#This Row],[Type]]&amp;") "&amp;IDNMaps[[#This Row],[Name]])</f>
        <v>(Forms) DeliveryItem/AddDeliveryItemsForm</v>
      </c>
      <c r="P23" s="6">
        <f ca="1">IFERROR(VLOOKUP(IDNMaps[[#This Row],[Primary]],INDIRECT(VLOOKUP(IDNMaps[[#This Row],[Type]],RecordCount[],2,0)),VLOOKUP(IDNMaps[[#This Row],[Type]],RecordCount[],8,0),0),"")</f>
        <v>2110122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4" s="6">
        <f ca="1">IF(IDNMaps[[#This Row],[Type]]="","",COUNTIF($K$1:IDNMaps[[#This Row],[Type]],IDNMaps[[#This Row],[Type]]))</f>
        <v>23</v>
      </c>
      <c r="M24" s="6" t="str">
        <f ca="1">IFERROR(VLOOKUP(IDNMaps[[#This Row],[Type]],RecordCount[],6,0)&amp;"-"&amp;IDNMaps[[#This Row],[Type Count]],"")</f>
        <v>Resource Forms-23</v>
      </c>
      <c r="N24" s="6" t="str">
        <f ca="1">IFERROR(VLOOKUP(IDNMaps[[#This Row],[Primary]],INDIRECT(VLOOKUP(IDNMaps[[#This Row],[Type]],RecordCount[],2,0)),VLOOKUP(IDNMaps[[#This Row],[Type]],RecordCount[],7,0),0),"")</f>
        <v>HubShift/NewHubShiftProcessForm</v>
      </c>
      <c r="O24" s="6" t="str">
        <f ca="1">IF(IDNMaps[[#This Row],[Name]]="","","("&amp;IDNMaps[[#This Row],[Type]]&amp;") "&amp;IDNMaps[[#This Row],[Name]])</f>
        <v>(Forms) HubShift/NewHubShiftProcessForm</v>
      </c>
      <c r="P24" s="6">
        <f ca="1">IFERROR(VLOOKUP(IDNMaps[[#This Row],[Primary]],INDIRECT(VLOOKUP(IDNMaps[[#This Row],[Type]],RecordCount[],2,0)),VLOOKUP(IDNMaps[[#This Row],[Type]],RecordCount[],8,0),0),"")</f>
        <v>2110123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5" s="6">
        <f ca="1">IF(IDNMaps[[#This Row],[Type]]="","",COUNTIF($K$1:IDNMaps[[#This Row],[Type]],IDNMaps[[#This Row],[Type]]))</f>
        <v>24</v>
      </c>
      <c r="M25" s="6" t="str">
        <f ca="1">IFERROR(VLOOKUP(IDNMaps[[#This Row],[Type]],RecordCount[],6,0)&amp;"-"&amp;IDNMaps[[#This Row],[Type Count]],"")</f>
        <v>Resource Forms-24</v>
      </c>
      <c r="N25" s="6" t="str">
        <f ca="1">IFERROR(VLOOKUP(IDNMaps[[#This Row],[Primary]],INDIRECT(VLOOKUP(IDNMaps[[#This Row],[Type]],RecordCount[],2,0)),VLOOKUP(IDNMaps[[#This Row],[Type]],RecordCount[],7,0),0),"")</f>
        <v>Employee/UpdateEmployeeDetails</v>
      </c>
      <c r="O25" s="6" t="str">
        <f ca="1">IF(IDNMaps[[#This Row],[Name]]="","","("&amp;IDNMaps[[#This Row],[Type]]&amp;") "&amp;IDNMaps[[#This Row],[Name]])</f>
        <v>(Forms) Employee/UpdateEmployeeDetails</v>
      </c>
      <c r="P25" s="6">
        <f ca="1">IFERROR(VLOOKUP(IDNMaps[[#This Row],[Primary]],INDIRECT(VLOOKUP(IDNMaps[[#This Row],[Type]],RecordCount[],2,0)),VLOOKUP(IDNMaps[[#This Row],[Type]],RecordCount[],8,0),0),"")</f>
        <v>2110124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6" s="6">
        <f ca="1">IF(IDNMaps[[#This Row],[Type]]="","",COUNTIF($K$1:IDNMaps[[#This Row],[Type]],IDNMaps[[#This Row],[Type]]))</f>
        <v>25</v>
      </c>
      <c r="M26" s="6" t="str">
        <f ca="1">IFERROR(VLOOKUP(IDNMaps[[#This Row],[Type]],RecordCount[],6,0)&amp;"-"&amp;IDNMaps[[#This Row],[Type Count]],"")</f>
        <v>Resource Forms-25</v>
      </c>
      <c r="N26" s="6" t="str">
        <f ca="1">IFERROR(VLOOKUP(IDNMaps[[#This Row],[Primary]],INDIRECT(VLOOKUP(IDNMaps[[#This Row],[Type]],RecordCount[],2,0)),VLOOKUP(IDNMaps[[#This Row],[Type]],RecordCount[],7,0),0),"")</f>
        <v>Pricelist/EditPricelistForm</v>
      </c>
      <c r="O26" s="6" t="str">
        <f ca="1">IF(IDNMaps[[#This Row],[Name]]="","","("&amp;IDNMaps[[#This Row],[Type]]&amp;") "&amp;IDNMaps[[#This Row],[Name]])</f>
        <v>(Forms) Pricelist/EditPricelistForm</v>
      </c>
      <c r="P26" s="6">
        <f ca="1">IFERROR(VLOOKUP(IDNMaps[[#This Row],[Primary]],INDIRECT(VLOOKUP(IDNMaps[[#This Row],[Type]],RecordCount[],2,0)),VLOOKUP(IDNMaps[[#This Row],[Type]],RecordCount[],8,0),0),"")</f>
        <v>2110125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7" s="6">
        <f ca="1">IF(IDNMaps[[#This Row],[Type]]="","",COUNTIF($K$1:IDNMaps[[#This Row],[Type]],IDNMaps[[#This Row],[Type]]))</f>
        <v>26</v>
      </c>
      <c r="M27" s="6" t="str">
        <f ca="1">IFERROR(VLOOKUP(IDNMaps[[#This Row],[Type]],RecordCount[],6,0)&amp;"-"&amp;IDNMaps[[#This Row],[Type Count]],"")</f>
        <v>Resource Forms-26</v>
      </c>
      <c r="N27" s="6" t="str">
        <f ca="1">IFERROR(VLOOKUP(IDNMaps[[#This Row],[Primary]],INDIRECT(VLOOKUP(IDNMaps[[#This Row],[Type]],RecordCount[],2,0)),VLOOKUP(IDNMaps[[#This Row],[Type]],RecordCount[],7,0),0),"")</f>
        <v>Item/EditItemForm</v>
      </c>
      <c r="O27" s="6" t="str">
        <f ca="1">IF(IDNMaps[[#This Row],[Name]]="","","("&amp;IDNMaps[[#This Row],[Type]]&amp;") "&amp;IDNMaps[[#This Row],[Name]])</f>
        <v>(Forms) Item/EditItemForm</v>
      </c>
      <c r="P27" s="6">
        <f ca="1">IFERROR(VLOOKUP(IDNMaps[[#This Row],[Primary]],INDIRECT(VLOOKUP(IDNMaps[[#This Row],[Type]],RecordCount[],2,0)),VLOOKUP(IDNMaps[[#This Row],[Type]],RecordCount[],8,0),0),"")</f>
        <v>2110126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8" s="6">
        <f ca="1">IF(IDNMaps[[#This Row],[Type]]="","",COUNTIF($K$1:IDNMaps[[#This Row],[Type]],IDNMaps[[#This Row],[Type]]))</f>
        <v>27</v>
      </c>
      <c r="M28" s="6" t="str">
        <f ca="1">IFERROR(VLOOKUP(IDNMaps[[#This Row],[Type]],RecordCount[],6,0)&amp;"-"&amp;IDNMaps[[#This Row],[Type Count]],"")</f>
        <v>Resource Forms-27</v>
      </c>
      <c r="N28" s="6" t="str">
        <f ca="1">IFERROR(VLOOKUP(IDNMaps[[#This Row],[Primary]],INDIRECT(VLOOKUP(IDNMaps[[#This Row],[Type]],RecordCount[],2,0)),VLOOKUP(IDNMaps[[#This Row],[Type]],RecordCount[],7,0),0),"")</f>
        <v>Order/EditOrderForm</v>
      </c>
      <c r="O28" s="6" t="str">
        <f ca="1">IF(IDNMaps[[#This Row],[Name]]="","","("&amp;IDNMaps[[#This Row],[Type]]&amp;") "&amp;IDNMaps[[#This Row],[Name]])</f>
        <v>(Forms) Order/EditOrderForm</v>
      </c>
      <c r="P28" s="6">
        <f ca="1">IFERROR(VLOOKUP(IDNMaps[[#This Row],[Primary]],INDIRECT(VLOOKUP(IDNMaps[[#This Row],[Type]],RecordCount[],2,0)),VLOOKUP(IDNMaps[[#This Row],[Type]],RecordCount[],8,0),0),"")</f>
        <v>2110127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9" s="6">
        <f ca="1">IF(IDNMaps[[#This Row],[Type]]="","",COUNTIF($K$1:IDNMaps[[#This Row],[Type]],IDNMaps[[#This Row],[Type]]))</f>
        <v>28</v>
      </c>
      <c r="M29" s="6" t="str">
        <f ca="1">IFERROR(VLOOKUP(IDNMaps[[#This Row],[Type]],RecordCount[],6,0)&amp;"-"&amp;IDNMaps[[#This Row],[Type Count]],"")</f>
        <v>Resource Forms-28</v>
      </c>
      <c r="N29" s="6" t="str">
        <f ca="1">IFERROR(VLOOKUP(IDNMaps[[#This Row],[Primary]],INDIRECT(VLOOKUP(IDNMaps[[#This Row],[Type]],RecordCount[],2,0)),VLOOKUP(IDNMaps[[#This Row],[Type]],RecordCount[],7,0),0),"")</f>
        <v>OrderItemServiceUser/JobStartForm</v>
      </c>
      <c r="O29" s="6" t="str">
        <f ca="1">IF(IDNMaps[[#This Row],[Name]]="","","("&amp;IDNMaps[[#This Row],[Type]]&amp;") "&amp;IDNMaps[[#This Row],[Name]])</f>
        <v>(Forms) OrderItemServiceUser/JobStartForm</v>
      </c>
      <c r="P29" s="6">
        <f ca="1">IFERROR(VLOOKUP(IDNMaps[[#This Row],[Primary]],INDIRECT(VLOOKUP(IDNMaps[[#This Row],[Type]],RecordCount[],2,0)),VLOOKUP(IDNMaps[[#This Row],[Type]],RecordCount[],8,0),0),"")</f>
        <v>2110128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0" s="6">
        <f ca="1">IF(IDNMaps[[#This Row],[Type]]="","",COUNTIF($K$1:IDNMaps[[#This Row],[Type]],IDNMaps[[#This Row],[Type]]))</f>
        <v>29</v>
      </c>
      <c r="M30" s="6" t="str">
        <f ca="1">IFERROR(VLOOKUP(IDNMaps[[#This Row],[Type]],RecordCount[],6,0)&amp;"-"&amp;IDNMaps[[#This Row],[Type Count]],"")</f>
        <v>Resource Forms-29</v>
      </c>
      <c r="N30" s="6" t="str">
        <f ca="1">IFERROR(VLOOKUP(IDNMaps[[#This Row],[Primary]],INDIRECT(VLOOKUP(IDNMaps[[#This Row],[Type]],RecordCount[],2,0)),VLOOKUP(IDNMaps[[#This Row],[Type]],RecordCount[],7,0),0),"")</f>
        <v>OrderItemServiceUser/FinishJobForm</v>
      </c>
      <c r="O30" s="6" t="str">
        <f ca="1">IF(IDNMaps[[#This Row],[Name]]="","","("&amp;IDNMaps[[#This Row],[Type]]&amp;") "&amp;IDNMaps[[#This Row],[Name]])</f>
        <v>(Forms) OrderItemServiceUser/FinishJobForm</v>
      </c>
      <c r="P30" s="6">
        <f ca="1">IFERROR(VLOOKUP(IDNMaps[[#This Row],[Primary]],INDIRECT(VLOOKUP(IDNMaps[[#This Row],[Type]],RecordCount[],2,0)),VLOOKUP(IDNMaps[[#This Row],[Type]],RecordCount[],8,0),0),"")</f>
        <v>2110129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1</v>
      </c>
      <c r="M31" s="6" t="str">
        <f ca="1">IFERROR(VLOOKUP(IDNMaps[[#This Row],[Type]],RecordCount[],6,0)&amp;"-"&amp;IDNMaps[[#This Row],[Type Count]],"")</f>
        <v>Resource Lists-1</v>
      </c>
      <c r="N31" s="6" t="str">
        <f ca="1">IFERROR(VLOOKUP(IDNMaps[[#This Row],[Primary]],INDIRECT(VLOOKUP(IDNMaps[[#This Row],[Type]],RecordCount[],2,0)),VLOOKUP(IDNMaps[[#This Row],[Type]],RecordCount[],7,0),0),"")</f>
        <v>Group/EmployeeGroups</v>
      </c>
      <c r="O31" s="6" t="str">
        <f ca="1">IF(IDNMaps[[#This Row],[Name]]="","","("&amp;IDNMaps[[#This Row],[Type]]&amp;") "&amp;IDNMaps[[#This Row],[Name]])</f>
        <v>(Lists) Group/EmployeeGroups</v>
      </c>
      <c r="P31" s="6">
        <f ca="1">IFERROR(VLOOKUP(IDNMaps[[#This Row],[Primary]],INDIRECT(VLOOKUP(IDNMaps[[#This Row],[Type]],RecordCount[],2,0)),VLOOKUP(IDNMaps[[#This Row],[Type]],RecordCount[],8,0),0),"")</f>
        <v>2123101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2</v>
      </c>
      <c r="M32" s="6" t="str">
        <f ca="1">IFERROR(VLOOKUP(IDNMaps[[#This Row],[Type]],RecordCount[],6,0)&amp;"-"&amp;IDNMaps[[#This Row],[Type Count]],"")</f>
        <v>Resource Lists-2</v>
      </c>
      <c r="N32" s="6" t="str">
        <f ca="1">IFERROR(VLOOKUP(IDNMaps[[#This Row],[Primary]],INDIRECT(VLOOKUP(IDNMaps[[#This Row],[Type]],RecordCount[],2,0)),VLOOKUP(IDNMaps[[#This Row],[Type]],RecordCount[],7,0),0),"")</f>
        <v>Owner/OwnerList</v>
      </c>
      <c r="O32" s="6" t="str">
        <f ca="1">IF(IDNMaps[[#This Row],[Name]]="","","("&amp;IDNMaps[[#This Row],[Type]]&amp;") "&amp;IDNMaps[[#This Row],[Name]])</f>
        <v>(Lists) Owner/OwnerList</v>
      </c>
      <c r="P32" s="6">
        <f ca="1">IFERROR(VLOOKUP(IDNMaps[[#This Row],[Primary]],INDIRECT(VLOOKUP(IDNMaps[[#This Row],[Type]],RecordCount[],2,0)),VLOOKUP(IDNMaps[[#This Row],[Type]],RecordCount[],8,0),0),"")</f>
        <v>2123102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3</v>
      </c>
      <c r="M33" s="6" t="str">
        <f ca="1">IFERROR(VLOOKUP(IDNMaps[[#This Row],[Type]],RecordCount[],6,0)&amp;"-"&amp;IDNMaps[[#This Row],[Type Count]],"")</f>
        <v>Resource Lists-3</v>
      </c>
      <c r="N33" s="6" t="str">
        <f ca="1">IFERROR(VLOOKUP(IDNMaps[[#This Row],[Primary]],INDIRECT(VLOOKUP(IDNMaps[[#This Row],[Type]],RecordCount[],2,0)),VLOOKUP(IDNMaps[[#This Row],[Type]],RecordCount[],7,0),0),"")</f>
        <v>Employee/EmployeeList</v>
      </c>
      <c r="O33" s="6" t="str">
        <f ca="1">IF(IDNMaps[[#This Row],[Name]]="","","("&amp;IDNMaps[[#This Row],[Type]]&amp;") "&amp;IDNMaps[[#This Row],[Name]])</f>
        <v>(Lists) Employee/EmployeeList</v>
      </c>
      <c r="P33" s="6">
        <f ca="1">IFERROR(VLOOKUP(IDNMaps[[#This Row],[Primary]],INDIRECT(VLOOKUP(IDNMaps[[#This Row],[Type]],RecordCount[],2,0)),VLOOKUP(IDNMaps[[#This Row],[Type]],RecordCount[],8,0),0),"")</f>
        <v>2123103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4</v>
      </c>
      <c r="M34" s="6" t="str">
        <f ca="1">IFERROR(VLOOKUP(IDNMaps[[#This Row],[Type]],RecordCount[],6,0)&amp;"-"&amp;IDNMaps[[#This Row],[Type Count]],"")</f>
        <v>Resource Lists-4</v>
      </c>
      <c r="N34" s="6" t="str">
        <f ca="1">IFERROR(VLOOKUP(IDNMaps[[#This Row],[Primary]],INDIRECT(VLOOKUP(IDNMaps[[#This Row],[Type]],RecordCount[],2,0)),VLOOKUP(IDNMaps[[#This Row],[Type]],RecordCount[],7,0),0),"")</f>
        <v>Employee/ManagersList</v>
      </c>
      <c r="O34" s="6" t="str">
        <f ca="1">IF(IDNMaps[[#This Row],[Name]]="","","("&amp;IDNMaps[[#This Row],[Type]]&amp;") "&amp;IDNMaps[[#This Row],[Name]])</f>
        <v>(Lists) Employee/ManagersList</v>
      </c>
      <c r="P34" s="6">
        <f ca="1">IFERROR(VLOOKUP(IDNMaps[[#This Row],[Primary]],INDIRECT(VLOOKUP(IDNMaps[[#This Row],[Type]],RecordCount[],2,0)),VLOOKUP(IDNMaps[[#This Row],[Type]],RecordCount[],8,0),0),"")</f>
        <v>2123104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5</v>
      </c>
      <c r="M35" s="6" t="str">
        <f ca="1">IFERROR(VLOOKUP(IDNMaps[[#This Row],[Type]],RecordCount[],6,0)&amp;"-"&amp;IDNMaps[[#This Row],[Type Count]],"")</f>
        <v>Resource Lists-5</v>
      </c>
      <c r="N35" s="6" t="str">
        <f ca="1">IFERROR(VLOOKUP(IDNMaps[[#This Row],[Primary]],INDIRECT(VLOOKUP(IDNMaps[[#This Row],[Type]],RecordCount[],2,0)),VLOOKUP(IDNMaps[[#This Row],[Type]],RecordCount[],7,0),0),"")</f>
        <v>Employee/ServiceProvidersList</v>
      </c>
      <c r="O35" s="6" t="str">
        <f ca="1">IF(IDNMaps[[#This Row],[Name]]="","","("&amp;IDNMaps[[#This Row],[Type]]&amp;") "&amp;IDNMaps[[#This Row],[Name]])</f>
        <v>(Lists) Employee/ServiceProvidersList</v>
      </c>
      <c r="P35" s="6">
        <f ca="1">IFERROR(VLOOKUP(IDNMaps[[#This Row],[Primary]],INDIRECT(VLOOKUP(IDNMaps[[#This Row],[Type]],RecordCount[],2,0)),VLOOKUP(IDNMaps[[#This Row],[Type]],RecordCount[],8,0),0),"")</f>
        <v>2123105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6</v>
      </c>
      <c r="M36" s="6" t="str">
        <f ca="1">IFERROR(VLOOKUP(IDNMaps[[#This Row],[Type]],RecordCount[],6,0)&amp;"-"&amp;IDNMaps[[#This Row],[Type Count]],"")</f>
        <v>Resource Lists-6</v>
      </c>
      <c r="N36" s="6" t="str">
        <f ca="1">IFERROR(VLOOKUP(IDNMaps[[#This Row],[Primary]],INDIRECT(VLOOKUP(IDNMaps[[#This Row],[Type]],RecordCount[],2,0)),VLOOKUP(IDNMaps[[#This Row],[Type]],RecordCount[],7,0),0),"")</f>
        <v>Employee/MyHubProviderList</v>
      </c>
      <c r="O36" s="6" t="str">
        <f ca="1">IF(IDNMaps[[#This Row],[Name]]="","","("&amp;IDNMaps[[#This Row],[Type]]&amp;") "&amp;IDNMaps[[#This Row],[Name]])</f>
        <v>(Lists) Employee/MyHubProviderList</v>
      </c>
      <c r="P36" s="6">
        <f ca="1">IFERROR(VLOOKUP(IDNMaps[[#This Row],[Primary]],INDIRECT(VLOOKUP(IDNMaps[[#This Row],[Type]],RecordCount[],2,0)),VLOOKUP(IDNMaps[[#This Row],[Type]],RecordCount[],8,0),0),"")</f>
        <v>2123106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7</v>
      </c>
      <c r="M37" s="6" t="str">
        <f ca="1">IFERROR(VLOOKUP(IDNMaps[[#This Row],[Type]],RecordCount[],6,0)&amp;"-"&amp;IDNMaps[[#This Row],[Type Count]],"")</f>
        <v>Resource Lists-7</v>
      </c>
      <c r="N37" s="6" t="str">
        <f ca="1">IFERROR(VLOOKUP(IDNMaps[[#This Row],[Primary]],INDIRECT(VLOOKUP(IDNMaps[[#This Row],[Type]],RecordCount[],2,0)),VLOOKUP(IDNMaps[[#This Row],[Type]],RecordCount[],7,0),0),"")</f>
        <v>Customer/CustomerList</v>
      </c>
      <c r="O37" s="6" t="str">
        <f ca="1">IF(IDNMaps[[#This Row],[Name]]="","","("&amp;IDNMaps[[#This Row],[Type]]&amp;") "&amp;IDNMaps[[#This Row],[Name]])</f>
        <v>(Lists) Customer/CustomerList</v>
      </c>
      <c r="P37" s="6">
        <f ca="1">IFERROR(VLOOKUP(IDNMaps[[#This Row],[Primary]],INDIRECT(VLOOKUP(IDNMaps[[#This Row],[Type]],RecordCount[],2,0)),VLOOKUP(IDNMaps[[#This Row],[Type]],RecordCount[],8,0),0),"")</f>
        <v>2123107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8</v>
      </c>
      <c r="M38" s="6" t="str">
        <f ca="1">IFERROR(VLOOKUP(IDNMaps[[#This Row],[Type]],RecordCount[],6,0)&amp;"-"&amp;IDNMaps[[#This Row],[Type Count]],"")</f>
        <v>Resource Lists-8</v>
      </c>
      <c r="N38" s="6" t="str">
        <f ca="1">IFERROR(VLOOKUP(IDNMaps[[#This Row],[Primary]],INDIRECT(VLOOKUP(IDNMaps[[#This Row],[Type]],RecordCount[],2,0)),VLOOKUP(IDNMaps[[#This Row],[Type]],RecordCount[],7,0),0),"")</f>
        <v>Hub/HubList</v>
      </c>
      <c r="O38" s="6" t="str">
        <f ca="1">IF(IDNMaps[[#This Row],[Name]]="","","("&amp;IDNMaps[[#This Row],[Type]]&amp;") "&amp;IDNMaps[[#This Row],[Name]])</f>
        <v>(Lists) Hub/HubList</v>
      </c>
      <c r="P38" s="6">
        <f ca="1">IFERROR(VLOOKUP(IDNMaps[[#This Row],[Primary]],INDIRECT(VLOOKUP(IDNMaps[[#This Row],[Type]],RecordCount[],2,0)),VLOOKUP(IDNMaps[[#This Row],[Type]],RecordCount[],8,0),0),"")</f>
        <v>2123108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9</v>
      </c>
      <c r="M39" s="6" t="str">
        <f ca="1">IFERROR(VLOOKUP(IDNMaps[[#This Row],[Type]],RecordCount[],6,0)&amp;"-"&amp;IDNMaps[[#This Row],[Type Count]],"")</f>
        <v>Resource Lists-9</v>
      </c>
      <c r="N39" s="6" t="str">
        <f ca="1">IFERROR(VLOOKUP(IDNMaps[[#This Row],[Primary]],INDIRECT(VLOOKUP(IDNMaps[[#This Row],[Type]],RecordCount[],2,0)),VLOOKUP(IDNMaps[[#This Row],[Type]],RecordCount[],7,0),0),"")</f>
        <v>Service/ServiceList</v>
      </c>
      <c r="O39" s="6" t="str">
        <f ca="1">IF(IDNMaps[[#This Row],[Name]]="","","("&amp;IDNMaps[[#This Row],[Type]]&amp;") "&amp;IDNMaps[[#This Row],[Name]])</f>
        <v>(Lists) Service/ServiceList</v>
      </c>
      <c r="P39" s="6">
        <f ca="1">IFERROR(VLOOKUP(IDNMaps[[#This Row],[Primary]],INDIRECT(VLOOKUP(IDNMaps[[#This Row],[Type]],RecordCount[],2,0)),VLOOKUP(IDNMaps[[#This Row],[Type]],RecordCount[],8,0),0),"")</f>
        <v>2123109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10</v>
      </c>
      <c r="M40" s="6" t="str">
        <f ca="1">IFERROR(VLOOKUP(IDNMaps[[#This Row],[Type]],RecordCount[],6,0)&amp;"-"&amp;IDNMaps[[#This Row],[Type Count]],"")</f>
        <v>Resource Lists-10</v>
      </c>
      <c r="N40" s="6" t="str">
        <f ca="1">IFERROR(VLOOKUP(IDNMaps[[#This Row],[Primary]],INDIRECT(VLOOKUP(IDNMaps[[#This Row],[Type]],RecordCount[],2,0)),VLOOKUP(IDNMaps[[#This Row],[Type]],RecordCount[],7,0),0),"")</f>
        <v>Item/ItemList</v>
      </c>
      <c r="O40" s="6" t="str">
        <f ca="1">IF(IDNMaps[[#This Row],[Name]]="","","("&amp;IDNMaps[[#This Row],[Type]]&amp;") "&amp;IDNMaps[[#This Row],[Name]])</f>
        <v>(Lists) Item/ItemList</v>
      </c>
      <c r="P40" s="6">
        <f ca="1">IFERROR(VLOOKUP(IDNMaps[[#This Row],[Primary]],INDIRECT(VLOOKUP(IDNMaps[[#This Row],[Type]],RecordCount[],2,0)),VLOOKUP(IDNMaps[[#This Row],[Type]],RecordCount[],8,0),0),"")</f>
        <v>2123110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11</v>
      </c>
      <c r="M41" s="6" t="str">
        <f ca="1">IFERROR(VLOOKUP(IDNMaps[[#This Row],[Type]],RecordCount[],6,0)&amp;"-"&amp;IDNMaps[[#This Row],[Type Count]],"")</f>
        <v>Resource Lists-11</v>
      </c>
      <c r="N41" s="6" t="str">
        <f ca="1">IFERROR(VLOOKUP(IDNMaps[[#This Row],[Primary]],INDIRECT(VLOOKUP(IDNMaps[[#This Row],[Type]],RecordCount[],2,0)),VLOOKUP(IDNMaps[[#This Row],[Type]],RecordCount[],7,0),0),"")</f>
        <v>Shelf/ShelveList</v>
      </c>
      <c r="O41" s="6" t="str">
        <f ca="1">IF(IDNMaps[[#This Row],[Name]]="","","("&amp;IDNMaps[[#This Row],[Type]]&amp;") "&amp;IDNMaps[[#This Row],[Name]])</f>
        <v>(Lists) Shelf/ShelveList</v>
      </c>
      <c r="P41" s="6">
        <f ca="1">IFERROR(VLOOKUP(IDNMaps[[#This Row],[Primary]],INDIRECT(VLOOKUP(IDNMaps[[#This Row],[Type]],RecordCount[],2,0)),VLOOKUP(IDNMaps[[#This Row],[Type]],RecordCount[],8,0),0),"")</f>
        <v>2123111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12</v>
      </c>
      <c r="M42" s="6" t="str">
        <f ca="1">IFERROR(VLOOKUP(IDNMaps[[#This Row],[Type]],RecordCount[],6,0)&amp;"-"&amp;IDNMaps[[#This Row],[Type Count]],"")</f>
        <v>Resource Lists-12</v>
      </c>
      <c r="N42" s="6" t="str">
        <f ca="1">IFERROR(VLOOKUP(IDNMaps[[#This Row],[Primary]],INDIRECT(VLOOKUP(IDNMaps[[#This Row],[Type]],RecordCount[],2,0)),VLOOKUP(IDNMaps[[#This Row],[Type]],RecordCount[],7,0),0),"")</f>
        <v>Pricelist/PriceList</v>
      </c>
      <c r="O42" s="6" t="str">
        <f ca="1">IF(IDNMaps[[#This Row],[Name]]="","","("&amp;IDNMaps[[#This Row],[Type]]&amp;") "&amp;IDNMaps[[#This Row],[Name]])</f>
        <v>(Lists) Pricelist/PriceList</v>
      </c>
      <c r="P42" s="6">
        <f ca="1">IFERROR(VLOOKUP(IDNMaps[[#This Row],[Primary]],INDIRECT(VLOOKUP(IDNMaps[[#This Row],[Type]],RecordCount[],2,0)),VLOOKUP(IDNMaps[[#This Row],[Type]],RecordCount[],8,0),0),"")</f>
        <v>2123112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13</v>
      </c>
      <c r="M43" s="6" t="str">
        <f ca="1">IFERROR(VLOOKUP(IDNMaps[[#This Row],[Type]],RecordCount[],6,0)&amp;"-"&amp;IDNMaps[[#This Row],[Type Count]],"")</f>
        <v>Resource Lists-13</v>
      </c>
      <c r="N43" s="6" t="str">
        <f ca="1">IFERROR(VLOOKUP(IDNMaps[[#This Row],[Primary]],INDIRECT(VLOOKUP(IDNMaps[[#This Row],[Type]],RecordCount[],2,0)),VLOOKUP(IDNMaps[[#This Row],[Type]],RecordCount[],7,0),0),"")</f>
        <v>IdentityLabel/IdentityLabelList</v>
      </c>
      <c r="O43" s="6" t="str">
        <f ca="1">IF(IDNMaps[[#This Row],[Name]]="","","("&amp;IDNMaps[[#This Row],[Type]]&amp;") "&amp;IDNMaps[[#This Row],[Name]])</f>
        <v>(Lists) IdentityLabel/IdentityLabelList</v>
      </c>
      <c r="P43" s="6">
        <f ca="1">IFERROR(VLOOKUP(IDNMaps[[#This Row],[Primary]],INDIRECT(VLOOKUP(IDNMaps[[#This Row],[Type]],RecordCount[],2,0)),VLOOKUP(IDNMaps[[#This Row],[Type]],RecordCount[],8,0),0),"")</f>
        <v>2123113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14</v>
      </c>
      <c r="M44" s="6" t="str">
        <f ca="1">IFERROR(VLOOKUP(IDNMaps[[#This Row],[Type]],RecordCount[],6,0)&amp;"-"&amp;IDNMaps[[#This Row],[Type Count]],"")</f>
        <v>Resource Lists-14</v>
      </c>
      <c r="N44" s="6" t="str">
        <f ca="1">IFERROR(VLOOKUP(IDNMaps[[#This Row],[Primary]],INDIRECT(VLOOKUP(IDNMaps[[#This Row],[Type]],RecordCount[],2,0)),VLOOKUP(IDNMaps[[#This Row],[Type]],RecordCount[],7,0),0),"")</f>
        <v>Order/OrderList</v>
      </c>
      <c r="O44" s="6" t="str">
        <f ca="1">IF(IDNMaps[[#This Row],[Name]]="","","("&amp;IDNMaps[[#This Row],[Type]]&amp;") "&amp;IDNMaps[[#This Row],[Name]])</f>
        <v>(Lists) Order/OrderList</v>
      </c>
      <c r="P44" s="6">
        <f ca="1">IFERROR(VLOOKUP(IDNMaps[[#This Row],[Primary]],INDIRECT(VLOOKUP(IDNMaps[[#This Row],[Type]],RecordCount[],2,0)),VLOOKUP(IDNMaps[[#This Row],[Type]],RecordCount[],8,0),0),"")</f>
        <v>2123114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15</v>
      </c>
      <c r="M45" s="6" t="str">
        <f ca="1">IFERROR(VLOOKUP(IDNMaps[[#This Row],[Type]],RecordCount[],6,0)&amp;"-"&amp;IDNMaps[[#This Row],[Type Count]],"")</f>
        <v>Resource Lists-15</v>
      </c>
      <c r="N45" s="6" t="str">
        <f ca="1">IFERROR(VLOOKUP(IDNMaps[[#This Row],[Primary]],INDIRECT(VLOOKUP(IDNMaps[[#This Row],[Type]],RecordCount[],2,0)),VLOOKUP(IDNMaps[[#This Row],[Type]],RecordCount[],7,0),0),"")</f>
        <v>Invoice/InvoiceList</v>
      </c>
      <c r="O45" s="6" t="str">
        <f ca="1">IF(IDNMaps[[#This Row],[Name]]="","","("&amp;IDNMaps[[#This Row],[Type]]&amp;") "&amp;IDNMaps[[#This Row],[Name]])</f>
        <v>(Lists) Invoice/InvoiceList</v>
      </c>
      <c r="P45" s="6">
        <f ca="1">IFERROR(VLOOKUP(IDNMaps[[#This Row],[Primary]],INDIRECT(VLOOKUP(IDNMaps[[#This Row],[Type]],RecordCount[],2,0)),VLOOKUP(IDNMaps[[#This Row],[Type]],RecordCount[],8,0),0),"")</f>
        <v>2123115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6" s="6">
        <f ca="1">IF(IDNMaps[[#This Row],[Type]]="","",COUNTIF($K$1:IDNMaps[[#This Row],[Type]],IDNMaps[[#This Row],[Type]]))</f>
        <v>16</v>
      </c>
      <c r="M46" s="6" t="str">
        <f ca="1">IFERROR(VLOOKUP(IDNMaps[[#This Row],[Type]],RecordCount[],6,0)&amp;"-"&amp;IDNMaps[[#This Row],[Type Count]],"")</f>
        <v>Resource Lists-16</v>
      </c>
      <c r="N46" s="6" t="str">
        <f ca="1">IFERROR(VLOOKUP(IDNMaps[[#This Row],[Primary]],INDIRECT(VLOOKUP(IDNMaps[[#This Row],[Type]],RecordCount[],2,0)),VLOOKUP(IDNMaps[[#This Row],[Type]],RecordCount[],7,0),0),"")</f>
        <v>Receipt/ReceiptList</v>
      </c>
      <c r="O46" s="6" t="str">
        <f ca="1">IF(IDNMaps[[#This Row],[Name]]="","","("&amp;IDNMaps[[#This Row],[Type]]&amp;") "&amp;IDNMaps[[#This Row],[Name]])</f>
        <v>(Lists) Receipt/ReceiptList</v>
      </c>
      <c r="P46" s="6">
        <f ca="1">IFERROR(VLOOKUP(IDNMaps[[#This Row],[Primary]],INDIRECT(VLOOKUP(IDNMaps[[#This Row],[Type]],RecordCount[],2,0)),VLOOKUP(IDNMaps[[#This Row],[Type]],RecordCount[],8,0),0),"")</f>
        <v>2123116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7" s="6">
        <f ca="1">IF(IDNMaps[[#This Row],[Type]]="","",COUNTIF($K$1:IDNMaps[[#This Row],[Type]],IDNMaps[[#This Row],[Type]]))</f>
        <v>17</v>
      </c>
      <c r="M47" s="6" t="str">
        <f ca="1">IFERROR(VLOOKUP(IDNMaps[[#This Row],[Type]],RecordCount[],6,0)&amp;"-"&amp;IDNMaps[[#This Row],[Type Count]],"")</f>
        <v>Resource Lists-17</v>
      </c>
      <c r="N47" s="6" t="str">
        <f ca="1">IFERROR(VLOOKUP(IDNMaps[[#This Row],[Primary]],INDIRECT(VLOOKUP(IDNMaps[[#This Row],[Type]],RecordCount[],2,0)),VLOOKUP(IDNMaps[[#This Row],[Type]],RecordCount[],7,0),0),"")</f>
        <v>Delivery/DeliveryList</v>
      </c>
      <c r="O47" s="6" t="str">
        <f ca="1">IF(IDNMaps[[#This Row],[Name]]="","","("&amp;IDNMaps[[#This Row],[Type]]&amp;") "&amp;IDNMaps[[#This Row],[Name]])</f>
        <v>(Lists) Delivery/DeliveryList</v>
      </c>
      <c r="P47" s="6">
        <f ca="1">IFERROR(VLOOKUP(IDNMaps[[#This Row],[Primary]],INDIRECT(VLOOKUP(IDNMaps[[#This Row],[Type]],RecordCount[],2,0)),VLOOKUP(IDNMaps[[#This Row],[Type]],RecordCount[],8,0),0),"")</f>
        <v>2123117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8" s="6">
        <f ca="1">IF(IDNMaps[[#This Row],[Type]]="","",COUNTIF($K$1:IDNMaps[[#This Row],[Type]],IDNMaps[[#This Row],[Type]]))</f>
        <v>18</v>
      </c>
      <c r="M48" s="6" t="str">
        <f ca="1">IFERROR(VLOOKUP(IDNMaps[[#This Row],[Type]],RecordCount[],6,0)&amp;"-"&amp;IDNMaps[[#This Row],[Type Count]],"")</f>
        <v>Resource Lists-18</v>
      </c>
      <c r="N48" s="6" t="str">
        <f ca="1">IFERROR(VLOOKUP(IDNMaps[[#This Row],[Primary]],INDIRECT(VLOOKUP(IDNMaps[[#This Row],[Type]],RecordCount[],2,0)),VLOOKUP(IDNMaps[[#This Row],[Type]],RecordCount[],7,0),0),"")</f>
        <v>HubShift/HubShiftList</v>
      </c>
      <c r="O48" s="6" t="str">
        <f ca="1">IF(IDNMaps[[#This Row],[Name]]="","","("&amp;IDNMaps[[#This Row],[Type]]&amp;") "&amp;IDNMaps[[#This Row],[Name]])</f>
        <v>(Lists) HubShift/HubShiftList</v>
      </c>
      <c r="P48" s="6">
        <f ca="1">IFERROR(VLOOKUP(IDNMaps[[#This Row],[Primary]],INDIRECT(VLOOKUP(IDNMaps[[#This Row],[Type]],RecordCount[],2,0)),VLOOKUP(IDNMaps[[#This Row],[Type]],RecordCount[],8,0),0),"")</f>
        <v>2123118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9" s="6">
        <f ca="1">IF(IDNMaps[[#This Row],[Type]]="","",COUNTIF($K$1:IDNMaps[[#This Row],[Type]],IDNMaps[[#This Row],[Type]]))</f>
        <v>19</v>
      </c>
      <c r="M49" s="6" t="str">
        <f ca="1">IFERROR(VLOOKUP(IDNMaps[[#This Row],[Type]],RecordCount[],6,0)&amp;"-"&amp;IDNMaps[[#This Row],[Type Count]],"")</f>
        <v>Resource Lists-19</v>
      </c>
      <c r="N49" s="6" t="str">
        <f ca="1">IFERROR(VLOOKUP(IDNMaps[[#This Row],[Primary]],INDIRECT(VLOOKUP(IDNMaps[[#This Row],[Type]],RecordCount[],2,0)),VLOOKUP(IDNMaps[[#This Row],[Type]],RecordCount[],7,0),0),"")</f>
        <v>PricelistContent/PLContentsList</v>
      </c>
      <c r="O49" s="6" t="str">
        <f ca="1">IF(IDNMaps[[#This Row],[Name]]="","","("&amp;IDNMaps[[#This Row],[Type]]&amp;") "&amp;IDNMaps[[#This Row],[Name]])</f>
        <v>(Lists) PricelistContent/PLContentsList</v>
      </c>
      <c r="P49" s="6">
        <f ca="1">IFERROR(VLOOKUP(IDNMaps[[#This Row],[Primary]],INDIRECT(VLOOKUP(IDNMaps[[#This Row],[Type]],RecordCount[],2,0)),VLOOKUP(IDNMaps[[#This Row],[Type]],RecordCount[],8,0),0),"")</f>
        <v>2123119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0" s="6">
        <f ca="1">IF(IDNMaps[[#This Row],[Type]]="","",COUNTIF($K$1:IDNMaps[[#This Row],[Type]],IDNMaps[[#This Row],[Type]]))</f>
        <v>20</v>
      </c>
      <c r="M50" s="6" t="str">
        <f ca="1">IFERROR(VLOOKUP(IDNMaps[[#This Row],[Type]],RecordCount[],6,0)&amp;"-"&amp;IDNMaps[[#This Row],[Type Count]],"")</f>
        <v>Resource Lists-20</v>
      </c>
      <c r="N50" s="6" t="str">
        <f ca="1">IFERROR(VLOOKUP(IDNMaps[[#This Row],[Primary]],INDIRECT(VLOOKUP(IDNMaps[[#This Row],[Type]],RecordCount[],2,0)),VLOOKUP(IDNMaps[[#This Row],[Type]],RecordCount[],7,0),0),"")</f>
        <v>ItemService/ItemServiceList</v>
      </c>
      <c r="O50" s="6" t="str">
        <f ca="1">IF(IDNMaps[[#This Row],[Name]]="","","("&amp;IDNMaps[[#This Row],[Type]]&amp;") "&amp;IDNMaps[[#This Row],[Name]])</f>
        <v>(Lists) ItemService/ItemServiceList</v>
      </c>
      <c r="P50" s="6">
        <f ca="1">IFERROR(VLOOKUP(IDNMaps[[#This Row],[Primary]],INDIRECT(VLOOKUP(IDNMaps[[#This Row],[Type]],RecordCount[],2,0)),VLOOKUP(IDNMaps[[#This Row],[Type]],RecordCount[],8,0),0),"")</f>
        <v>2123120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1" s="6">
        <f ca="1">IF(IDNMaps[[#This Row],[Type]]="","",COUNTIF($K$1:IDNMaps[[#This Row],[Type]],IDNMaps[[#This Row],[Type]]))</f>
        <v>21</v>
      </c>
      <c r="M51" s="6" t="str">
        <f ca="1">IFERROR(VLOOKUP(IDNMaps[[#This Row],[Type]],RecordCount[],6,0)&amp;"-"&amp;IDNMaps[[#This Row],[Type Count]],"")</f>
        <v>Resource Lists-21</v>
      </c>
      <c r="N51" s="6" t="str">
        <f ca="1">IFERROR(VLOOKUP(IDNMaps[[#This Row],[Primary]],INDIRECT(VLOOKUP(IDNMaps[[#This Row],[Type]],RecordCount[],2,0)),VLOOKUP(IDNMaps[[#This Row],[Type]],RecordCount[],7,0),0),"")</f>
        <v>OrderItem/OrderItemsList</v>
      </c>
      <c r="O51" s="6" t="str">
        <f ca="1">IF(IDNMaps[[#This Row],[Name]]="","","("&amp;IDNMaps[[#This Row],[Type]]&amp;") "&amp;IDNMaps[[#This Row],[Name]])</f>
        <v>(Lists) OrderItem/OrderItemsList</v>
      </c>
      <c r="P51" s="6">
        <f ca="1">IFERROR(VLOOKUP(IDNMaps[[#This Row],[Primary]],INDIRECT(VLOOKUP(IDNMaps[[#This Row],[Type]],RecordCount[],2,0)),VLOOKUP(IDNMaps[[#This Row],[Type]],RecordCount[],8,0),0),"")</f>
        <v>2123121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2" s="6">
        <f ca="1">IF(IDNMaps[[#This Row],[Type]]="","",COUNTIF($K$1:IDNMaps[[#This Row],[Type]],IDNMaps[[#This Row],[Type]]))</f>
        <v>22</v>
      </c>
      <c r="M52" s="6" t="str">
        <f ca="1">IFERROR(VLOOKUP(IDNMaps[[#This Row],[Type]],RecordCount[],6,0)&amp;"-"&amp;IDNMaps[[#This Row],[Type Count]],"")</f>
        <v>Resource Lists-22</v>
      </c>
      <c r="N52" s="6" t="str">
        <f ca="1">IFERROR(VLOOKUP(IDNMaps[[#This Row],[Primary]],INDIRECT(VLOOKUP(IDNMaps[[#This Row],[Type]],RecordCount[],2,0)),VLOOKUP(IDNMaps[[#This Row],[Type]],RecordCount[],7,0),0),"")</f>
        <v>OrderItemService/OISList</v>
      </c>
      <c r="O52" s="6" t="str">
        <f ca="1">IF(IDNMaps[[#This Row],[Name]]="","","("&amp;IDNMaps[[#This Row],[Type]]&amp;") "&amp;IDNMaps[[#This Row],[Name]])</f>
        <v>(Lists) OrderItemService/OISList</v>
      </c>
      <c r="P52" s="6">
        <f ca="1">IFERROR(VLOOKUP(IDNMaps[[#This Row],[Primary]],INDIRECT(VLOOKUP(IDNMaps[[#This Row],[Type]],RecordCount[],2,0)),VLOOKUP(IDNMaps[[#This Row],[Type]],RecordCount[],8,0),0),"")</f>
        <v>2123122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3" s="6">
        <f ca="1">IF(IDNMaps[[#This Row],[Type]]="","",COUNTIF($K$1:IDNMaps[[#This Row],[Type]],IDNMaps[[#This Row],[Type]]))</f>
        <v>23</v>
      </c>
      <c r="M53" s="6" t="str">
        <f ca="1">IFERROR(VLOOKUP(IDNMaps[[#This Row],[Type]],RecordCount[],6,0)&amp;"-"&amp;IDNMaps[[#This Row],[Type Count]],"")</f>
        <v>Resource Lists-23</v>
      </c>
      <c r="N53" s="6" t="str">
        <f ca="1">IFERROR(VLOOKUP(IDNMaps[[#This Row],[Primary]],INDIRECT(VLOOKUP(IDNMaps[[#This Row],[Type]],RecordCount[],2,0)),VLOOKUP(IDNMaps[[#This Row],[Type]],RecordCount[],7,0),0),"")</f>
        <v>OrderItemServiceUser/OISUList</v>
      </c>
      <c r="O53" s="6" t="str">
        <f ca="1">IF(IDNMaps[[#This Row],[Name]]="","","("&amp;IDNMaps[[#This Row],[Type]]&amp;") "&amp;IDNMaps[[#This Row],[Name]])</f>
        <v>(Lists) OrderItemServiceUser/OISUList</v>
      </c>
      <c r="P53" s="6">
        <f ca="1">IFERROR(VLOOKUP(IDNMaps[[#This Row],[Primary]],INDIRECT(VLOOKUP(IDNMaps[[#This Row],[Type]],RecordCount[],2,0)),VLOOKUP(IDNMaps[[#This Row],[Type]],RecordCount[],8,0),0),"")</f>
        <v>2123123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4" s="6">
        <f ca="1">IF(IDNMaps[[#This Row],[Type]]="","",COUNTIF($K$1:IDNMaps[[#This Row],[Type]],IDNMaps[[#This Row],[Type]]))</f>
        <v>24</v>
      </c>
      <c r="M54" s="6" t="str">
        <f ca="1">IFERROR(VLOOKUP(IDNMaps[[#This Row],[Type]],RecordCount[],6,0)&amp;"-"&amp;IDNMaps[[#This Row],[Type Count]],"")</f>
        <v>Resource Lists-24</v>
      </c>
      <c r="N54" s="6" t="str">
        <f ca="1">IFERROR(VLOOKUP(IDNMaps[[#This Row],[Primary]],INDIRECT(VLOOKUP(IDNMaps[[#This Row],[Type]],RecordCount[],2,0)),VLOOKUP(IDNMaps[[#This Row],[Type]],RecordCount[],7,0),0),"")</f>
        <v>IdentityLabel/AvailableLabelsList</v>
      </c>
      <c r="O54" s="6" t="str">
        <f ca="1">IF(IDNMaps[[#This Row],[Name]]="","","("&amp;IDNMaps[[#This Row],[Type]]&amp;") "&amp;IDNMaps[[#This Row],[Name]])</f>
        <v>(Lists) IdentityLabel/AvailableLabelsList</v>
      </c>
      <c r="P54" s="6">
        <f ca="1">IFERROR(VLOOKUP(IDNMaps[[#This Row],[Primary]],INDIRECT(VLOOKUP(IDNMaps[[#This Row],[Type]],RecordCount[],2,0)),VLOOKUP(IDNMaps[[#This Row],[Type]],RecordCount[],8,0),0),"")</f>
        <v>2123124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5" s="6">
        <f ca="1">IF(IDNMaps[[#This Row],[Type]]="","",COUNTIF($K$1:IDNMaps[[#This Row],[Type]],IDNMaps[[#This Row],[Type]]))</f>
        <v>25</v>
      </c>
      <c r="M55" s="6" t="str">
        <f ca="1">IFERROR(VLOOKUP(IDNMaps[[#This Row],[Type]],RecordCount[],6,0)&amp;"-"&amp;IDNMaps[[#This Row],[Type Count]],"")</f>
        <v>Resource Lists-25</v>
      </c>
      <c r="N55" s="6" t="str">
        <f ca="1">IFERROR(VLOOKUP(IDNMaps[[#This Row],[Primary]],INDIRECT(VLOOKUP(IDNMaps[[#This Row],[Type]],RecordCount[],2,0)),VLOOKUP(IDNMaps[[#This Row],[Type]],RecordCount[],7,0),0),"")</f>
        <v>Order/RecentOrderList</v>
      </c>
      <c r="O55" s="6" t="str">
        <f ca="1">IF(IDNMaps[[#This Row],[Name]]="","","("&amp;IDNMaps[[#This Row],[Type]]&amp;") "&amp;IDNMaps[[#This Row],[Name]])</f>
        <v>(Lists) Order/RecentOrderList</v>
      </c>
      <c r="P55" s="6">
        <f ca="1">IFERROR(VLOOKUP(IDNMaps[[#This Row],[Primary]],INDIRECT(VLOOKUP(IDNMaps[[#This Row],[Type]],RecordCount[],2,0)),VLOOKUP(IDNMaps[[#This Row],[Type]],RecordCount[],8,0),0),"")</f>
        <v>2123125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6" s="6">
        <f ca="1">IF(IDNMaps[[#This Row],[Type]]="","",COUNTIF($K$1:IDNMaps[[#This Row],[Type]],IDNMaps[[#This Row],[Type]]))</f>
        <v>26</v>
      </c>
      <c r="M56" s="6" t="str">
        <f ca="1">IFERROR(VLOOKUP(IDNMaps[[#This Row],[Type]],RecordCount[],6,0)&amp;"-"&amp;IDNMaps[[#This Row],[Type Count]],"")</f>
        <v>Resource Lists-26</v>
      </c>
      <c r="N56" s="6" t="str">
        <f ca="1">IFERROR(VLOOKUP(IDNMaps[[#This Row],[Primary]],INDIRECT(VLOOKUP(IDNMaps[[#This Row],[Type]],RecordCount[],2,0)),VLOOKUP(IDNMaps[[#This Row],[Type]],RecordCount[],7,0),0),"")</f>
        <v>InvoiceItem/InvoiceItemsList</v>
      </c>
      <c r="O56" s="6" t="str">
        <f ca="1">IF(IDNMaps[[#This Row],[Name]]="","","("&amp;IDNMaps[[#This Row],[Type]]&amp;") "&amp;IDNMaps[[#This Row],[Name]])</f>
        <v>(Lists) InvoiceItem/InvoiceItemsList</v>
      </c>
      <c r="P56" s="6">
        <f ca="1">IFERROR(VLOOKUP(IDNMaps[[#This Row],[Primary]],INDIRECT(VLOOKUP(IDNMaps[[#This Row],[Type]],RecordCount[],2,0)),VLOOKUP(IDNMaps[[#This Row],[Type]],RecordCount[],8,0),0),"")</f>
        <v>2123126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7" s="6">
        <f ca="1">IF(IDNMaps[[#This Row],[Type]]="","",COUNTIF($K$1:IDNMaps[[#This Row],[Type]],IDNMaps[[#This Row],[Type]]))</f>
        <v>27</v>
      </c>
      <c r="M57" s="6" t="str">
        <f ca="1">IFERROR(VLOOKUP(IDNMaps[[#This Row],[Type]],RecordCount[],6,0)&amp;"-"&amp;IDNMaps[[#This Row],[Type Count]],"")</f>
        <v>Resource Lists-27</v>
      </c>
      <c r="N57" s="6" t="str">
        <f ca="1">IFERROR(VLOOKUP(IDNMaps[[#This Row],[Primary]],INDIRECT(VLOOKUP(IDNMaps[[#This Row],[Type]],RecordCount[],2,0)),VLOOKUP(IDNMaps[[#This Row],[Type]],RecordCount[],7,0),0),"")</f>
        <v>Invoice/PendingInvoiceList</v>
      </c>
      <c r="O57" s="6" t="str">
        <f ca="1">IF(IDNMaps[[#This Row],[Name]]="","","("&amp;IDNMaps[[#This Row],[Type]]&amp;") "&amp;IDNMaps[[#This Row],[Name]])</f>
        <v>(Lists) Invoice/PendingInvoiceList</v>
      </c>
      <c r="P57" s="6">
        <f ca="1">IFERROR(VLOOKUP(IDNMaps[[#This Row],[Primary]],INDIRECT(VLOOKUP(IDNMaps[[#This Row],[Type]],RecordCount[],2,0)),VLOOKUP(IDNMaps[[#This Row],[Type]],RecordCount[],8,0),0),"")</f>
        <v>2123127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8" s="6">
        <f ca="1">IF(IDNMaps[[#This Row],[Type]]="","",COUNTIF($K$1:IDNMaps[[#This Row],[Type]],IDNMaps[[#This Row],[Type]]))</f>
        <v>28</v>
      </c>
      <c r="M58" s="6" t="str">
        <f ca="1">IFERROR(VLOOKUP(IDNMaps[[#This Row],[Type]],RecordCount[],6,0)&amp;"-"&amp;IDNMaps[[#This Row],[Type Count]],"")</f>
        <v>Resource Lists-28</v>
      </c>
      <c r="N58" s="6" t="str">
        <f ca="1">IFERROR(VLOOKUP(IDNMaps[[#This Row],[Primary]],INDIRECT(VLOOKUP(IDNMaps[[#This Row],[Type]],RecordCount[],2,0)),VLOOKUP(IDNMaps[[#This Row],[Type]],RecordCount[],7,0),0),"")</f>
        <v>Invoice/PaidInvoiceList</v>
      </c>
      <c r="O58" s="6" t="str">
        <f ca="1">IF(IDNMaps[[#This Row],[Name]]="","","("&amp;IDNMaps[[#This Row],[Type]]&amp;") "&amp;IDNMaps[[#This Row],[Name]])</f>
        <v>(Lists) Invoice/PaidInvoiceList</v>
      </c>
      <c r="P58" s="6">
        <f ca="1">IFERROR(VLOOKUP(IDNMaps[[#This Row],[Primary]],INDIRECT(VLOOKUP(IDNMaps[[#This Row],[Type]],RecordCount[],2,0)),VLOOKUP(IDNMaps[[#This Row],[Type]],RecordCount[],8,0),0),"")</f>
        <v>2123128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9" s="6">
        <f ca="1">IF(IDNMaps[[#This Row],[Type]]="","",COUNTIF($K$1:IDNMaps[[#This Row],[Type]],IDNMaps[[#This Row],[Type]]))</f>
        <v>29</v>
      </c>
      <c r="M59" s="6" t="str">
        <f ca="1">IFERROR(VLOOKUP(IDNMaps[[#This Row],[Type]],RecordCount[],6,0)&amp;"-"&amp;IDNMaps[[#This Row],[Type Count]],"")</f>
        <v>Resource Lists-29</v>
      </c>
      <c r="N59" s="6" t="str">
        <f ca="1">IFERROR(VLOOKUP(IDNMaps[[#This Row],[Primary]],INDIRECT(VLOOKUP(IDNMaps[[#This Row],[Type]],RecordCount[],2,0)),VLOOKUP(IDNMaps[[#This Row],[Type]],RecordCount[],7,0),0),"")</f>
        <v>Hub/OwnHubList</v>
      </c>
      <c r="O59" s="6" t="str">
        <f ca="1">IF(IDNMaps[[#This Row],[Name]]="","","("&amp;IDNMaps[[#This Row],[Type]]&amp;") "&amp;IDNMaps[[#This Row],[Name]])</f>
        <v>(Lists) Hub/OwnHubList</v>
      </c>
      <c r="P59" s="6">
        <f ca="1">IFERROR(VLOOKUP(IDNMaps[[#This Row],[Primary]],INDIRECT(VLOOKUP(IDNMaps[[#This Row],[Type]],RecordCount[],2,0)),VLOOKUP(IDNMaps[[#This Row],[Type]],RecordCount[],8,0),0),"")</f>
        <v>2123129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0" s="6">
        <f ca="1">IF(IDNMaps[[#This Row],[Type]]="","",COUNTIF($K$1:IDNMaps[[#This Row],[Type]],IDNMaps[[#This Row],[Type]]))</f>
        <v>30</v>
      </c>
      <c r="M60" s="6" t="str">
        <f ca="1">IFERROR(VLOOKUP(IDNMaps[[#This Row],[Type]],RecordCount[],6,0)&amp;"-"&amp;IDNMaps[[#This Row],[Type Count]],"")</f>
        <v>Resource Lists-30</v>
      </c>
      <c r="N60" s="6" t="str">
        <f ca="1">IFERROR(VLOOKUP(IDNMaps[[#This Row],[Primary]],INDIRECT(VLOOKUP(IDNMaps[[#This Row],[Type]],RecordCount[],2,0)),VLOOKUP(IDNMaps[[#This Row],[Type]],RecordCount[],7,0),0),"")</f>
        <v>OrderItem/OwnHubOrderItems</v>
      </c>
      <c r="O60" s="6" t="str">
        <f ca="1">IF(IDNMaps[[#This Row],[Name]]="","","("&amp;IDNMaps[[#This Row],[Type]]&amp;") "&amp;IDNMaps[[#This Row],[Name]])</f>
        <v>(Lists) OrderItem/OwnHubOrderItems</v>
      </c>
      <c r="P60" s="6">
        <f ca="1">IFERROR(VLOOKUP(IDNMaps[[#This Row],[Primary]],INDIRECT(VLOOKUP(IDNMaps[[#This Row],[Type]],RecordCount[],2,0)),VLOOKUP(IDNMaps[[#This Row],[Type]],RecordCount[],8,0),0),"")</f>
        <v>2123130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1" s="6">
        <f ca="1">IF(IDNMaps[[#This Row],[Type]]="","",COUNTIF($K$1:IDNMaps[[#This Row],[Type]],IDNMaps[[#This Row],[Type]]))</f>
        <v>31</v>
      </c>
      <c r="M61" s="6" t="str">
        <f ca="1">IFERROR(VLOOKUP(IDNMaps[[#This Row],[Type]],RecordCount[],6,0)&amp;"-"&amp;IDNMaps[[#This Row],[Type Count]],"")</f>
        <v>Resource Lists-31</v>
      </c>
      <c r="N61" s="6" t="str">
        <f ca="1">IFERROR(VLOOKUP(IDNMaps[[#This Row],[Primary]],INDIRECT(VLOOKUP(IDNMaps[[#This Row],[Type]],RecordCount[],2,0)),VLOOKUP(IDNMaps[[#This Row],[Type]],RecordCount[],7,0),0),"")</f>
        <v>Order/OwnHubOrders</v>
      </c>
      <c r="O61" s="6" t="str">
        <f ca="1">IF(IDNMaps[[#This Row],[Name]]="","","("&amp;IDNMaps[[#This Row],[Type]]&amp;") "&amp;IDNMaps[[#This Row],[Name]])</f>
        <v>(Lists) Order/OwnHubOrders</v>
      </c>
      <c r="P61" s="6">
        <f ca="1">IFERROR(VLOOKUP(IDNMaps[[#This Row],[Primary]],INDIRECT(VLOOKUP(IDNMaps[[#This Row],[Type]],RecordCount[],2,0)),VLOOKUP(IDNMaps[[#This Row],[Type]],RecordCount[],8,0),0),"")</f>
        <v>2123131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2" s="6">
        <f ca="1">IF(IDNMaps[[#This Row],[Type]]="","",COUNTIF($K$1:IDNMaps[[#This Row],[Type]],IDNMaps[[#This Row],[Type]]))</f>
        <v>32</v>
      </c>
      <c r="M62" s="6" t="str">
        <f ca="1">IFERROR(VLOOKUP(IDNMaps[[#This Row],[Type]],RecordCount[],6,0)&amp;"-"&amp;IDNMaps[[#This Row],[Type Count]],"")</f>
        <v>Resource Lists-32</v>
      </c>
      <c r="N62" s="6" t="str">
        <f ca="1">IFERROR(VLOOKUP(IDNMaps[[#This Row],[Primary]],INDIRECT(VLOOKUP(IDNMaps[[#This Row],[Type]],RecordCount[],2,0)),VLOOKUP(IDNMaps[[#This Row],[Type]],RecordCount[],7,0),0),"")</f>
        <v>OrderItemService/OwnHubOISList</v>
      </c>
      <c r="O62" s="6" t="str">
        <f ca="1">IF(IDNMaps[[#This Row],[Name]]="","","("&amp;IDNMaps[[#This Row],[Type]]&amp;") "&amp;IDNMaps[[#This Row],[Name]])</f>
        <v>(Lists) OrderItemService/OwnHubOISList</v>
      </c>
      <c r="P62" s="6">
        <f ca="1">IFERROR(VLOOKUP(IDNMaps[[#This Row],[Primary]],INDIRECT(VLOOKUP(IDNMaps[[#This Row],[Type]],RecordCount[],2,0)),VLOOKUP(IDNMaps[[#This Row],[Type]],RecordCount[],8,0),0),"")</f>
        <v>2123132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3" s="6">
        <f ca="1">IF(IDNMaps[[#This Row],[Type]]="","",COUNTIF($K$1:IDNMaps[[#This Row],[Type]],IDNMaps[[#This Row],[Type]]))</f>
        <v>33</v>
      </c>
      <c r="M63" s="6" t="str">
        <f ca="1">IFERROR(VLOOKUP(IDNMaps[[#This Row],[Type]],RecordCount[],6,0)&amp;"-"&amp;IDNMaps[[#This Row],[Type Count]],"")</f>
        <v>Resource Lists-33</v>
      </c>
      <c r="N63" s="6" t="str">
        <f ca="1">IFERROR(VLOOKUP(IDNMaps[[#This Row],[Primary]],INDIRECT(VLOOKUP(IDNMaps[[#This Row],[Type]],RecordCount[],2,0)),VLOOKUP(IDNMaps[[#This Row],[Type]],RecordCount[],7,0),0),"")</f>
        <v>OrderItemServiceUser/OwnHubOISUList</v>
      </c>
      <c r="O63" s="6" t="str">
        <f ca="1">IF(IDNMaps[[#This Row],[Name]]="","","("&amp;IDNMaps[[#This Row],[Type]]&amp;") "&amp;IDNMaps[[#This Row],[Name]])</f>
        <v>(Lists) OrderItemServiceUser/OwnHubOISUList</v>
      </c>
      <c r="P63" s="6">
        <f ca="1">IFERROR(VLOOKUP(IDNMaps[[#This Row],[Primary]],INDIRECT(VLOOKUP(IDNMaps[[#This Row],[Type]],RecordCount[],2,0)),VLOOKUP(IDNMaps[[#This Row],[Type]],RecordCount[],8,0),0),"")</f>
        <v>2123133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4" s="6">
        <f ca="1">IF(IDNMaps[[#This Row],[Type]]="","",COUNTIF($K$1:IDNMaps[[#This Row],[Type]],IDNMaps[[#This Row],[Type]]))</f>
        <v>34</v>
      </c>
      <c r="M64" s="6" t="str">
        <f ca="1">IFERROR(VLOOKUP(IDNMaps[[#This Row],[Type]],RecordCount[],6,0)&amp;"-"&amp;IDNMaps[[#This Row],[Type Count]],"")</f>
        <v>Resource Lists-34</v>
      </c>
      <c r="N64" s="6" t="str">
        <f ca="1">IFERROR(VLOOKUP(IDNMaps[[#This Row],[Primary]],INDIRECT(VLOOKUP(IDNMaps[[#This Row],[Type]],RecordCount[],2,0)),VLOOKUP(IDNMaps[[#This Row],[Type]],RecordCount[],7,0),0),"")</f>
        <v>OrderItemServiceUser/MyJobs</v>
      </c>
      <c r="O64" s="6" t="str">
        <f ca="1">IF(IDNMaps[[#This Row],[Name]]="","","("&amp;IDNMaps[[#This Row],[Type]]&amp;") "&amp;IDNMaps[[#This Row],[Name]])</f>
        <v>(Lists) OrderItemServiceUser/MyJobs</v>
      </c>
      <c r="P64" s="6">
        <f ca="1">IFERROR(VLOOKUP(IDNMaps[[#This Row],[Primary]],INDIRECT(VLOOKUP(IDNMaps[[#This Row],[Type]],RecordCount[],2,0)),VLOOKUP(IDNMaps[[#This Row],[Type]],RecordCount[],8,0),0),"")</f>
        <v>2123134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5" s="6">
        <f ca="1">IF(IDNMaps[[#This Row],[Type]]="","",COUNTIF($K$1:IDNMaps[[#This Row],[Type]],IDNMaps[[#This Row],[Type]]))</f>
        <v>35</v>
      </c>
      <c r="M65" s="6" t="str">
        <f ca="1">IFERROR(VLOOKUP(IDNMaps[[#This Row],[Type]],RecordCount[],6,0)&amp;"-"&amp;IDNMaps[[#This Row],[Type Count]],"")</f>
        <v>Resource Lists-35</v>
      </c>
      <c r="N65" s="6" t="str">
        <f ca="1">IFERROR(VLOOKUP(IDNMaps[[#This Row],[Primary]],INDIRECT(VLOOKUP(IDNMaps[[#This Row],[Type]],RecordCount[],2,0)),VLOOKUP(IDNMaps[[#This Row],[Type]],RecordCount[],7,0),0),"")</f>
        <v>OrderItemServiceUser/NewJobsList</v>
      </c>
      <c r="O65" s="6" t="str">
        <f ca="1">IF(IDNMaps[[#This Row],[Name]]="","","("&amp;IDNMaps[[#This Row],[Type]]&amp;") "&amp;IDNMaps[[#This Row],[Name]])</f>
        <v>(Lists) OrderItemServiceUser/NewJobsList</v>
      </c>
      <c r="P65" s="6">
        <f ca="1">IFERROR(VLOOKUP(IDNMaps[[#This Row],[Primary]],INDIRECT(VLOOKUP(IDNMaps[[#This Row],[Type]],RecordCount[],2,0)),VLOOKUP(IDNMaps[[#This Row],[Type]],RecordCount[],8,0),0),"")</f>
        <v>2123135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6" s="6">
        <f ca="1">IF(IDNMaps[[#This Row],[Type]]="","",COUNTIF($K$1:IDNMaps[[#This Row],[Type]],IDNMaps[[#This Row],[Type]]))</f>
        <v>36</v>
      </c>
      <c r="M66" s="6" t="str">
        <f ca="1">IFERROR(VLOOKUP(IDNMaps[[#This Row],[Type]],RecordCount[],6,0)&amp;"-"&amp;IDNMaps[[#This Row],[Type Count]],"")</f>
        <v>Resource Lists-36</v>
      </c>
      <c r="N66" s="6" t="str">
        <f ca="1">IFERROR(VLOOKUP(IDNMaps[[#This Row],[Primary]],INDIRECT(VLOOKUP(IDNMaps[[#This Row],[Type]],RecordCount[],2,0)),VLOOKUP(IDNMaps[[#This Row],[Type]],RecordCount[],7,0),0),"")</f>
        <v>OrderItemServiceUser/ServicingJobsList</v>
      </c>
      <c r="O66" s="6" t="str">
        <f ca="1">IF(IDNMaps[[#This Row],[Name]]="","","("&amp;IDNMaps[[#This Row],[Type]]&amp;") "&amp;IDNMaps[[#This Row],[Name]])</f>
        <v>(Lists) OrderItemServiceUser/ServicingJobsList</v>
      </c>
      <c r="P66" s="6">
        <f ca="1">IFERROR(VLOOKUP(IDNMaps[[#This Row],[Primary]],INDIRECT(VLOOKUP(IDNMaps[[#This Row],[Type]],RecordCount[],2,0)),VLOOKUP(IDNMaps[[#This Row],[Type]],RecordCount[],8,0),0),"")</f>
        <v>2123136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7" s="6">
        <f ca="1">IF(IDNMaps[[#This Row],[Type]]="","",COUNTIF($K$1:IDNMaps[[#This Row],[Type]],IDNMaps[[#This Row],[Type]]))</f>
        <v>37</v>
      </c>
      <c r="M67" s="6" t="str">
        <f ca="1">IFERROR(VLOOKUP(IDNMaps[[#This Row],[Type]],RecordCount[],6,0)&amp;"-"&amp;IDNMaps[[#This Row],[Type Count]],"")</f>
        <v>Resource Lists-37</v>
      </c>
      <c r="N67" s="6" t="str">
        <f ca="1">IFERROR(VLOOKUP(IDNMaps[[#This Row],[Primary]],INDIRECT(VLOOKUP(IDNMaps[[#This Row],[Type]],RecordCount[],2,0)),VLOOKUP(IDNMaps[[#This Row],[Type]],RecordCount[],7,0),0),"")</f>
        <v>OrderItemServiceUser/CompletedJobsList</v>
      </c>
      <c r="O67" s="6" t="str">
        <f ca="1">IF(IDNMaps[[#This Row],[Name]]="","","("&amp;IDNMaps[[#This Row],[Type]]&amp;") "&amp;IDNMaps[[#This Row],[Name]])</f>
        <v>(Lists) OrderItemServiceUser/CompletedJobsList</v>
      </c>
      <c r="P67" s="6">
        <f ca="1">IFERROR(VLOOKUP(IDNMaps[[#This Row],[Primary]],INDIRECT(VLOOKUP(IDNMaps[[#This Row],[Type]],RecordCount[],2,0)),VLOOKUP(IDNMaps[[#This Row],[Type]],RecordCount[],8,0),0),"")</f>
        <v>2123137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8" s="6">
        <f ca="1">IF(IDNMaps[[#This Row],[Type]]="","",COUNTIF($K$1:IDNMaps[[#This Row],[Type]],IDNMaps[[#This Row],[Type]]))</f>
        <v>38</v>
      </c>
      <c r="M68" s="6" t="str">
        <f ca="1">IFERROR(VLOOKUP(IDNMaps[[#This Row],[Type]],RecordCount[],6,0)&amp;"-"&amp;IDNMaps[[#This Row],[Type Count]],"")</f>
        <v>Resource Lists-38</v>
      </c>
      <c r="N68" s="6" t="str">
        <f ca="1">IFERROR(VLOOKUP(IDNMaps[[#This Row],[Primary]],INDIRECT(VLOOKUP(IDNMaps[[#This Row],[Type]],RecordCount[],2,0)),VLOOKUP(IDNMaps[[#This Row],[Type]],RecordCount[],7,0),0),"")</f>
        <v>OrderItemServiceUser/MyNewJobsList</v>
      </c>
      <c r="O68" s="6" t="str">
        <f ca="1">IF(IDNMaps[[#This Row],[Name]]="","","("&amp;IDNMaps[[#This Row],[Type]]&amp;") "&amp;IDNMaps[[#This Row],[Name]])</f>
        <v>(Lists) OrderItemServiceUser/MyNewJobsList</v>
      </c>
      <c r="P68" s="6">
        <f ca="1">IFERROR(VLOOKUP(IDNMaps[[#This Row],[Primary]],INDIRECT(VLOOKUP(IDNMaps[[#This Row],[Type]],RecordCount[],2,0)),VLOOKUP(IDNMaps[[#This Row],[Type]],RecordCount[],8,0),0),"")</f>
        <v>2123138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9" s="6">
        <f ca="1">IF(IDNMaps[[#This Row],[Type]]="","",COUNTIF($K$1:IDNMaps[[#This Row],[Type]],IDNMaps[[#This Row],[Type]]))</f>
        <v>39</v>
      </c>
      <c r="M69" s="6" t="str">
        <f ca="1">IFERROR(VLOOKUP(IDNMaps[[#This Row],[Type]],RecordCount[],6,0)&amp;"-"&amp;IDNMaps[[#This Row],[Type Count]],"")</f>
        <v>Resource Lists-39</v>
      </c>
      <c r="N69" s="6" t="str">
        <f ca="1">IFERROR(VLOOKUP(IDNMaps[[#This Row],[Primary]],INDIRECT(VLOOKUP(IDNMaps[[#This Row],[Type]],RecordCount[],2,0)),VLOOKUP(IDNMaps[[#This Row],[Type]],RecordCount[],7,0),0),"")</f>
        <v>OrderItemServiceUser/MyInServiceJobs</v>
      </c>
      <c r="O69" s="6" t="str">
        <f ca="1">IF(IDNMaps[[#This Row],[Name]]="","","("&amp;IDNMaps[[#This Row],[Type]]&amp;") "&amp;IDNMaps[[#This Row],[Name]])</f>
        <v>(Lists) OrderItemServiceUser/MyInServiceJobs</v>
      </c>
      <c r="P69" s="6">
        <f ca="1">IFERROR(VLOOKUP(IDNMaps[[#This Row],[Primary]],INDIRECT(VLOOKUP(IDNMaps[[#This Row],[Type]],RecordCount[],2,0)),VLOOKUP(IDNMaps[[#This Row],[Type]],RecordCount[],8,0),0),"")</f>
        <v>2123139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0" s="6">
        <f ca="1">IF(IDNMaps[[#This Row],[Type]]="","",COUNTIF($K$1:IDNMaps[[#This Row],[Type]],IDNMaps[[#This Row],[Type]]))</f>
        <v>40</v>
      </c>
      <c r="M70" s="6" t="str">
        <f ca="1">IFERROR(VLOOKUP(IDNMaps[[#This Row],[Type]],RecordCount[],6,0)&amp;"-"&amp;IDNMaps[[#This Row],[Type Count]],"")</f>
        <v>Resource Lists-40</v>
      </c>
      <c r="N70" s="6" t="str">
        <f ca="1">IFERROR(VLOOKUP(IDNMaps[[#This Row],[Primary]],INDIRECT(VLOOKUP(IDNMaps[[#This Row],[Type]],RecordCount[],2,0)),VLOOKUP(IDNMaps[[#This Row],[Type]],RecordCount[],7,0),0),"")</f>
        <v>OrderItemServiceUser/MyCompleted</v>
      </c>
      <c r="O70" s="6" t="str">
        <f ca="1">IF(IDNMaps[[#This Row],[Name]]="","","("&amp;IDNMaps[[#This Row],[Type]]&amp;") "&amp;IDNMaps[[#This Row],[Name]])</f>
        <v>(Lists) OrderItemServiceUser/MyCompleted</v>
      </c>
      <c r="P70" s="6">
        <f ca="1">IFERROR(VLOOKUP(IDNMaps[[#This Row],[Primary]],INDIRECT(VLOOKUP(IDNMaps[[#This Row],[Type]],RecordCount[],2,0)),VLOOKUP(IDNMaps[[#This Row],[Type]],RecordCount[],8,0),0),"")</f>
        <v>2123140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1" s="6">
        <f ca="1">IF(IDNMaps[[#This Row],[Type]]="","",COUNTIF($K$1:IDNMaps[[#This Row],[Type]],IDNMaps[[#This Row],[Type]]))</f>
        <v>41</v>
      </c>
      <c r="M71" s="6" t="str">
        <f ca="1">IFERROR(VLOOKUP(IDNMaps[[#This Row],[Type]],RecordCount[],6,0)&amp;"-"&amp;IDNMaps[[#This Row],[Type Count]],"")</f>
        <v>Resource Lists-41</v>
      </c>
      <c r="N71" s="6" t="str">
        <f ca="1">IFERROR(VLOOKUP(IDNMaps[[#This Row],[Primary]],INDIRECT(VLOOKUP(IDNMaps[[#This Row],[Type]],RecordCount[],2,0)),VLOOKUP(IDNMaps[[#This Row],[Type]],RecordCount[],7,0),0),"")</f>
        <v>Order/ServiceCompletedOrders</v>
      </c>
      <c r="O71" s="6" t="str">
        <f ca="1">IF(IDNMaps[[#This Row],[Name]]="","","("&amp;IDNMaps[[#This Row],[Type]]&amp;") "&amp;IDNMaps[[#This Row],[Name]])</f>
        <v>(Lists) Order/ServiceCompletedOrders</v>
      </c>
      <c r="P71" s="6">
        <f ca="1">IFERROR(VLOOKUP(IDNMaps[[#This Row],[Primary]],INDIRECT(VLOOKUP(IDNMaps[[#This Row],[Type]],RecordCount[],2,0)),VLOOKUP(IDNMaps[[#This Row],[Type]],RecordCount[],8,0),0),"")</f>
        <v>2123141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2" s="6">
        <f ca="1">IF(IDNMaps[[#This Row],[Type]]="","",COUNTIF($K$1:IDNMaps[[#This Row],[Type]],IDNMaps[[#This Row],[Type]]))</f>
        <v>42</v>
      </c>
      <c r="M72" s="6" t="str">
        <f ca="1">IFERROR(VLOOKUP(IDNMaps[[#This Row],[Type]],RecordCount[],6,0)&amp;"-"&amp;IDNMaps[[#This Row],[Type Count]],"")</f>
        <v>Resource Lists-42</v>
      </c>
      <c r="N72" s="6" t="str">
        <f ca="1">IFERROR(VLOOKUP(IDNMaps[[#This Row],[Primary]],INDIRECT(VLOOKUP(IDNMaps[[#This Row],[Type]],RecordCount[],2,0)),VLOOKUP(IDNMaps[[#This Row],[Type]],RecordCount[],7,0),0),"")</f>
        <v>OrderItemService/OwnHubAssignableOISList</v>
      </c>
      <c r="O72" s="6" t="str">
        <f ca="1">IF(IDNMaps[[#This Row],[Name]]="","","("&amp;IDNMaps[[#This Row],[Type]]&amp;") "&amp;IDNMaps[[#This Row],[Name]])</f>
        <v>(Lists) OrderItemService/OwnHubAssignableOISList</v>
      </c>
      <c r="P72" s="6">
        <f ca="1">IFERROR(VLOOKUP(IDNMaps[[#This Row],[Primary]],INDIRECT(VLOOKUP(IDNMaps[[#This Row],[Type]],RecordCount[],2,0)),VLOOKUP(IDNMaps[[#This Row],[Type]],RecordCount[],8,0),0),"")</f>
        <v>2123142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3" s="6">
        <f ca="1">IF(IDNMaps[[#This Row],[Type]]="","",COUNTIF($K$1:IDNMaps[[#This Row],[Type]],IDNMaps[[#This Row],[Type]]))</f>
        <v>43</v>
      </c>
      <c r="M73" s="6" t="str">
        <f ca="1">IFERROR(VLOOKUP(IDNMaps[[#This Row],[Type]],RecordCount[],6,0)&amp;"-"&amp;IDNMaps[[#This Row],[Type Count]],"")</f>
        <v>Resource Lists-43</v>
      </c>
      <c r="N73" s="6" t="str">
        <f ca="1">IFERROR(VLOOKUP(IDNMaps[[#This Row],[Primary]],INDIRECT(VLOOKUP(IDNMaps[[#This Row],[Type]],RecordCount[],2,0)),VLOOKUP(IDNMaps[[#This Row],[Type]],RecordCount[],7,0),0),"")</f>
        <v>Order/UndeliveredOwnHubOrders</v>
      </c>
      <c r="O73" s="6" t="str">
        <f ca="1">IF(IDNMaps[[#This Row],[Name]]="","","("&amp;IDNMaps[[#This Row],[Type]]&amp;") "&amp;IDNMaps[[#This Row],[Name]])</f>
        <v>(Lists) Order/UndeliveredOwnHubOrders</v>
      </c>
      <c r="P73" s="6">
        <f ca="1">IFERROR(VLOOKUP(IDNMaps[[#This Row],[Primary]],INDIRECT(VLOOKUP(IDNMaps[[#This Row],[Type]],RecordCount[],2,0)),VLOOKUP(IDNMaps[[#This Row],[Type]],RecordCount[],8,0),0),"")</f>
        <v>2123143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4" s="6">
        <f ca="1">IF(IDNMaps[[#This Row],[Type]]="","",COUNTIF($K$1:IDNMaps[[#This Row],[Type]],IDNMaps[[#This Row],[Type]]))</f>
        <v>44</v>
      </c>
      <c r="M74" s="6" t="str">
        <f ca="1">IFERROR(VLOOKUP(IDNMaps[[#This Row],[Type]],RecordCount[],6,0)&amp;"-"&amp;IDNMaps[[#This Row],[Type Count]],"")</f>
        <v>Resource Lists-44</v>
      </c>
      <c r="N74" s="6" t="str">
        <f ca="1">IFERROR(VLOOKUP(IDNMaps[[#This Row],[Primary]],INDIRECT(VLOOKUP(IDNMaps[[#This Row],[Type]],RecordCount[],2,0)),VLOOKUP(IDNMaps[[#This Row],[Type]],RecordCount[],7,0),0),"")</f>
        <v>OrderItem/UndeliveredOwnHubOrderItems</v>
      </c>
      <c r="O74" s="6" t="str">
        <f ca="1">IF(IDNMaps[[#This Row],[Name]]="","","("&amp;IDNMaps[[#This Row],[Type]]&amp;") "&amp;IDNMaps[[#This Row],[Name]])</f>
        <v>(Lists) OrderItem/UndeliveredOwnHubOrderItems</v>
      </c>
      <c r="P74" s="6">
        <f ca="1">IFERROR(VLOOKUP(IDNMaps[[#This Row],[Primary]],INDIRECT(VLOOKUP(IDNMaps[[#This Row],[Type]],RecordCount[],2,0)),VLOOKUP(IDNMaps[[#This Row],[Type]],RecordCount[],8,0),0),"")</f>
        <v>2123144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5" s="6">
        <f ca="1">IF(IDNMaps[[#This Row],[Type]]="","",COUNTIF($K$1:IDNMaps[[#This Row],[Type]],IDNMaps[[#This Row],[Type]]))</f>
        <v>45</v>
      </c>
      <c r="M75" s="6" t="str">
        <f ca="1">IFERROR(VLOOKUP(IDNMaps[[#This Row],[Type]],RecordCount[],6,0)&amp;"-"&amp;IDNMaps[[#This Row],[Type Count]],"")</f>
        <v>Resource Lists-45</v>
      </c>
      <c r="N75" s="6" t="str">
        <f ca="1">IFERROR(VLOOKUP(IDNMaps[[#This Row],[Primary]],INDIRECT(VLOOKUP(IDNMaps[[#This Row],[Type]],RecordCount[],2,0)),VLOOKUP(IDNMaps[[#This Row],[Type]],RecordCount[],7,0),0),"")</f>
        <v>Invoice/OwnInvoiceList</v>
      </c>
      <c r="O75" s="6" t="str">
        <f ca="1">IF(IDNMaps[[#This Row],[Name]]="","","("&amp;IDNMaps[[#This Row],[Type]]&amp;") "&amp;IDNMaps[[#This Row],[Name]])</f>
        <v>(Lists) Invoice/OwnInvoiceList</v>
      </c>
      <c r="P75" s="6">
        <f ca="1">IFERROR(VLOOKUP(IDNMaps[[#This Row],[Primary]],INDIRECT(VLOOKUP(IDNMaps[[#This Row],[Type]],RecordCount[],2,0)),VLOOKUP(IDNMaps[[#This Row],[Type]],RecordCount[],8,0),0),"")</f>
        <v>2123145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6" s="6">
        <f ca="1">IF(IDNMaps[[#This Row],[Type]]="","",COUNTIF($K$1:IDNMaps[[#This Row],[Type]],IDNMaps[[#This Row],[Type]]))</f>
        <v>46</v>
      </c>
      <c r="M76" s="6" t="str">
        <f ca="1">IFERROR(VLOOKUP(IDNMaps[[#This Row],[Type]],RecordCount[],6,0)&amp;"-"&amp;IDNMaps[[#This Row],[Type Count]],"")</f>
        <v>Resource Lists-46</v>
      </c>
      <c r="N76" s="6" t="str">
        <f ca="1">IFERROR(VLOOKUP(IDNMaps[[#This Row],[Primary]],INDIRECT(VLOOKUP(IDNMaps[[#This Row],[Type]],RecordCount[],2,0)),VLOOKUP(IDNMaps[[#This Row],[Type]],RecordCount[],7,0),0),"")</f>
        <v>Invoice/OwnUnPaidInvoices</v>
      </c>
      <c r="O76" s="6" t="str">
        <f ca="1">IF(IDNMaps[[#This Row],[Name]]="","","("&amp;IDNMaps[[#This Row],[Type]]&amp;") "&amp;IDNMaps[[#This Row],[Name]])</f>
        <v>(Lists) Invoice/OwnUnPaidInvoices</v>
      </c>
      <c r="P76" s="6">
        <f ca="1">IFERROR(VLOOKUP(IDNMaps[[#This Row],[Primary]],INDIRECT(VLOOKUP(IDNMaps[[#This Row],[Type]],RecordCount[],2,0)),VLOOKUP(IDNMaps[[#This Row],[Type]],RecordCount[],8,0),0),"")</f>
        <v>2123146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7" s="6">
        <f ca="1">IF(IDNMaps[[#This Row],[Type]]="","",COUNTIF($K$1:IDNMaps[[#This Row],[Type]],IDNMaps[[#This Row],[Type]]))</f>
        <v>47</v>
      </c>
      <c r="M77" s="6" t="str">
        <f ca="1">IFERROR(VLOOKUP(IDNMaps[[#This Row],[Type]],RecordCount[],6,0)&amp;"-"&amp;IDNMaps[[#This Row],[Type Count]],"")</f>
        <v>Resource Lists-47</v>
      </c>
      <c r="N77" s="6" t="str">
        <f ca="1">IFERROR(VLOOKUP(IDNMaps[[#This Row],[Primary]],INDIRECT(VLOOKUP(IDNMaps[[#This Row],[Type]],RecordCount[],2,0)),VLOOKUP(IDNMaps[[#This Row],[Type]],RecordCount[],7,0),0),"")</f>
        <v>Invoice/OwnPaidInvoices</v>
      </c>
      <c r="O77" s="6" t="str">
        <f ca="1">IF(IDNMaps[[#This Row],[Name]]="","","("&amp;IDNMaps[[#This Row],[Type]]&amp;") "&amp;IDNMaps[[#This Row],[Name]])</f>
        <v>(Lists) Invoice/OwnPaidInvoices</v>
      </c>
      <c r="P77" s="6">
        <f ca="1">IFERROR(VLOOKUP(IDNMaps[[#This Row],[Primary]],INDIRECT(VLOOKUP(IDNMaps[[#This Row],[Type]],RecordCount[],2,0)),VLOOKUP(IDNMaps[[#This Row],[Type]],RecordCount[],8,0),0),"")</f>
        <v>2123147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8" s="6">
        <f ca="1">IF(IDNMaps[[#This Row],[Type]]="","",COUNTIF($K$1:IDNMaps[[#This Row],[Type]],IDNMaps[[#This Row],[Type]]))</f>
        <v>48</v>
      </c>
      <c r="M78" s="6" t="str">
        <f ca="1">IFERROR(VLOOKUP(IDNMaps[[#This Row],[Type]],RecordCount[],6,0)&amp;"-"&amp;IDNMaps[[#This Row],[Type Count]],"")</f>
        <v>Resource Lists-48</v>
      </c>
      <c r="N78" s="6" t="str">
        <f ca="1">IFERROR(VLOOKUP(IDNMaps[[#This Row],[Primary]],INDIRECT(VLOOKUP(IDNMaps[[#This Row],[Type]],RecordCount[],2,0)),VLOOKUP(IDNMaps[[#This Row],[Type]],RecordCount[],7,0),0),"")</f>
        <v>Receipt/OwnReceipts</v>
      </c>
      <c r="O78" s="6" t="str">
        <f ca="1">IF(IDNMaps[[#This Row],[Name]]="","","("&amp;IDNMaps[[#This Row],[Type]]&amp;") "&amp;IDNMaps[[#This Row],[Name]])</f>
        <v>(Lists) Receipt/OwnReceipts</v>
      </c>
      <c r="P78" s="6">
        <f ca="1">IFERROR(VLOOKUP(IDNMaps[[#This Row],[Primary]],INDIRECT(VLOOKUP(IDNMaps[[#This Row],[Type]],RecordCount[],2,0)),VLOOKUP(IDNMaps[[#This Row],[Type]],RecordCount[],8,0),0),"")</f>
        <v>2123148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9" s="6">
        <f ca="1">IF(IDNMaps[[#This Row],[Type]]="","",COUNTIF($K$1:IDNMaps[[#This Row],[Type]],IDNMaps[[#This Row],[Type]]))</f>
        <v>49</v>
      </c>
      <c r="M79" s="6" t="str">
        <f ca="1">IFERROR(VLOOKUP(IDNMaps[[#This Row],[Type]],RecordCount[],6,0)&amp;"-"&amp;IDNMaps[[#This Row],[Type Count]],"")</f>
        <v>Resource Lists-49</v>
      </c>
      <c r="N79" s="6" t="str">
        <f ca="1">IFERROR(VLOOKUP(IDNMaps[[#This Row],[Primary]],INDIRECT(VLOOKUP(IDNMaps[[#This Row],[Type]],RecordCount[],2,0)),VLOOKUP(IDNMaps[[#This Row],[Type]],RecordCount[],7,0),0),"")</f>
        <v>Delivery/OwnDeliveries</v>
      </c>
      <c r="O79" s="6" t="str">
        <f ca="1">IF(IDNMaps[[#This Row],[Name]]="","","("&amp;IDNMaps[[#This Row],[Type]]&amp;") "&amp;IDNMaps[[#This Row],[Name]])</f>
        <v>(Lists) Delivery/OwnDeliveries</v>
      </c>
      <c r="P79" s="6">
        <f ca="1">IFERROR(VLOOKUP(IDNMaps[[#This Row],[Primary]],INDIRECT(VLOOKUP(IDNMaps[[#This Row],[Type]],RecordCount[],2,0)),VLOOKUP(IDNMaps[[#This Row],[Type]],RecordCount[],8,0),0),"")</f>
        <v>2123149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0" s="6">
        <f ca="1">IF(IDNMaps[[#This Row],[Type]]="","",COUNTIF($K$1:IDNMaps[[#This Row],[Type]],IDNMaps[[#This Row],[Type]]))</f>
        <v>50</v>
      </c>
      <c r="M80" s="6" t="str">
        <f ca="1">IFERROR(VLOOKUP(IDNMaps[[#This Row],[Type]],RecordCount[],6,0)&amp;"-"&amp;IDNMaps[[#This Row],[Type Count]],"")</f>
        <v>Resource Lists-50</v>
      </c>
      <c r="N80" s="6" t="str">
        <f ca="1">IFERROR(VLOOKUP(IDNMaps[[#This Row],[Primary]],INDIRECT(VLOOKUP(IDNMaps[[#This Row],[Type]],RecordCount[],2,0)),VLOOKUP(IDNMaps[[#This Row],[Type]],RecordCount[],7,0),0),"")</f>
        <v>HubShift/OwnHubShifts</v>
      </c>
      <c r="O80" s="6" t="str">
        <f ca="1">IF(IDNMaps[[#This Row],[Name]]="","","("&amp;IDNMaps[[#This Row],[Type]]&amp;") "&amp;IDNMaps[[#This Row],[Name]])</f>
        <v>(Lists) HubShift/OwnHubShifts</v>
      </c>
      <c r="P80" s="6">
        <f ca="1">IFERROR(VLOOKUP(IDNMaps[[#This Row],[Primary]],INDIRECT(VLOOKUP(IDNMaps[[#This Row],[Type]],RecordCount[],2,0)),VLOOKUP(IDNMaps[[#This Row],[Type]],RecordCount[],8,0),0),"")</f>
        <v>2123150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1" s="6">
        <f ca="1">IF(IDNMaps[[#This Row],[Type]]="","",COUNTIF($K$1:IDNMaps[[#This Row],[Type]],IDNMaps[[#This Row],[Type]]))</f>
        <v>1</v>
      </c>
      <c r="M81" s="6" t="str">
        <f ca="1">IFERROR(VLOOKUP(IDNMaps[[#This Row],[Type]],RecordCount[],6,0)&amp;"-"&amp;IDNMaps[[#This Row],[Type Count]],"")</f>
        <v>Resource Data-1</v>
      </c>
      <c r="N81" s="6" t="str">
        <f ca="1">IFERROR(VLOOKUP(IDNMaps[[#This Row],[Primary]],INDIRECT(VLOOKUP(IDNMaps[[#This Row],[Type]],RecordCount[],2,0)),VLOOKUP(IDNMaps[[#This Row],[Type]],RecordCount[],7,0),0),"")</f>
        <v>Employee/EmployeeData</v>
      </c>
      <c r="O81" s="6" t="str">
        <f ca="1">IF(IDNMaps[[#This Row],[Name]]="","","("&amp;IDNMaps[[#This Row],[Type]]&amp;") "&amp;IDNMaps[[#This Row],[Name]])</f>
        <v>(Data) Employee/EmployeeData</v>
      </c>
      <c r="P81" s="6">
        <f ca="1">IFERROR(VLOOKUP(IDNMaps[[#This Row],[Primary]],INDIRECT(VLOOKUP(IDNMaps[[#This Row],[Type]],RecordCount[],2,0)),VLOOKUP(IDNMaps[[#This Row],[Type]],RecordCount[],8,0),0),"")</f>
        <v>2128101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2" s="6">
        <f ca="1">IF(IDNMaps[[#This Row],[Type]]="","",COUNTIF($K$1:IDNMaps[[#This Row],[Type]],IDNMaps[[#This Row],[Type]]))</f>
        <v>2</v>
      </c>
      <c r="M82" s="6" t="str">
        <f ca="1">IFERROR(VLOOKUP(IDNMaps[[#This Row],[Type]],RecordCount[],6,0)&amp;"-"&amp;IDNMaps[[#This Row],[Type Count]],"")</f>
        <v>Resource Data-2</v>
      </c>
      <c r="N82" s="6" t="str">
        <f ca="1">IFERROR(VLOOKUP(IDNMaps[[#This Row],[Primary]],INDIRECT(VLOOKUP(IDNMaps[[#This Row],[Type]],RecordCount[],2,0)),VLOOKUP(IDNMaps[[#This Row],[Type]],RecordCount[],7,0),0),"")</f>
        <v>Hub/HubData</v>
      </c>
      <c r="O82" s="6" t="str">
        <f ca="1">IF(IDNMaps[[#This Row],[Name]]="","","("&amp;IDNMaps[[#This Row],[Type]]&amp;") "&amp;IDNMaps[[#This Row],[Name]])</f>
        <v>(Data) Hub/HubData</v>
      </c>
      <c r="P82" s="6">
        <f ca="1">IFERROR(VLOOKUP(IDNMaps[[#This Row],[Primary]],INDIRECT(VLOOKUP(IDNMaps[[#This Row],[Type]],RecordCount[],2,0)),VLOOKUP(IDNMaps[[#This Row],[Type]],RecordCount[],8,0),0),"")</f>
        <v>2128102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3" s="6">
        <f ca="1">IF(IDNMaps[[#This Row],[Type]]="","",COUNTIF($K$1:IDNMaps[[#This Row],[Type]],IDNMaps[[#This Row],[Type]]))</f>
        <v>3</v>
      </c>
      <c r="M83" s="6" t="str">
        <f ca="1">IFERROR(VLOOKUP(IDNMaps[[#This Row],[Type]],RecordCount[],6,0)&amp;"-"&amp;IDNMaps[[#This Row],[Type Count]],"")</f>
        <v>Resource Data-3</v>
      </c>
      <c r="N83" s="6" t="str">
        <f ca="1">IFERROR(VLOOKUP(IDNMaps[[#This Row],[Primary]],INDIRECT(VLOOKUP(IDNMaps[[#This Row],[Type]],RecordCount[],2,0)),VLOOKUP(IDNMaps[[#This Row],[Type]],RecordCount[],7,0),0),"")</f>
        <v>Customer/CustomerData</v>
      </c>
      <c r="O83" s="6" t="str">
        <f ca="1">IF(IDNMaps[[#This Row],[Name]]="","","("&amp;IDNMaps[[#This Row],[Type]]&amp;") "&amp;IDNMaps[[#This Row],[Name]])</f>
        <v>(Data) Customer/CustomerData</v>
      </c>
      <c r="P83" s="6">
        <f ca="1">IFERROR(VLOOKUP(IDNMaps[[#This Row],[Primary]],INDIRECT(VLOOKUP(IDNMaps[[#This Row],[Type]],RecordCount[],2,0)),VLOOKUP(IDNMaps[[#This Row],[Type]],RecordCount[],8,0),0),"")</f>
        <v>2128103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4" s="6">
        <f ca="1">IF(IDNMaps[[#This Row],[Type]]="","",COUNTIF($K$1:IDNMaps[[#This Row],[Type]],IDNMaps[[#This Row],[Type]]))</f>
        <v>4</v>
      </c>
      <c r="M84" s="6" t="str">
        <f ca="1">IFERROR(VLOOKUP(IDNMaps[[#This Row],[Type]],RecordCount[],6,0)&amp;"-"&amp;IDNMaps[[#This Row],[Type Count]],"")</f>
        <v>Resource Data-4</v>
      </c>
      <c r="N84" s="6" t="str">
        <f ca="1">IFERROR(VLOOKUP(IDNMaps[[#This Row],[Primary]],INDIRECT(VLOOKUP(IDNMaps[[#This Row],[Type]],RecordCount[],2,0)),VLOOKUP(IDNMaps[[#This Row],[Type]],RecordCount[],7,0),0),"")</f>
        <v>Service/ServiceData</v>
      </c>
      <c r="O84" s="6" t="str">
        <f ca="1">IF(IDNMaps[[#This Row],[Name]]="","","("&amp;IDNMaps[[#This Row],[Type]]&amp;") "&amp;IDNMaps[[#This Row],[Name]])</f>
        <v>(Data) Service/ServiceData</v>
      </c>
      <c r="P84" s="6">
        <f ca="1">IFERROR(VLOOKUP(IDNMaps[[#This Row],[Primary]],INDIRECT(VLOOKUP(IDNMaps[[#This Row],[Type]],RecordCount[],2,0)),VLOOKUP(IDNMaps[[#This Row],[Type]],RecordCount[],8,0),0),"")</f>
        <v>2128104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5" s="6">
        <f ca="1">IF(IDNMaps[[#This Row],[Type]]="","",COUNTIF($K$1:IDNMaps[[#This Row],[Type]],IDNMaps[[#This Row],[Type]]))</f>
        <v>5</v>
      </c>
      <c r="M85" s="6" t="str">
        <f ca="1">IFERROR(VLOOKUP(IDNMaps[[#This Row],[Type]],RecordCount[],6,0)&amp;"-"&amp;IDNMaps[[#This Row],[Type Count]],"")</f>
        <v>Resource Data-5</v>
      </c>
      <c r="N85" s="6" t="str">
        <f ca="1">IFERROR(VLOOKUP(IDNMaps[[#This Row],[Primary]],INDIRECT(VLOOKUP(IDNMaps[[#This Row],[Type]],RecordCount[],2,0)),VLOOKUP(IDNMaps[[#This Row],[Type]],RecordCount[],7,0),0),"")</f>
        <v>Shelf/ShelfData</v>
      </c>
      <c r="O85" s="6" t="str">
        <f ca="1">IF(IDNMaps[[#This Row],[Name]]="","","("&amp;IDNMaps[[#This Row],[Type]]&amp;") "&amp;IDNMaps[[#This Row],[Name]])</f>
        <v>(Data) Shelf/ShelfData</v>
      </c>
      <c r="P85" s="6">
        <f ca="1">IFERROR(VLOOKUP(IDNMaps[[#This Row],[Primary]],INDIRECT(VLOOKUP(IDNMaps[[#This Row],[Type]],RecordCount[],2,0)),VLOOKUP(IDNMaps[[#This Row],[Type]],RecordCount[],8,0),0),"")</f>
        <v>2128105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6" s="6">
        <f ca="1">IF(IDNMaps[[#This Row],[Type]]="","",COUNTIF($K$1:IDNMaps[[#This Row],[Type]],IDNMaps[[#This Row],[Type]]))</f>
        <v>6</v>
      </c>
      <c r="M86" s="6" t="str">
        <f ca="1">IFERROR(VLOOKUP(IDNMaps[[#This Row],[Type]],RecordCount[],6,0)&amp;"-"&amp;IDNMaps[[#This Row],[Type Count]],"")</f>
        <v>Resource Data-6</v>
      </c>
      <c r="N86" s="6" t="str">
        <f ca="1">IFERROR(VLOOKUP(IDNMaps[[#This Row],[Primary]],INDIRECT(VLOOKUP(IDNMaps[[#This Row],[Type]],RecordCount[],2,0)),VLOOKUP(IDNMaps[[#This Row],[Type]],RecordCount[],7,0),0),"")</f>
        <v>OrderItem/OrderItemData</v>
      </c>
      <c r="O86" s="6" t="str">
        <f ca="1">IF(IDNMaps[[#This Row],[Name]]="","","("&amp;IDNMaps[[#This Row],[Type]]&amp;") "&amp;IDNMaps[[#This Row],[Name]])</f>
        <v>(Data) OrderItem/OrderItemData</v>
      </c>
      <c r="P86" s="6">
        <f ca="1">IFERROR(VLOOKUP(IDNMaps[[#This Row],[Primary]],INDIRECT(VLOOKUP(IDNMaps[[#This Row],[Type]],RecordCount[],2,0)),VLOOKUP(IDNMaps[[#This Row],[Type]],RecordCount[],8,0),0),"")</f>
        <v>2128106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7" s="6">
        <f ca="1">IF(IDNMaps[[#This Row],[Type]]="","",COUNTIF($K$1:IDNMaps[[#This Row],[Type]],IDNMaps[[#This Row],[Type]]))</f>
        <v>7</v>
      </c>
      <c r="M87" s="6" t="str">
        <f ca="1">IFERROR(VLOOKUP(IDNMaps[[#This Row],[Type]],RecordCount[],6,0)&amp;"-"&amp;IDNMaps[[#This Row],[Type Count]],"")</f>
        <v>Resource Data-7</v>
      </c>
      <c r="N87" s="6" t="str">
        <f ca="1">IFERROR(VLOOKUP(IDNMaps[[#This Row],[Primary]],INDIRECT(VLOOKUP(IDNMaps[[#This Row],[Type]],RecordCount[],2,0)),VLOOKUP(IDNMaps[[#This Row],[Type]],RecordCount[],7,0),0),"")</f>
        <v>ItemService/ItemServiceEditData</v>
      </c>
      <c r="O87" s="6" t="str">
        <f ca="1">IF(IDNMaps[[#This Row],[Name]]="","","("&amp;IDNMaps[[#This Row],[Type]]&amp;") "&amp;IDNMaps[[#This Row],[Name]])</f>
        <v>(Data) ItemService/ItemServiceEditData</v>
      </c>
      <c r="P87" s="6">
        <f ca="1">IFERROR(VLOOKUP(IDNMaps[[#This Row],[Primary]],INDIRECT(VLOOKUP(IDNMaps[[#This Row],[Type]],RecordCount[],2,0)),VLOOKUP(IDNMaps[[#This Row],[Type]],RecordCount[],8,0),0),"")</f>
        <v>2128107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8" s="6">
        <f ca="1">IF(IDNMaps[[#This Row],[Type]]="","",COUNTIF($K$1:IDNMaps[[#This Row],[Type]],IDNMaps[[#This Row],[Type]]))</f>
        <v>8</v>
      </c>
      <c r="M88" s="6" t="str">
        <f ca="1">IFERROR(VLOOKUP(IDNMaps[[#This Row],[Type]],RecordCount[],6,0)&amp;"-"&amp;IDNMaps[[#This Row],[Type Count]],"")</f>
        <v>Resource Data-8</v>
      </c>
      <c r="N88" s="6" t="str">
        <f ca="1">IFERROR(VLOOKUP(IDNMaps[[#This Row],[Primary]],INDIRECT(VLOOKUP(IDNMaps[[#This Row],[Type]],RecordCount[],2,0)),VLOOKUP(IDNMaps[[#This Row],[Type]],RecordCount[],7,0),0),"")</f>
        <v>IdentityLabel/LabelEditData</v>
      </c>
      <c r="O88" s="6" t="str">
        <f ca="1">IF(IDNMaps[[#This Row],[Name]]="","","("&amp;IDNMaps[[#This Row],[Type]]&amp;") "&amp;IDNMaps[[#This Row],[Name]])</f>
        <v>(Data) IdentityLabel/LabelEditData</v>
      </c>
      <c r="P88" s="6">
        <f ca="1">IFERROR(VLOOKUP(IDNMaps[[#This Row],[Primary]],INDIRECT(VLOOKUP(IDNMaps[[#This Row],[Type]],RecordCount[],2,0)),VLOOKUP(IDNMaps[[#This Row],[Type]],RecordCount[],8,0),0),"")</f>
        <v>2128108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9" s="6">
        <f ca="1">IF(IDNMaps[[#This Row],[Type]]="","",COUNTIF($K$1:IDNMaps[[#This Row],[Type]],IDNMaps[[#This Row],[Type]]))</f>
        <v>9</v>
      </c>
      <c r="M89" s="6" t="str">
        <f ca="1">IFERROR(VLOOKUP(IDNMaps[[#This Row],[Type]],RecordCount[],6,0)&amp;"-"&amp;IDNMaps[[#This Row],[Type Count]],"")</f>
        <v>Resource Data-9</v>
      </c>
      <c r="N89" s="6" t="str">
        <f ca="1">IFERROR(VLOOKUP(IDNMaps[[#This Row],[Primary]],INDIRECT(VLOOKUP(IDNMaps[[#This Row],[Type]],RecordCount[],2,0)),VLOOKUP(IDNMaps[[#This Row],[Type]],RecordCount[],7,0),0),"")</f>
        <v>Pricelist/PricelistEditData</v>
      </c>
      <c r="O89" s="6" t="str">
        <f ca="1">IF(IDNMaps[[#This Row],[Name]]="","","("&amp;IDNMaps[[#This Row],[Type]]&amp;") "&amp;IDNMaps[[#This Row],[Name]])</f>
        <v>(Data) Pricelist/PricelistEditData</v>
      </c>
      <c r="P89" s="6">
        <f ca="1">IFERROR(VLOOKUP(IDNMaps[[#This Row],[Primary]],INDIRECT(VLOOKUP(IDNMaps[[#This Row],[Type]],RecordCount[],2,0)),VLOOKUP(IDNMaps[[#This Row],[Type]],RecordCount[],8,0),0),"")</f>
        <v>2128109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90" s="6">
        <f ca="1">IF(IDNMaps[[#This Row],[Type]]="","",COUNTIF($K$1:IDNMaps[[#This Row],[Type]],IDNMaps[[#This Row],[Type]]))</f>
        <v>10</v>
      </c>
      <c r="M90" s="6" t="str">
        <f ca="1">IFERROR(VLOOKUP(IDNMaps[[#This Row],[Type]],RecordCount[],6,0)&amp;"-"&amp;IDNMaps[[#This Row],[Type Count]],"")</f>
        <v>Resource Data-10</v>
      </c>
      <c r="N90" s="6" t="str">
        <f ca="1">IFERROR(VLOOKUP(IDNMaps[[#This Row],[Primary]],INDIRECT(VLOOKUP(IDNMaps[[#This Row],[Type]],RecordCount[],2,0)),VLOOKUP(IDNMaps[[#This Row],[Type]],RecordCount[],7,0),0),"")</f>
        <v>Item/ItemEditData</v>
      </c>
      <c r="O90" s="6" t="str">
        <f ca="1">IF(IDNMaps[[#This Row],[Name]]="","","("&amp;IDNMaps[[#This Row],[Type]]&amp;") "&amp;IDNMaps[[#This Row],[Name]])</f>
        <v>(Data) Item/ItemEditData</v>
      </c>
      <c r="P90" s="6">
        <f ca="1">IFERROR(VLOOKUP(IDNMaps[[#This Row],[Primary]],INDIRECT(VLOOKUP(IDNMaps[[#This Row],[Type]],RecordCount[],2,0)),VLOOKUP(IDNMaps[[#This Row],[Type]],RecordCount[],8,0),0),"")</f>
        <v>2128110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91" s="6">
        <f ca="1">IF(IDNMaps[[#This Row],[Type]]="","",COUNTIF($K$1:IDNMaps[[#This Row],[Type]],IDNMaps[[#This Row],[Type]]))</f>
        <v>11</v>
      </c>
      <c r="M91" s="6" t="str">
        <f ca="1">IFERROR(VLOOKUP(IDNMaps[[#This Row],[Type]],RecordCount[],6,0)&amp;"-"&amp;IDNMaps[[#This Row],[Type Count]],"")</f>
        <v>Resource Data-11</v>
      </c>
      <c r="N91" s="6" t="str">
        <f ca="1">IFERROR(VLOOKUP(IDNMaps[[#This Row],[Primary]],INDIRECT(VLOOKUP(IDNMaps[[#This Row],[Type]],RecordCount[],2,0)),VLOOKUP(IDNMaps[[#This Row],[Type]],RecordCount[],7,0),0),"")</f>
        <v>Order/OrderEditData</v>
      </c>
      <c r="O91" s="6" t="str">
        <f ca="1">IF(IDNMaps[[#This Row],[Name]]="","","("&amp;IDNMaps[[#This Row],[Type]]&amp;") "&amp;IDNMaps[[#This Row],[Name]])</f>
        <v>(Data) Order/OrderEditData</v>
      </c>
      <c r="P91" s="6">
        <f ca="1">IFERROR(VLOOKUP(IDNMaps[[#This Row],[Primary]],INDIRECT(VLOOKUP(IDNMaps[[#This Row],[Type]],RecordCount[],2,0)),VLOOKUP(IDNMaps[[#This Row],[Type]],RecordCount[],8,0),0),"")</f>
        <v>2128111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92" s="6">
        <f ca="1">IF(IDNMaps[[#This Row],[Type]]="","",COUNTIF($K$1:IDNMaps[[#This Row],[Type]],IDNMaps[[#This Row],[Type]]))</f>
        <v>12</v>
      </c>
      <c r="M92" s="6" t="str">
        <f ca="1">IFERROR(VLOOKUP(IDNMaps[[#This Row],[Type]],RecordCount[],6,0)&amp;"-"&amp;IDNMaps[[#This Row],[Type Count]],"")</f>
        <v>Resource Data-12</v>
      </c>
      <c r="N92" s="6" t="str">
        <f ca="1">IFERROR(VLOOKUP(IDNMaps[[#This Row],[Primary]],INDIRECT(VLOOKUP(IDNMaps[[#This Row],[Type]],RecordCount[],2,0)),VLOOKUP(IDNMaps[[#This Row],[Type]],RecordCount[],7,0),0),"")</f>
        <v>HubShift/HubShiftEditData</v>
      </c>
      <c r="O92" s="6" t="str">
        <f ca="1">IF(IDNMaps[[#This Row],[Name]]="","","("&amp;IDNMaps[[#This Row],[Type]]&amp;") "&amp;IDNMaps[[#This Row],[Name]])</f>
        <v>(Data) HubShift/HubShiftEditData</v>
      </c>
      <c r="P92" s="6">
        <f ca="1">IFERROR(VLOOKUP(IDNMaps[[#This Row],[Primary]],INDIRECT(VLOOKUP(IDNMaps[[#This Row],[Type]],RecordCount[],2,0)),VLOOKUP(IDNMaps[[#This Row],[Type]],RecordCount[],8,0),0),"")</f>
        <v>2128112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93" s="6">
        <f ca="1">IF(IDNMaps[[#This Row],[Type]]="","",COUNTIF($K$1:IDNMaps[[#This Row],[Type]],IDNMaps[[#This Row],[Type]]))</f>
        <v>13</v>
      </c>
      <c r="M93" s="6" t="str">
        <f ca="1">IFERROR(VLOOKUP(IDNMaps[[#This Row],[Type]],RecordCount[],6,0)&amp;"-"&amp;IDNMaps[[#This Row],[Type Count]],"")</f>
        <v>Resource Data-13</v>
      </c>
      <c r="N93" s="6" t="str">
        <f ca="1">IFERROR(VLOOKUP(IDNMaps[[#This Row],[Primary]],INDIRECT(VLOOKUP(IDNMaps[[#This Row],[Type]],RecordCount[],2,0)),VLOOKUP(IDNMaps[[#This Row],[Type]],RecordCount[],7,0),0),"")</f>
        <v>OrderItemServiceUser/OrderItemServiceData</v>
      </c>
      <c r="O93" s="6" t="str">
        <f ca="1">IF(IDNMaps[[#This Row],[Name]]="","","("&amp;IDNMaps[[#This Row],[Type]]&amp;") "&amp;IDNMaps[[#This Row],[Name]])</f>
        <v>(Data) OrderItemServiceUser/OrderItemServiceData</v>
      </c>
      <c r="P93" s="6">
        <f ca="1">IFERROR(VLOOKUP(IDNMaps[[#This Row],[Primary]],INDIRECT(VLOOKUP(IDNMaps[[#This Row],[Type]],RecordCount[],2,0)),VLOOKUP(IDNMaps[[#This Row],[Type]],RecordCount[],8,0),0),"")</f>
        <v>2128113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1</v>
      </c>
      <c r="M94" s="6" t="str">
        <f ca="1">IFERROR(VLOOKUP(IDNMaps[[#This Row],[Type]],RecordCount[],6,0)&amp;"-"&amp;IDNMaps[[#This Row],[Type Count]],"")</f>
        <v>Resource Relations-1</v>
      </c>
      <c r="N94" s="6" t="str">
        <f ca="1">IFERROR(VLOOKUP(IDNMaps[[#This Row],[Primary]],INDIRECT(VLOOKUP(IDNMaps[[#This Row],[Type]],RecordCount[],2,0)),VLOOKUP(IDNMaps[[#This Row],[Type]],RecordCount[],7,0),0),"")</f>
        <v>Group/Users</v>
      </c>
      <c r="O94" s="6" t="str">
        <f ca="1">IF(IDNMaps[[#This Row],[Name]]="","","("&amp;IDNMaps[[#This Row],[Type]]&amp;") "&amp;IDNMaps[[#This Row],[Name]])</f>
        <v>(Relation) Group/Users</v>
      </c>
      <c r="P94" s="6">
        <f ca="1">IFERROR(VLOOKUP(IDNMaps[[#This Row],[Primary]],INDIRECT(VLOOKUP(IDNMaps[[#This Row],[Type]],RecordCount[],2,0)),VLOOKUP(IDNMaps[[#This Row],[Type]],RecordCount[],8,0),0),"")</f>
        <v>2109101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2</v>
      </c>
      <c r="M95" s="6" t="str">
        <f ca="1">IFERROR(VLOOKUP(IDNMaps[[#This Row],[Type]],RecordCount[],6,0)&amp;"-"&amp;IDNMaps[[#This Row],[Type Count]],"")</f>
        <v>Resource Relations-2</v>
      </c>
      <c r="N95" s="6" t="str">
        <f ca="1">IFERROR(VLOOKUP(IDNMaps[[#This Row],[Primary]],INDIRECT(VLOOKUP(IDNMaps[[#This Row],[Type]],RecordCount[],2,0)),VLOOKUP(IDNMaps[[#This Row],[Type]],RecordCount[],7,0),0),"")</f>
        <v>User/Groups</v>
      </c>
      <c r="O95" s="6" t="str">
        <f ca="1">IF(IDNMaps[[#This Row],[Name]]="","","("&amp;IDNMaps[[#This Row],[Type]]&amp;") "&amp;IDNMaps[[#This Row],[Name]])</f>
        <v>(Relation) User/Groups</v>
      </c>
      <c r="P95" s="6">
        <f ca="1">IFERROR(VLOOKUP(IDNMaps[[#This Row],[Primary]],INDIRECT(VLOOKUP(IDNMaps[[#This Row],[Type]],RecordCount[],2,0)),VLOOKUP(IDNMaps[[#This Row],[Type]],RecordCount[],8,0),0),"")</f>
        <v>2109102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3</v>
      </c>
      <c r="M96" s="6" t="str">
        <f ca="1">IFERROR(VLOOKUP(IDNMaps[[#This Row],[Type]],RecordCount[],6,0)&amp;"-"&amp;IDNMaps[[#This Row],[Type Count]],"")</f>
        <v>Resource Relations-3</v>
      </c>
      <c r="N96" s="6" t="str">
        <f ca="1">IFERROR(VLOOKUP(IDNMaps[[#This Row],[Primary]],INDIRECT(VLOOKUP(IDNMaps[[#This Row],[Type]],RecordCount[],2,0)),VLOOKUP(IDNMaps[[#This Row],[Type]],RecordCount[],7,0),0),"")</f>
        <v>Owner/Groups</v>
      </c>
      <c r="O96" s="6" t="str">
        <f ca="1">IF(IDNMaps[[#This Row],[Name]]="","","("&amp;IDNMaps[[#This Row],[Type]]&amp;") "&amp;IDNMaps[[#This Row],[Name]])</f>
        <v>(Relation) Owner/Groups</v>
      </c>
      <c r="P96" s="6">
        <f ca="1">IFERROR(VLOOKUP(IDNMaps[[#This Row],[Primary]],INDIRECT(VLOOKUP(IDNMaps[[#This Row],[Type]],RecordCount[],2,0)),VLOOKUP(IDNMaps[[#This Row],[Type]],RecordCount[],8,0),0),"")</f>
        <v>2109103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4</v>
      </c>
      <c r="M97" s="6" t="str">
        <f ca="1">IFERROR(VLOOKUP(IDNMaps[[#This Row],[Type]],RecordCount[],6,0)&amp;"-"&amp;IDNMaps[[#This Row],[Type Count]],"")</f>
        <v>Resource Relations-4</v>
      </c>
      <c r="N97" s="6" t="str">
        <f ca="1">IFERROR(VLOOKUP(IDNMaps[[#This Row],[Primary]],INDIRECT(VLOOKUP(IDNMaps[[#This Row],[Type]],RecordCount[],2,0)),VLOOKUP(IDNMaps[[#This Row],[Type]],RecordCount[],7,0),0),"")</f>
        <v>Employee/Services</v>
      </c>
      <c r="O97" s="6" t="str">
        <f ca="1">IF(IDNMaps[[#This Row],[Name]]="","","("&amp;IDNMaps[[#This Row],[Type]]&amp;") "&amp;IDNMaps[[#This Row],[Name]])</f>
        <v>(Relation) Employee/Services</v>
      </c>
      <c r="P97" s="6">
        <f ca="1">IFERROR(VLOOKUP(IDNMaps[[#This Row],[Primary]],INDIRECT(VLOOKUP(IDNMaps[[#This Row],[Type]],RecordCount[],2,0)),VLOOKUP(IDNMaps[[#This Row],[Type]],RecordCount[],8,0),0),"")</f>
        <v>2109104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5</v>
      </c>
      <c r="M98" s="6" t="str">
        <f ca="1">IFERROR(VLOOKUP(IDNMaps[[#This Row],[Type]],RecordCount[],6,0)&amp;"-"&amp;IDNMaps[[#This Row],[Type Count]],"")</f>
        <v>Resource Relations-5</v>
      </c>
      <c r="N98" s="6" t="str">
        <f ca="1">IFERROR(VLOOKUP(IDNMaps[[#This Row],[Primary]],INDIRECT(VLOOKUP(IDNMaps[[#This Row],[Type]],RecordCount[],2,0)),VLOOKUP(IDNMaps[[#This Row],[Type]],RecordCount[],7,0),0),"")</f>
        <v>Employee/Groups</v>
      </c>
      <c r="O98" s="6" t="str">
        <f ca="1">IF(IDNMaps[[#This Row],[Name]]="","","("&amp;IDNMaps[[#This Row],[Type]]&amp;") "&amp;IDNMaps[[#This Row],[Name]])</f>
        <v>(Relation) Employee/Groups</v>
      </c>
      <c r="P98" s="6">
        <f ca="1">IFERROR(VLOOKUP(IDNMaps[[#This Row],[Primary]],INDIRECT(VLOOKUP(IDNMaps[[#This Row],[Type]],RecordCount[],2,0)),VLOOKUP(IDNMaps[[#This Row],[Type]],RecordCount[],8,0),0),"")</f>
        <v>2109105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6</v>
      </c>
      <c r="M99" s="6" t="str">
        <f ca="1">IFERROR(VLOOKUP(IDNMaps[[#This Row],[Type]],RecordCount[],6,0)&amp;"-"&amp;IDNMaps[[#This Row],[Type Count]],"")</f>
        <v>Resource Relations-6</v>
      </c>
      <c r="N99" s="6" t="str">
        <f ca="1">IFERROR(VLOOKUP(IDNMaps[[#This Row],[Primary]],INDIRECT(VLOOKUP(IDNMaps[[#This Row],[Type]],RecordCount[],2,0)),VLOOKUP(IDNMaps[[#This Row],[Type]],RecordCount[],7,0),0),"")</f>
        <v>Employee/Hubs</v>
      </c>
      <c r="O99" s="6" t="str">
        <f ca="1">IF(IDNMaps[[#This Row],[Name]]="","","("&amp;IDNMaps[[#This Row],[Type]]&amp;") "&amp;IDNMaps[[#This Row],[Name]])</f>
        <v>(Relation) Employee/Hubs</v>
      </c>
      <c r="P99" s="6">
        <f ca="1">IFERROR(VLOOKUP(IDNMaps[[#This Row],[Primary]],INDIRECT(VLOOKUP(IDNMaps[[#This Row],[Type]],RecordCount[],2,0)),VLOOKUP(IDNMaps[[#This Row],[Type]],RecordCount[],8,0),0),"")</f>
        <v>2109106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7</v>
      </c>
      <c r="M100" s="6" t="str">
        <f ca="1">IFERROR(VLOOKUP(IDNMaps[[#This Row],[Type]],RecordCount[],6,0)&amp;"-"&amp;IDNMaps[[#This Row],[Type Count]],"")</f>
        <v>Resource Relations-7</v>
      </c>
      <c r="N100" s="6" t="str">
        <f ca="1">IFERROR(VLOOKUP(IDNMaps[[#This Row],[Primary]],INDIRECT(VLOOKUP(IDNMaps[[#This Row],[Type]],RecordCount[],2,0)),VLOOKUP(IDNMaps[[#This Row],[Type]],RecordCount[],7,0),0),"")</f>
        <v>Hub/HubUsers</v>
      </c>
      <c r="O100" s="6" t="str">
        <f ca="1">IF(IDNMaps[[#This Row],[Name]]="","","("&amp;IDNMaps[[#This Row],[Type]]&amp;") "&amp;IDNMaps[[#This Row],[Name]])</f>
        <v>(Relation) Hub/HubUsers</v>
      </c>
      <c r="P100" s="6">
        <f ca="1">IFERROR(VLOOKUP(IDNMaps[[#This Row],[Primary]],INDIRECT(VLOOKUP(IDNMaps[[#This Row],[Type]],RecordCount[],2,0)),VLOOKUP(IDNMaps[[#This Row],[Type]],RecordCount[],8,0),0),"")</f>
        <v>2109107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8</v>
      </c>
      <c r="M101" s="6" t="str">
        <f ca="1">IFERROR(VLOOKUP(IDNMaps[[#This Row],[Type]],RecordCount[],6,0)&amp;"-"&amp;IDNMaps[[#This Row],[Type Count]],"")</f>
        <v>Resource Relations-8</v>
      </c>
      <c r="N101" s="6" t="str">
        <f ca="1">IFERROR(VLOOKUP(IDNMaps[[#This Row],[Primary]],INDIRECT(VLOOKUP(IDNMaps[[#This Row],[Type]],RecordCount[],2,0)),VLOOKUP(IDNMaps[[#This Row],[Type]],RecordCount[],7,0),0),"")</f>
        <v>Hub/Users</v>
      </c>
      <c r="O101" s="6" t="str">
        <f ca="1">IF(IDNMaps[[#This Row],[Name]]="","","("&amp;IDNMaps[[#This Row],[Type]]&amp;") "&amp;IDNMaps[[#This Row],[Name]])</f>
        <v>(Relation) Hub/Users</v>
      </c>
      <c r="P101" s="6">
        <f ca="1">IFERROR(VLOOKUP(IDNMaps[[#This Row],[Primary]],INDIRECT(VLOOKUP(IDNMaps[[#This Row],[Type]],RecordCount[],2,0)),VLOOKUP(IDNMaps[[#This Row],[Type]],RecordCount[],8,0),0),"")</f>
        <v>2109108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9</v>
      </c>
      <c r="M102" s="6" t="str">
        <f ca="1">IFERROR(VLOOKUP(IDNMaps[[#This Row],[Type]],RecordCount[],6,0)&amp;"-"&amp;IDNMaps[[#This Row],[Type Count]],"")</f>
        <v>Resource Relations-9</v>
      </c>
      <c r="N102" s="6" t="str">
        <f ca="1">IFERROR(VLOOKUP(IDNMaps[[#This Row],[Primary]],INDIRECT(VLOOKUP(IDNMaps[[#This Row],[Type]],RecordCount[],2,0)),VLOOKUP(IDNMaps[[#This Row],[Type]],RecordCount[],7,0),0),"")</f>
        <v>Hub/Services</v>
      </c>
      <c r="O102" s="6" t="str">
        <f ca="1">IF(IDNMaps[[#This Row],[Name]]="","","("&amp;IDNMaps[[#This Row],[Type]]&amp;") "&amp;IDNMaps[[#This Row],[Name]])</f>
        <v>(Relation) Hub/Services</v>
      </c>
      <c r="P102" s="6">
        <f ca="1">IFERROR(VLOOKUP(IDNMaps[[#This Row],[Primary]],INDIRECT(VLOOKUP(IDNMaps[[#This Row],[Type]],RecordCount[],2,0)),VLOOKUP(IDNMaps[[#This Row],[Type]],RecordCount[],8,0),0),"")</f>
        <v>2109109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10</v>
      </c>
      <c r="M103" s="6" t="str">
        <f ca="1">IFERROR(VLOOKUP(IDNMaps[[#This Row],[Type]],RecordCount[],6,0)&amp;"-"&amp;IDNMaps[[#This Row],[Type Count]],"")</f>
        <v>Resource Relations-10</v>
      </c>
      <c r="N103" s="6" t="str">
        <f ca="1">IFERROR(VLOOKUP(IDNMaps[[#This Row],[Primary]],INDIRECT(VLOOKUP(IDNMaps[[#This Row],[Type]],RecordCount[],2,0)),VLOOKUP(IDNMaps[[#This Row],[Type]],RecordCount[],7,0),0),"")</f>
        <v>Hub/Shelves</v>
      </c>
      <c r="O103" s="6" t="str">
        <f ca="1">IF(IDNMaps[[#This Row],[Name]]="","","("&amp;IDNMaps[[#This Row],[Type]]&amp;") "&amp;IDNMaps[[#This Row],[Name]])</f>
        <v>(Relation) Hub/Shelves</v>
      </c>
      <c r="P103" s="6">
        <f ca="1">IFERROR(VLOOKUP(IDNMaps[[#This Row],[Primary]],INDIRECT(VLOOKUP(IDNMaps[[#This Row],[Type]],RecordCount[],2,0)),VLOOKUP(IDNMaps[[#This Row],[Type]],RecordCount[],8,0),0),"")</f>
        <v>2109110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11</v>
      </c>
      <c r="M104" s="6" t="str">
        <f ca="1">IFERROR(VLOOKUP(IDNMaps[[#This Row],[Type]],RecordCount[],6,0)&amp;"-"&amp;IDNMaps[[#This Row],[Type Count]],"")</f>
        <v>Resource Relations-11</v>
      </c>
      <c r="N104" s="6" t="str">
        <f ca="1">IFERROR(VLOOKUP(IDNMaps[[#This Row],[Primary]],INDIRECT(VLOOKUP(IDNMaps[[#This Row],[Type]],RecordCount[],2,0)),VLOOKUP(IDNMaps[[#This Row],[Type]],RecordCount[],7,0),0),"")</f>
        <v>Hub/DefaultShelf</v>
      </c>
      <c r="O104" s="6" t="str">
        <f ca="1">IF(IDNMaps[[#This Row],[Name]]="","","("&amp;IDNMaps[[#This Row],[Type]]&amp;") "&amp;IDNMaps[[#This Row],[Name]])</f>
        <v>(Relation) Hub/DefaultShelf</v>
      </c>
      <c r="P104" s="6">
        <f ca="1">IFERROR(VLOOKUP(IDNMaps[[#This Row],[Primary]],INDIRECT(VLOOKUP(IDNMaps[[#This Row],[Type]],RecordCount[],2,0)),VLOOKUP(IDNMaps[[#This Row],[Type]],RecordCount[],8,0),0),"")</f>
        <v>2109111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12</v>
      </c>
      <c r="M105" s="6" t="str">
        <f ca="1">IFERROR(VLOOKUP(IDNMaps[[#This Row],[Type]],RecordCount[],6,0)&amp;"-"&amp;IDNMaps[[#This Row],[Type Count]],"")</f>
        <v>Resource Relations-12</v>
      </c>
      <c r="N105" s="6" t="str">
        <f ca="1">IFERROR(VLOOKUP(IDNMaps[[#This Row],[Primary]],INDIRECT(VLOOKUP(IDNMaps[[#This Row],[Type]],RecordCount[],2,0)),VLOOKUP(IDNMaps[[#This Row],[Type]],RecordCount[],7,0),0),"")</f>
        <v>Hub/Orders</v>
      </c>
      <c r="O105" s="6" t="str">
        <f ca="1">IF(IDNMaps[[#This Row],[Name]]="","","("&amp;IDNMaps[[#This Row],[Type]]&amp;") "&amp;IDNMaps[[#This Row],[Name]])</f>
        <v>(Relation) Hub/Orders</v>
      </c>
      <c r="P105" s="6">
        <f ca="1">IFERROR(VLOOKUP(IDNMaps[[#This Row],[Primary]],INDIRECT(VLOOKUP(IDNMaps[[#This Row],[Type]],RecordCount[],2,0)),VLOOKUP(IDNMaps[[#This Row],[Type]],RecordCount[],8,0),0),"")</f>
        <v>2109112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13</v>
      </c>
      <c r="M106" s="6" t="str">
        <f ca="1">IFERROR(VLOOKUP(IDNMaps[[#This Row],[Type]],RecordCount[],6,0)&amp;"-"&amp;IDNMaps[[#This Row],[Type Count]],"")</f>
        <v>Resource Relations-13</v>
      </c>
      <c r="N106" s="6" t="str">
        <f ca="1">IFERROR(VLOOKUP(IDNMaps[[#This Row],[Primary]],INDIRECT(VLOOKUP(IDNMaps[[#This Row],[Type]],RecordCount[],2,0)),VLOOKUP(IDNMaps[[#This Row],[Type]],RecordCount[],7,0),0),"")</f>
        <v>Hub/Deliveries</v>
      </c>
      <c r="O106" s="6" t="str">
        <f ca="1">IF(IDNMaps[[#This Row],[Name]]="","","("&amp;IDNMaps[[#This Row],[Type]]&amp;") "&amp;IDNMaps[[#This Row],[Name]])</f>
        <v>(Relation) Hub/Deliveries</v>
      </c>
      <c r="P106" s="6">
        <f ca="1">IFERROR(VLOOKUP(IDNMaps[[#This Row],[Primary]],INDIRECT(VLOOKUP(IDNMaps[[#This Row],[Type]],RecordCount[],2,0)),VLOOKUP(IDNMaps[[#This Row],[Type]],RecordCount[],8,0),0),"")</f>
        <v>2109113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14</v>
      </c>
      <c r="M107" s="6" t="str">
        <f ca="1">IFERROR(VLOOKUP(IDNMaps[[#This Row],[Type]],RecordCount[],6,0)&amp;"-"&amp;IDNMaps[[#This Row],[Type Count]],"")</f>
        <v>Resource Relations-14</v>
      </c>
      <c r="N107" s="6" t="str">
        <f ca="1">IFERROR(VLOOKUP(IDNMaps[[#This Row],[Primary]],INDIRECT(VLOOKUP(IDNMaps[[#This Row],[Type]],RecordCount[],2,0)),VLOOKUP(IDNMaps[[#This Row],[Type]],RecordCount[],7,0),0),"")</f>
        <v>Hub/ShiftsFrom</v>
      </c>
      <c r="O107" s="6" t="str">
        <f ca="1">IF(IDNMaps[[#This Row],[Name]]="","","("&amp;IDNMaps[[#This Row],[Type]]&amp;") "&amp;IDNMaps[[#This Row],[Name]])</f>
        <v>(Relation) Hub/ShiftsFrom</v>
      </c>
      <c r="P107" s="6">
        <f ca="1">IFERROR(VLOOKUP(IDNMaps[[#This Row],[Primary]],INDIRECT(VLOOKUP(IDNMaps[[#This Row],[Type]],RecordCount[],2,0)),VLOOKUP(IDNMaps[[#This Row],[Type]],RecordCount[],8,0),0),"")</f>
        <v>2109114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15</v>
      </c>
      <c r="M108" s="6" t="str">
        <f ca="1">IFERROR(VLOOKUP(IDNMaps[[#This Row],[Type]],RecordCount[],6,0)&amp;"-"&amp;IDNMaps[[#This Row],[Type Count]],"")</f>
        <v>Resource Relations-15</v>
      </c>
      <c r="N108" s="6" t="str">
        <f ca="1">IFERROR(VLOOKUP(IDNMaps[[#This Row],[Primary]],INDIRECT(VLOOKUP(IDNMaps[[#This Row],[Type]],RecordCount[],2,0)),VLOOKUP(IDNMaps[[#This Row],[Type]],RecordCount[],7,0),0),"")</f>
        <v>Hub/ShiftsTowards</v>
      </c>
      <c r="O108" s="6" t="str">
        <f ca="1">IF(IDNMaps[[#This Row],[Name]]="","","("&amp;IDNMaps[[#This Row],[Type]]&amp;") "&amp;IDNMaps[[#This Row],[Name]])</f>
        <v>(Relation) Hub/ShiftsTowards</v>
      </c>
      <c r="P108" s="6">
        <f ca="1">IFERROR(VLOOKUP(IDNMaps[[#This Row],[Primary]],INDIRECT(VLOOKUP(IDNMaps[[#This Row],[Type]],RecordCount[],2,0)),VLOOKUP(IDNMaps[[#This Row],[Type]],RecordCount[],8,0),0),"")</f>
        <v>2109115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16</v>
      </c>
      <c r="M109" s="6" t="str">
        <f ca="1">IFERROR(VLOOKUP(IDNMaps[[#This Row],[Type]],RecordCount[],6,0)&amp;"-"&amp;IDNMaps[[#This Row],[Type Count]],"")</f>
        <v>Resource Relations-16</v>
      </c>
      <c r="N109" s="6" t="str">
        <f ca="1">IFERROR(VLOOKUP(IDNMaps[[#This Row],[Primary]],INDIRECT(VLOOKUP(IDNMaps[[#This Row],[Type]],RecordCount[],2,0)),VLOOKUP(IDNMaps[[#This Row],[Type]],RecordCount[],7,0),0),"")</f>
        <v>Service/Providers</v>
      </c>
      <c r="O109" s="6" t="str">
        <f ca="1">IF(IDNMaps[[#This Row],[Name]]="","","("&amp;IDNMaps[[#This Row],[Type]]&amp;") "&amp;IDNMaps[[#This Row],[Name]])</f>
        <v>(Relation) Service/Providers</v>
      </c>
      <c r="P109" s="6">
        <f ca="1">IFERROR(VLOOKUP(IDNMaps[[#This Row],[Primary]],INDIRECT(VLOOKUP(IDNMaps[[#This Row],[Type]],RecordCount[],2,0)),VLOOKUP(IDNMaps[[#This Row],[Type]],RecordCount[],8,0),0),"")</f>
        <v>2109116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17</v>
      </c>
      <c r="M110" s="6" t="str">
        <f ca="1">IFERROR(VLOOKUP(IDNMaps[[#This Row],[Type]],RecordCount[],6,0)&amp;"-"&amp;IDNMaps[[#This Row],[Type Count]],"")</f>
        <v>Resource Relations-17</v>
      </c>
      <c r="N110" s="6" t="str">
        <f ca="1">IFERROR(VLOOKUP(IDNMaps[[#This Row],[Primary]],INDIRECT(VLOOKUP(IDNMaps[[#This Row],[Type]],RecordCount[],2,0)),VLOOKUP(IDNMaps[[#This Row],[Type]],RecordCount[],7,0),0),"")</f>
        <v>Service/Hubs</v>
      </c>
      <c r="O110" s="6" t="str">
        <f ca="1">IF(IDNMaps[[#This Row],[Name]]="","","("&amp;IDNMaps[[#This Row],[Type]]&amp;") "&amp;IDNMaps[[#This Row],[Name]])</f>
        <v>(Relation) Service/Hubs</v>
      </c>
      <c r="P110" s="6">
        <f ca="1">IFERROR(VLOOKUP(IDNMaps[[#This Row],[Primary]],INDIRECT(VLOOKUP(IDNMaps[[#This Row],[Type]],RecordCount[],2,0)),VLOOKUP(IDNMaps[[#This Row],[Type]],RecordCount[],8,0),0),"")</f>
        <v>2109117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18</v>
      </c>
      <c r="M111" s="6" t="str">
        <f ca="1">IFERROR(VLOOKUP(IDNMaps[[#This Row],[Type]],RecordCount[],6,0)&amp;"-"&amp;IDNMaps[[#This Row],[Type Count]],"")</f>
        <v>Resource Relations-18</v>
      </c>
      <c r="N111" s="6" t="str">
        <f ca="1">IFERROR(VLOOKUP(IDNMaps[[#This Row],[Primary]],INDIRECT(VLOOKUP(IDNMaps[[#This Row],[Type]],RecordCount[],2,0)),VLOOKUP(IDNMaps[[#This Row],[Type]],RecordCount[],7,0),0),"")</f>
        <v>Service/Items</v>
      </c>
      <c r="O111" s="6" t="str">
        <f ca="1">IF(IDNMaps[[#This Row],[Name]]="","","("&amp;IDNMaps[[#This Row],[Type]]&amp;") "&amp;IDNMaps[[#This Row],[Name]])</f>
        <v>(Relation) Service/Items</v>
      </c>
      <c r="P111" s="6">
        <f ca="1">IFERROR(VLOOKUP(IDNMaps[[#This Row],[Primary]],INDIRECT(VLOOKUP(IDNMaps[[#This Row],[Type]],RecordCount[],2,0)),VLOOKUP(IDNMaps[[#This Row],[Type]],RecordCount[],8,0),0),"")</f>
        <v>2109118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19</v>
      </c>
      <c r="M112" s="6" t="str">
        <f ca="1">IFERROR(VLOOKUP(IDNMaps[[#This Row],[Type]],RecordCount[],6,0)&amp;"-"&amp;IDNMaps[[#This Row],[Type Count]],"")</f>
        <v>Resource Relations-19</v>
      </c>
      <c r="N112" s="6" t="str">
        <f ca="1">IFERROR(VLOOKUP(IDNMaps[[#This Row],[Primary]],INDIRECT(VLOOKUP(IDNMaps[[#This Row],[Type]],RecordCount[],2,0)),VLOOKUP(IDNMaps[[#This Row],[Type]],RecordCount[],7,0),0),"")</f>
        <v>Service/Prices</v>
      </c>
      <c r="O112" s="6" t="str">
        <f ca="1">IF(IDNMaps[[#This Row],[Name]]="","","("&amp;IDNMaps[[#This Row],[Type]]&amp;") "&amp;IDNMaps[[#This Row],[Name]])</f>
        <v>(Relation) Service/Prices</v>
      </c>
      <c r="P112" s="6">
        <f ca="1">IFERROR(VLOOKUP(IDNMaps[[#This Row],[Primary]],INDIRECT(VLOOKUP(IDNMaps[[#This Row],[Type]],RecordCount[],2,0)),VLOOKUP(IDNMaps[[#This Row],[Type]],RecordCount[],8,0),0),"")</f>
        <v>2109119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20</v>
      </c>
      <c r="M113" s="6" t="str">
        <f ca="1">IFERROR(VLOOKUP(IDNMaps[[#This Row],[Type]],RecordCount[],6,0)&amp;"-"&amp;IDNMaps[[#This Row],[Type Count]],"")</f>
        <v>Resource Relations-20</v>
      </c>
      <c r="N113" s="6" t="str">
        <f ca="1">IFERROR(VLOOKUP(IDNMaps[[#This Row],[Primary]],INDIRECT(VLOOKUP(IDNMaps[[#This Row],[Type]],RecordCount[],2,0)),VLOOKUP(IDNMaps[[#This Row],[Type]],RecordCount[],7,0),0),"")</f>
        <v>Service/Unassigned</v>
      </c>
      <c r="O113" s="6" t="str">
        <f ca="1">IF(IDNMaps[[#This Row],[Name]]="","","("&amp;IDNMaps[[#This Row],[Type]]&amp;") "&amp;IDNMaps[[#This Row],[Name]])</f>
        <v>(Relation) Service/Unassigned</v>
      </c>
      <c r="P113" s="6">
        <f ca="1">IFERROR(VLOOKUP(IDNMaps[[#This Row],[Primary]],INDIRECT(VLOOKUP(IDNMaps[[#This Row],[Type]],RecordCount[],2,0)),VLOOKUP(IDNMaps[[#This Row],[Type]],RecordCount[],8,0),0),"")</f>
        <v>2109120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21</v>
      </c>
      <c r="M114" s="6" t="str">
        <f ca="1">IFERROR(VLOOKUP(IDNMaps[[#This Row],[Type]],RecordCount[],6,0)&amp;"-"&amp;IDNMaps[[#This Row],[Type Count]],"")</f>
        <v>Resource Relations-21</v>
      </c>
      <c r="N114" s="6" t="str">
        <f ca="1">IFERROR(VLOOKUP(IDNMaps[[#This Row],[Primary]],INDIRECT(VLOOKUP(IDNMaps[[#This Row],[Type]],RecordCount[],2,0)),VLOOKUP(IDNMaps[[#This Row],[Type]],RecordCount[],7,0),0),"")</f>
        <v>Service/Assigned</v>
      </c>
      <c r="O114" s="6" t="str">
        <f ca="1">IF(IDNMaps[[#This Row],[Name]]="","","("&amp;IDNMaps[[#This Row],[Type]]&amp;") "&amp;IDNMaps[[#This Row],[Name]])</f>
        <v>(Relation) Service/Assigned</v>
      </c>
      <c r="P114" s="6">
        <f ca="1">IFERROR(VLOOKUP(IDNMaps[[#This Row],[Primary]],INDIRECT(VLOOKUP(IDNMaps[[#This Row],[Type]],RecordCount[],2,0)),VLOOKUP(IDNMaps[[#This Row],[Type]],RecordCount[],8,0),0),"")</f>
        <v>2109121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22</v>
      </c>
      <c r="M115" s="6" t="str">
        <f ca="1">IFERROR(VLOOKUP(IDNMaps[[#This Row],[Type]],RecordCount[],6,0)&amp;"-"&amp;IDNMaps[[#This Row],[Type Count]],"")</f>
        <v>Resource Relations-22</v>
      </c>
      <c r="N115" s="6" t="str">
        <f ca="1">IFERROR(VLOOKUP(IDNMaps[[#This Row],[Primary]],INDIRECT(VLOOKUP(IDNMaps[[#This Row],[Type]],RecordCount[],2,0)),VLOOKUP(IDNMaps[[#This Row],[Type]],RecordCount[],7,0),0),"")</f>
        <v>Service/Processing</v>
      </c>
      <c r="O115" s="6" t="str">
        <f ca="1">IF(IDNMaps[[#This Row],[Name]]="","","("&amp;IDNMaps[[#This Row],[Type]]&amp;") "&amp;IDNMaps[[#This Row],[Name]])</f>
        <v>(Relation) Service/Processing</v>
      </c>
      <c r="P115" s="6">
        <f ca="1">IFERROR(VLOOKUP(IDNMaps[[#This Row],[Primary]],INDIRECT(VLOOKUP(IDNMaps[[#This Row],[Type]],RecordCount[],2,0)),VLOOKUP(IDNMaps[[#This Row],[Type]],RecordCount[],8,0),0),"")</f>
        <v>2109122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23</v>
      </c>
      <c r="M116" s="6" t="str">
        <f ca="1">IFERROR(VLOOKUP(IDNMaps[[#This Row],[Type]],RecordCount[],6,0)&amp;"-"&amp;IDNMaps[[#This Row],[Type Count]],"")</f>
        <v>Resource Relations-23</v>
      </c>
      <c r="N116" s="6" t="str">
        <f ca="1">IFERROR(VLOOKUP(IDNMaps[[#This Row],[Primary]],INDIRECT(VLOOKUP(IDNMaps[[#This Row],[Type]],RecordCount[],2,0)),VLOOKUP(IDNMaps[[#This Row],[Type]],RecordCount[],7,0),0),"")</f>
        <v>Service/Awaiting</v>
      </c>
      <c r="O116" s="6" t="str">
        <f ca="1">IF(IDNMaps[[#This Row],[Name]]="","","("&amp;IDNMaps[[#This Row],[Type]]&amp;") "&amp;IDNMaps[[#This Row],[Name]])</f>
        <v>(Relation) Service/Awaiting</v>
      </c>
      <c r="P116" s="6">
        <f ca="1">IFERROR(VLOOKUP(IDNMaps[[#This Row],[Primary]],INDIRECT(VLOOKUP(IDNMaps[[#This Row],[Type]],RecordCount[],2,0)),VLOOKUP(IDNMaps[[#This Row],[Type]],RecordCount[],8,0),0),"")</f>
        <v>2109123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24</v>
      </c>
      <c r="M117" s="6" t="str">
        <f ca="1">IFERROR(VLOOKUP(IDNMaps[[#This Row],[Type]],RecordCount[],6,0)&amp;"-"&amp;IDNMaps[[#This Row],[Type Count]],"")</f>
        <v>Resource Relations-24</v>
      </c>
      <c r="N117" s="6" t="str">
        <f ca="1">IFERROR(VLOOKUP(IDNMaps[[#This Row],[Primary]],INDIRECT(VLOOKUP(IDNMaps[[#This Row],[Type]],RecordCount[],2,0)),VLOOKUP(IDNMaps[[#This Row],[Type]],RecordCount[],7,0),0),"")</f>
        <v>Item/ItemServices</v>
      </c>
      <c r="O117" s="6" t="str">
        <f ca="1">IF(IDNMaps[[#This Row],[Name]]="","","("&amp;IDNMaps[[#This Row],[Type]]&amp;") "&amp;IDNMaps[[#This Row],[Name]])</f>
        <v>(Relation) Item/ItemServices</v>
      </c>
      <c r="P117" s="6">
        <f ca="1">IFERROR(VLOOKUP(IDNMaps[[#This Row],[Primary]],INDIRECT(VLOOKUP(IDNMaps[[#This Row],[Type]],RecordCount[],2,0)),VLOOKUP(IDNMaps[[#This Row],[Type]],RecordCount[],8,0),0),"")</f>
        <v>2109124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25</v>
      </c>
      <c r="M118" s="6" t="str">
        <f ca="1">IFERROR(VLOOKUP(IDNMaps[[#This Row],[Type]],RecordCount[],6,0)&amp;"-"&amp;IDNMaps[[#This Row],[Type Count]],"")</f>
        <v>Resource Relations-25</v>
      </c>
      <c r="N118" s="6" t="str">
        <f ca="1">IFERROR(VLOOKUP(IDNMaps[[#This Row],[Primary]],INDIRECT(VLOOKUP(IDNMaps[[#This Row],[Type]],RecordCount[],2,0)),VLOOKUP(IDNMaps[[#This Row],[Type]],RecordCount[],7,0),0),"")</f>
        <v>Item/Prices</v>
      </c>
      <c r="O118" s="6" t="str">
        <f ca="1">IF(IDNMaps[[#This Row],[Name]]="","","("&amp;IDNMaps[[#This Row],[Type]]&amp;") "&amp;IDNMaps[[#This Row],[Name]])</f>
        <v>(Relation) Item/Prices</v>
      </c>
      <c r="P118" s="6">
        <f ca="1">IFERROR(VLOOKUP(IDNMaps[[#This Row],[Primary]],INDIRECT(VLOOKUP(IDNMaps[[#This Row],[Type]],RecordCount[],2,0)),VLOOKUP(IDNMaps[[#This Row],[Type]],RecordCount[],8,0),0),"")</f>
        <v>2109125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26</v>
      </c>
      <c r="M119" s="6" t="str">
        <f ca="1">IFERROR(VLOOKUP(IDNMaps[[#This Row],[Type]],RecordCount[],6,0)&amp;"-"&amp;IDNMaps[[#This Row],[Type Count]],"")</f>
        <v>Resource Relations-26</v>
      </c>
      <c r="N119" s="6" t="str">
        <f ca="1">IFERROR(VLOOKUP(IDNMaps[[#This Row],[Primary]],INDIRECT(VLOOKUP(IDNMaps[[#This Row],[Type]],RecordCount[],2,0)),VLOOKUP(IDNMaps[[#This Row],[Type]],RecordCount[],7,0),0),"")</f>
        <v>Item/Unassigned</v>
      </c>
      <c r="O119" s="6" t="str">
        <f ca="1">IF(IDNMaps[[#This Row],[Name]]="","","("&amp;IDNMaps[[#This Row],[Type]]&amp;") "&amp;IDNMaps[[#This Row],[Name]])</f>
        <v>(Relation) Item/Unassigned</v>
      </c>
      <c r="P119" s="6">
        <f ca="1">IFERROR(VLOOKUP(IDNMaps[[#This Row],[Primary]],INDIRECT(VLOOKUP(IDNMaps[[#This Row],[Type]],RecordCount[],2,0)),VLOOKUP(IDNMaps[[#This Row],[Type]],RecordCount[],8,0),0),"")</f>
        <v>2109126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27</v>
      </c>
      <c r="M120" s="6" t="str">
        <f ca="1">IFERROR(VLOOKUP(IDNMaps[[#This Row],[Type]],RecordCount[],6,0)&amp;"-"&amp;IDNMaps[[#This Row],[Type Count]],"")</f>
        <v>Resource Relations-27</v>
      </c>
      <c r="N120" s="6" t="str">
        <f ca="1">IFERROR(VLOOKUP(IDNMaps[[#This Row],[Primary]],INDIRECT(VLOOKUP(IDNMaps[[#This Row],[Type]],RecordCount[],2,0)),VLOOKUP(IDNMaps[[#This Row],[Type]],RecordCount[],7,0),0),"")</f>
        <v>Item/Assigned</v>
      </c>
      <c r="O120" s="6" t="str">
        <f ca="1">IF(IDNMaps[[#This Row],[Name]]="","","("&amp;IDNMaps[[#This Row],[Type]]&amp;") "&amp;IDNMaps[[#This Row],[Name]])</f>
        <v>(Relation) Item/Assigned</v>
      </c>
      <c r="P120" s="6">
        <f ca="1">IFERROR(VLOOKUP(IDNMaps[[#This Row],[Primary]],INDIRECT(VLOOKUP(IDNMaps[[#This Row],[Type]],RecordCount[],2,0)),VLOOKUP(IDNMaps[[#This Row],[Type]],RecordCount[],8,0),0),"")</f>
        <v>2109127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28</v>
      </c>
      <c r="M121" s="6" t="str">
        <f ca="1">IFERROR(VLOOKUP(IDNMaps[[#This Row],[Type]],RecordCount[],6,0)&amp;"-"&amp;IDNMaps[[#This Row],[Type Count]],"")</f>
        <v>Resource Relations-28</v>
      </c>
      <c r="N121" s="6" t="str">
        <f ca="1">IFERROR(VLOOKUP(IDNMaps[[#This Row],[Primary]],INDIRECT(VLOOKUP(IDNMaps[[#This Row],[Type]],RecordCount[],2,0)),VLOOKUP(IDNMaps[[#This Row],[Type]],RecordCount[],7,0),0),"")</f>
        <v>Item/Processing</v>
      </c>
      <c r="O121" s="6" t="str">
        <f ca="1">IF(IDNMaps[[#This Row],[Name]]="","","("&amp;IDNMaps[[#This Row],[Type]]&amp;") "&amp;IDNMaps[[#This Row],[Name]])</f>
        <v>(Relation) Item/Processing</v>
      </c>
      <c r="P121" s="6">
        <f ca="1">IFERROR(VLOOKUP(IDNMaps[[#This Row],[Primary]],INDIRECT(VLOOKUP(IDNMaps[[#This Row],[Type]],RecordCount[],2,0)),VLOOKUP(IDNMaps[[#This Row],[Type]],RecordCount[],8,0),0),"")</f>
        <v>2109128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29</v>
      </c>
      <c r="M122" s="6" t="str">
        <f ca="1">IFERROR(VLOOKUP(IDNMaps[[#This Row],[Type]],RecordCount[],6,0)&amp;"-"&amp;IDNMaps[[#This Row],[Type Count]],"")</f>
        <v>Resource Relations-29</v>
      </c>
      <c r="N122" s="6" t="str">
        <f ca="1">IFERROR(VLOOKUP(IDNMaps[[#This Row],[Primary]],INDIRECT(VLOOKUP(IDNMaps[[#This Row],[Type]],RecordCount[],2,0)),VLOOKUP(IDNMaps[[#This Row],[Type]],RecordCount[],7,0),0),"")</f>
        <v>Item/Awaiting</v>
      </c>
      <c r="O122" s="6" t="str">
        <f ca="1">IF(IDNMaps[[#This Row],[Name]]="","","("&amp;IDNMaps[[#This Row],[Type]]&amp;") "&amp;IDNMaps[[#This Row],[Name]])</f>
        <v>(Relation) Item/Awaiting</v>
      </c>
      <c r="P122" s="6">
        <f ca="1">IFERROR(VLOOKUP(IDNMaps[[#This Row],[Primary]],INDIRECT(VLOOKUP(IDNMaps[[#This Row],[Type]],RecordCount[],2,0)),VLOOKUP(IDNMaps[[#This Row],[Type]],RecordCount[],8,0),0),"")</f>
        <v>2109129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30</v>
      </c>
      <c r="M123" s="6" t="str">
        <f ca="1">IFERROR(VLOOKUP(IDNMaps[[#This Row],[Type]],RecordCount[],6,0)&amp;"-"&amp;IDNMaps[[#This Row],[Type Count]],"")</f>
        <v>Resource Relations-30</v>
      </c>
      <c r="N123" s="6" t="str">
        <f ca="1">IFERROR(VLOOKUP(IDNMaps[[#This Row],[Primary]],INDIRECT(VLOOKUP(IDNMaps[[#This Row],[Type]],RecordCount[],2,0)),VLOOKUP(IDNMaps[[#This Row],[Type]],RecordCount[],7,0),0),"")</f>
        <v>Item/ServicingUsers</v>
      </c>
      <c r="O123" s="6" t="str">
        <f ca="1">IF(IDNMaps[[#This Row],[Name]]="","","("&amp;IDNMaps[[#This Row],[Type]]&amp;") "&amp;IDNMaps[[#This Row],[Name]])</f>
        <v>(Relation) Item/ServicingUsers</v>
      </c>
      <c r="P123" s="6">
        <f ca="1">IFERROR(VLOOKUP(IDNMaps[[#This Row],[Primary]],INDIRECT(VLOOKUP(IDNMaps[[#This Row],[Type]],RecordCount[],2,0)),VLOOKUP(IDNMaps[[#This Row],[Type]],RecordCount[],8,0),0),"")</f>
        <v>2109130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31</v>
      </c>
      <c r="M124" s="6" t="str">
        <f ca="1">IFERROR(VLOOKUP(IDNMaps[[#This Row],[Type]],RecordCount[],6,0)&amp;"-"&amp;IDNMaps[[#This Row],[Type Count]],"")</f>
        <v>Resource Relations-31</v>
      </c>
      <c r="N124" s="6" t="str">
        <f ca="1">IFERROR(VLOOKUP(IDNMaps[[#This Row],[Primary]],INDIRECT(VLOOKUP(IDNMaps[[#This Row],[Type]],RecordCount[],2,0)),VLOOKUP(IDNMaps[[#This Row],[Type]],RecordCount[],7,0),0),"")</f>
        <v>ItemService/Item</v>
      </c>
      <c r="O124" s="6" t="str">
        <f ca="1">IF(IDNMaps[[#This Row],[Name]]="","","("&amp;IDNMaps[[#This Row],[Type]]&amp;") "&amp;IDNMaps[[#This Row],[Name]])</f>
        <v>(Relation) ItemService/Item</v>
      </c>
      <c r="P124" s="6">
        <f ca="1">IFERROR(VLOOKUP(IDNMaps[[#This Row],[Primary]],INDIRECT(VLOOKUP(IDNMaps[[#This Row],[Type]],RecordCount[],2,0)),VLOOKUP(IDNMaps[[#This Row],[Type]],RecordCount[],8,0),0),"")</f>
        <v>2109131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32</v>
      </c>
      <c r="M125" s="6" t="str">
        <f ca="1">IFERROR(VLOOKUP(IDNMaps[[#This Row],[Type]],RecordCount[],6,0)&amp;"-"&amp;IDNMaps[[#This Row],[Type Count]],"")</f>
        <v>Resource Relations-32</v>
      </c>
      <c r="N125" s="6" t="str">
        <f ca="1">IFERROR(VLOOKUP(IDNMaps[[#This Row],[Primary]],INDIRECT(VLOOKUP(IDNMaps[[#This Row],[Type]],RecordCount[],2,0)),VLOOKUP(IDNMaps[[#This Row],[Type]],RecordCount[],7,0),0),"")</f>
        <v>ItemService/Service</v>
      </c>
      <c r="O125" s="6" t="str">
        <f ca="1">IF(IDNMaps[[#This Row],[Name]]="","","("&amp;IDNMaps[[#This Row],[Type]]&amp;") "&amp;IDNMaps[[#This Row],[Name]])</f>
        <v>(Relation) ItemService/Service</v>
      </c>
      <c r="P125" s="6">
        <f ca="1">IFERROR(VLOOKUP(IDNMaps[[#This Row],[Primary]],INDIRECT(VLOOKUP(IDNMaps[[#This Row],[Type]],RecordCount[],2,0)),VLOOKUP(IDNMaps[[#This Row],[Type]],RecordCount[],8,0),0),"")</f>
        <v>2109132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33</v>
      </c>
      <c r="M126" s="6" t="str">
        <f ca="1">IFERROR(VLOOKUP(IDNMaps[[#This Row],[Type]],RecordCount[],6,0)&amp;"-"&amp;IDNMaps[[#This Row],[Type Count]],"")</f>
        <v>Resource Relations-33</v>
      </c>
      <c r="N126" s="6" t="str">
        <f ca="1">IFERROR(VLOOKUP(IDNMaps[[#This Row],[Primary]],INDIRECT(VLOOKUP(IDNMaps[[#This Row],[Type]],RecordCount[],2,0)),VLOOKUP(IDNMaps[[#This Row],[Type]],RecordCount[],7,0),0),"")</f>
        <v>ItemService/Price</v>
      </c>
      <c r="O126" s="6" t="str">
        <f ca="1">IF(IDNMaps[[#This Row],[Name]]="","","("&amp;IDNMaps[[#This Row],[Type]]&amp;") "&amp;IDNMaps[[#This Row],[Name]])</f>
        <v>(Relation) ItemService/Price</v>
      </c>
      <c r="P126" s="6">
        <f ca="1">IFERROR(VLOOKUP(IDNMaps[[#This Row],[Primary]],INDIRECT(VLOOKUP(IDNMaps[[#This Row],[Type]],RecordCount[],2,0)),VLOOKUP(IDNMaps[[#This Row],[Type]],RecordCount[],8,0),0),"")</f>
        <v>2109133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34</v>
      </c>
      <c r="M127" s="6" t="str">
        <f ca="1">IFERROR(VLOOKUP(IDNMaps[[#This Row],[Type]],RecordCount[],6,0)&amp;"-"&amp;IDNMaps[[#This Row],[Type Count]],"")</f>
        <v>Resource Relations-34</v>
      </c>
      <c r="N127" s="6" t="str">
        <f ca="1">IFERROR(VLOOKUP(IDNMaps[[#This Row],[Primary]],INDIRECT(VLOOKUP(IDNMaps[[#This Row],[Type]],RecordCount[],2,0)),VLOOKUP(IDNMaps[[#This Row],[Type]],RecordCount[],7,0),0),"")</f>
        <v>UserService/User</v>
      </c>
      <c r="O127" s="6" t="str">
        <f ca="1">IF(IDNMaps[[#This Row],[Name]]="","","("&amp;IDNMaps[[#This Row],[Type]]&amp;") "&amp;IDNMaps[[#This Row],[Name]])</f>
        <v>(Relation) UserService/User</v>
      </c>
      <c r="P127" s="6">
        <f ca="1">IFERROR(VLOOKUP(IDNMaps[[#This Row],[Primary]],INDIRECT(VLOOKUP(IDNMaps[[#This Row],[Type]],RecordCount[],2,0)),VLOOKUP(IDNMaps[[#This Row],[Type]],RecordCount[],8,0),0),"")</f>
        <v>2109134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35</v>
      </c>
      <c r="M128" s="6" t="str">
        <f ca="1">IFERROR(VLOOKUP(IDNMaps[[#This Row],[Type]],RecordCount[],6,0)&amp;"-"&amp;IDNMaps[[#This Row],[Type Count]],"")</f>
        <v>Resource Relations-35</v>
      </c>
      <c r="N128" s="6" t="str">
        <f ca="1">IFERROR(VLOOKUP(IDNMaps[[#This Row],[Primary]],INDIRECT(VLOOKUP(IDNMaps[[#This Row],[Type]],RecordCount[],2,0)),VLOOKUP(IDNMaps[[#This Row],[Type]],RecordCount[],7,0),0),"")</f>
        <v>UserService/Service</v>
      </c>
      <c r="O128" s="6" t="str">
        <f ca="1">IF(IDNMaps[[#This Row],[Name]]="","","("&amp;IDNMaps[[#This Row],[Type]]&amp;") "&amp;IDNMaps[[#This Row],[Name]])</f>
        <v>(Relation) UserService/Service</v>
      </c>
      <c r="P128" s="6">
        <f ca="1">IFERROR(VLOOKUP(IDNMaps[[#This Row],[Primary]],INDIRECT(VLOOKUP(IDNMaps[[#This Row],[Type]],RecordCount[],2,0)),VLOOKUP(IDNMaps[[#This Row],[Type]],RecordCount[],8,0),0),"")</f>
        <v>2109135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9" s="6">
        <f ca="1">IF(IDNMaps[[#This Row],[Type]]="","",COUNTIF($K$1:IDNMaps[[#This Row],[Type]],IDNMaps[[#This Row],[Type]]))</f>
        <v>36</v>
      </c>
      <c r="M129" s="6" t="str">
        <f ca="1">IFERROR(VLOOKUP(IDNMaps[[#This Row],[Type]],RecordCount[],6,0)&amp;"-"&amp;IDNMaps[[#This Row],[Type Count]],"")</f>
        <v>Resource Relations-36</v>
      </c>
      <c r="N129" s="6" t="str">
        <f ca="1">IFERROR(VLOOKUP(IDNMaps[[#This Row],[Primary]],INDIRECT(VLOOKUP(IDNMaps[[#This Row],[Type]],RecordCount[],2,0)),VLOOKUP(IDNMaps[[#This Row],[Type]],RecordCount[],7,0),0),"")</f>
        <v>HubUser/Hub</v>
      </c>
      <c r="O129" s="6" t="str">
        <f ca="1">IF(IDNMaps[[#This Row],[Name]]="","","("&amp;IDNMaps[[#This Row],[Type]]&amp;") "&amp;IDNMaps[[#This Row],[Name]])</f>
        <v>(Relation) HubUser/Hub</v>
      </c>
      <c r="P129" s="6">
        <f ca="1">IFERROR(VLOOKUP(IDNMaps[[#This Row],[Primary]],INDIRECT(VLOOKUP(IDNMaps[[#This Row],[Type]],RecordCount[],2,0)),VLOOKUP(IDNMaps[[#This Row],[Type]],RecordCount[],8,0),0),"")</f>
        <v>2109136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0" s="6">
        <f ca="1">IF(IDNMaps[[#This Row],[Type]]="","",COUNTIF($K$1:IDNMaps[[#This Row],[Type]],IDNMaps[[#This Row],[Type]]))</f>
        <v>37</v>
      </c>
      <c r="M130" s="6" t="str">
        <f ca="1">IFERROR(VLOOKUP(IDNMaps[[#This Row],[Type]],RecordCount[],6,0)&amp;"-"&amp;IDNMaps[[#This Row],[Type Count]],"")</f>
        <v>Resource Relations-37</v>
      </c>
      <c r="N130" s="6" t="str">
        <f ca="1">IFERROR(VLOOKUP(IDNMaps[[#This Row],[Primary]],INDIRECT(VLOOKUP(IDNMaps[[#This Row],[Type]],RecordCount[],2,0)),VLOOKUP(IDNMaps[[#This Row],[Type]],RecordCount[],7,0),0),"")</f>
        <v>HubUser/User</v>
      </c>
      <c r="O130" s="6" t="str">
        <f ca="1">IF(IDNMaps[[#This Row],[Name]]="","","("&amp;IDNMaps[[#This Row],[Type]]&amp;") "&amp;IDNMaps[[#This Row],[Name]])</f>
        <v>(Relation) HubUser/User</v>
      </c>
      <c r="P130" s="6">
        <f ca="1">IFERROR(VLOOKUP(IDNMaps[[#This Row],[Primary]],INDIRECT(VLOOKUP(IDNMaps[[#This Row],[Type]],RecordCount[],2,0)),VLOOKUP(IDNMaps[[#This Row],[Type]],RecordCount[],8,0),0),"")</f>
        <v>2109137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1" s="6">
        <f ca="1">IF(IDNMaps[[#This Row],[Type]]="","",COUNTIF($K$1:IDNMaps[[#This Row],[Type]],IDNMaps[[#This Row],[Type]]))</f>
        <v>38</v>
      </c>
      <c r="M131" s="6" t="str">
        <f ca="1">IFERROR(VLOOKUP(IDNMaps[[#This Row],[Type]],RecordCount[],6,0)&amp;"-"&amp;IDNMaps[[#This Row],[Type Count]],"")</f>
        <v>Resource Relations-38</v>
      </c>
      <c r="N131" s="6" t="str">
        <f ca="1">IFERROR(VLOOKUP(IDNMaps[[#This Row],[Primary]],INDIRECT(VLOOKUP(IDNMaps[[#This Row],[Type]],RecordCount[],2,0)),VLOOKUP(IDNMaps[[#This Row],[Type]],RecordCount[],7,0),0),"")</f>
        <v>Shelf/Hub</v>
      </c>
      <c r="O131" s="6" t="str">
        <f ca="1">IF(IDNMaps[[#This Row],[Name]]="","","("&amp;IDNMaps[[#This Row],[Type]]&amp;") "&amp;IDNMaps[[#This Row],[Name]])</f>
        <v>(Relation) Shelf/Hub</v>
      </c>
      <c r="P131" s="6">
        <f ca="1">IFERROR(VLOOKUP(IDNMaps[[#This Row],[Primary]],INDIRECT(VLOOKUP(IDNMaps[[#This Row],[Type]],RecordCount[],2,0)),VLOOKUP(IDNMaps[[#This Row],[Type]],RecordCount[],8,0),0),"")</f>
        <v>2109138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2" s="6">
        <f ca="1">IF(IDNMaps[[#This Row],[Type]]="","",COUNTIF($K$1:IDNMaps[[#This Row],[Type]],IDNMaps[[#This Row],[Type]]))</f>
        <v>39</v>
      </c>
      <c r="M132" s="6" t="str">
        <f ca="1">IFERROR(VLOOKUP(IDNMaps[[#This Row],[Type]],RecordCount[],6,0)&amp;"-"&amp;IDNMaps[[#This Row],[Type Count]],"")</f>
        <v>Resource Relations-39</v>
      </c>
      <c r="N132" s="6" t="str">
        <f ca="1">IFERROR(VLOOKUP(IDNMaps[[#This Row],[Primary]],INDIRECT(VLOOKUP(IDNMaps[[#This Row],[Type]],RecordCount[],2,0)),VLOOKUP(IDNMaps[[#This Row],[Type]],RecordCount[],7,0),0),"")</f>
        <v>Shelf/Items</v>
      </c>
      <c r="O132" s="6" t="str">
        <f ca="1">IF(IDNMaps[[#This Row],[Name]]="","","("&amp;IDNMaps[[#This Row],[Type]]&amp;") "&amp;IDNMaps[[#This Row],[Name]])</f>
        <v>(Relation) Shelf/Items</v>
      </c>
      <c r="P132" s="6">
        <f ca="1">IFERROR(VLOOKUP(IDNMaps[[#This Row],[Primary]],INDIRECT(VLOOKUP(IDNMaps[[#This Row],[Type]],RecordCount[],2,0)),VLOOKUP(IDNMaps[[#This Row],[Type]],RecordCount[],8,0),0),"")</f>
        <v>2109139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3" s="6">
        <f ca="1">IF(IDNMaps[[#This Row],[Type]]="","",COUNTIF($K$1:IDNMaps[[#This Row],[Type]],IDNMaps[[#This Row],[Type]]))</f>
        <v>40</v>
      </c>
      <c r="M133" s="6" t="str">
        <f ca="1">IFERROR(VLOOKUP(IDNMaps[[#This Row],[Type]],RecordCount[],6,0)&amp;"-"&amp;IDNMaps[[#This Row],[Type Count]],"")</f>
        <v>Resource Relations-40</v>
      </c>
      <c r="N133" s="6" t="str">
        <f ca="1">IFERROR(VLOOKUP(IDNMaps[[#This Row],[Primary]],INDIRECT(VLOOKUP(IDNMaps[[#This Row],[Type]],RecordCount[],2,0)),VLOOKUP(IDNMaps[[#This Row],[Type]],RecordCount[],7,0),0),"")</f>
        <v>HubDefaultShelf/Hub</v>
      </c>
      <c r="O133" s="6" t="str">
        <f ca="1">IF(IDNMaps[[#This Row],[Name]]="","","("&amp;IDNMaps[[#This Row],[Type]]&amp;") "&amp;IDNMaps[[#This Row],[Name]])</f>
        <v>(Relation) HubDefaultShelf/Hub</v>
      </c>
      <c r="P133" s="6">
        <f ca="1">IFERROR(VLOOKUP(IDNMaps[[#This Row],[Primary]],INDIRECT(VLOOKUP(IDNMaps[[#This Row],[Type]],RecordCount[],2,0)),VLOOKUP(IDNMaps[[#This Row],[Type]],RecordCount[],8,0),0),"")</f>
        <v>2109140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4" s="6">
        <f ca="1">IF(IDNMaps[[#This Row],[Type]]="","",COUNTIF($K$1:IDNMaps[[#This Row],[Type]],IDNMaps[[#This Row],[Type]]))</f>
        <v>41</v>
      </c>
      <c r="M134" s="6" t="str">
        <f ca="1">IFERROR(VLOOKUP(IDNMaps[[#This Row],[Type]],RecordCount[],6,0)&amp;"-"&amp;IDNMaps[[#This Row],[Type Count]],"")</f>
        <v>Resource Relations-41</v>
      </c>
      <c r="N134" s="6" t="str">
        <f ca="1">IFERROR(VLOOKUP(IDNMaps[[#This Row],[Primary]],INDIRECT(VLOOKUP(IDNMaps[[#This Row],[Type]],RecordCount[],2,0)),VLOOKUP(IDNMaps[[#This Row],[Type]],RecordCount[],7,0),0),"")</f>
        <v>HubDefaultShelf/Shelf</v>
      </c>
      <c r="O134" s="6" t="str">
        <f ca="1">IF(IDNMaps[[#This Row],[Name]]="","","("&amp;IDNMaps[[#This Row],[Type]]&amp;") "&amp;IDNMaps[[#This Row],[Name]])</f>
        <v>(Relation) HubDefaultShelf/Shelf</v>
      </c>
      <c r="P134" s="6">
        <f ca="1">IFERROR(VLOOKUP(IDNMaps[[#This Row],[Primary]],INDIRECT(VLOOKUP(IDNMaps[[#This Row],[Type]],RecordCount[],2,0)),VLOOKUP(IDNMaps[[#This Row],[Type]],RecordCount[],8,0),0),"")</f>
        <v>2109141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5" s="6">
        <f ca="1">IF(IDNMaps[[#This Row],[Type]]="","",COUNTIF($K$1:IDNMaps[[#This Row],[Type]],IDNMaps[[#This Row],[Type]]))</f>
        <v>42</v>
      </c>
      <c r="M135" s="6" t="str">
        <f ca="1">IFERROR(VLOOKUP(IDNMaps[[#This Row],[Type]],RecordCount[],6,0)&amp;"-"&amp;IDNMaps[[#This Row],[Type Count]],"")</f>
        <v>Resource Relations-42</v>
      </c>
      <c r="N135" s="6" t="str">
        <f ca="1">IFERROR(VLOOKUP(IDNMaps[[#This Row],[Primary]],INDIRECT(VLOOKUP(IDNMaps[[#This Row],[Type]],RecordCount[],2,0)),VLOOKUP(IDNMaps[[#This Row],[Type]],RecordCount[],7,0),0),"")</f>
        <v>Pricelist/Contents</v>
      </c>
      <c r="O135" s="6" t="str">
        <f ca="1">IF(IDNMaps[[#This Row],[Name]]="","","("&amp;IDNMaps[[#This Row],[Type]]&amp;") "&amp;IDNMaps[[#This Row],[Name]])</f>
        <v>(Relation) Pricelist/Contents</v>
      </c>
      <c r="P135" s="6">
        <f ca="1">IFERROR(VLOOKUP(IDNMaps[[#This Row],[Primary]],INDIRECT(VLOOKUP(IDNMaps[[#This Row],[Type]],RecordCount[],2,0)),VLOOKUP(IDNMaps[[#This Row],[Type]],RecordCount[],8,0),0),"")</f>
        <v>2109142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6" s="6">
        <f ca="1">IF(IDNMaps[[#This Row],[Type]]="","",COUNTIF($K$1:IDNMaps[[#This Row],[Type]],IDNMaps[[#This Row],[Type]]))</f>
        <v>43</v>
      </c>
      <c r="M136" s="6" t="str">
        <f ca="1">IFERROR(VLOOKUP(IDNMaps[[#This Row],[Type]],RecordCount[],6,0)&amp;"-"&amp;IDNMaps[[#This Row],[Type Count]],"")</f>
        <v>Resource Relations-43</v>
      </c>
      <c r="N136" s="6" t="str">
        <f ca="1">IFERROR(VLOOKUP(IDNMaps[[#This Row],[Primary]],INDIRECT(VLOOKUP(IDNMaps[[#This Row],[Type]],RecordCount[],2,0)),VLOOKUP(IDNMaps[[#This Row],[Type]],RecordCount[],7,0),0),"")</f>
        <v>PricelistContent/Pricelist</v>
      </c>
      <c r="O136" s="6" t="str">
        <f ca="1">IF(IDNMaps[[#This Row],[Name]]="","","("&amp;IDNMaps[[#This Row],[Type]]&amp;") "&amp;IDNMaps[[#This Row],[Name]])</f>
        <v>(Relation) PricelistContent/Pricelist</v>
      </c>
      <c r="P136" s="6">
        <f ca="1">IFERROR(VLOOKUP(IDNMaps[[#This Row],[Primary]],INDIRECT(VLOOKUP(IDNMaps[[#This Row],[Type]],RecordCount[],2,0)),VLOOKUP(IDNMaps[[#This Row],[Type]],RecordCount[],8,0),0),"")</f>
        <v>2109143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7" s="6">
        <f ca="1">IF(IDNMaps[[#This Row],[Type]]="","",COUNTIF($K$1:IDNMaps[[#This Row],[Type]],IDNMaps[[#This Row],[Type]]))</f>
        <v>44</v>
      </c>
      <c r="M137" s="6" t="str">
        <f ca="1">IFERROR(VLOOKUP(IDNMaps[[#This Row],[Type]],RecordCount[],6,0)&amp;"-"&amp;IDNMaps[[#This Row],[Type Count]],"")</f>
        <v>Resource Relations-44</v>
      </c>
      <c r="N137" s="6" t="str">
        <f ca="1">IFERROR(VLOOKUP(IDNMaps[[#This Row],[Primary]],INDIRECT(VLOOKUP(IDNMaps[[#This Row],[Type]],RecordCount[],2,0)),VLOOKUP(IDNMaps[[#This Row],[Type]],RecordCount[],7,0),0),"")</f>
        <v>PricelistContent/ItemService</v>
      </c>
      <c r="O137" s="6" t="str">
        <f ca="1">IF(IDNMaps[[#This Row],[Name]]="","","("&amp;IDNMaps[[#This Row],[Type]]&amp;") "&amp;IDNMaps[[#This Row],[Name]])</f>
        <v>(Relation) PricelistContent/ItemService</v>
      </c>
      <c r="P137" s="6">
        <f ca="1">IFERROR(VLOOKUP(IDNMaps[[#This Row],[Primary]],INDIRECT(VLOOKUP(IDNMaps[[#This Row],[Type]],RecordCount[],2,0)),VLOOKUP(IDNMaps[[#This Row],[Type]],RecordCount[],8,0),0),"")</f>
        <v>2109144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8" s="6">
        <f ca="1">IF(IDNMaps[[#This Row],[Type]]="","",COUNTIF($K$1:IDNMaps[[#This Row],[Type]],IDNMaps[[#This Row],[Type]]))</f>
        <v>45</v>
      </c>
      <c r="M138" s="6" t="str">
        <f ca="1">IFERROR(VLOOKUP(IDNMaps[[#This Row],[Type]],RecordCount[],6,0)&amp;"-"&amp;IDNMaps[[#This Row],[Type Count]],"")</f>
        <v>Resource Relations-45</v>
      </c>
      <c r="N138" s="6" t="str">
        <f ca="1">IFERROR(VLOOKUP(IDNMaps[[#This Row],[Primary]],INDIRECT(VLOOKUP(IDNMaps[[#This Row],[Type]],RecordCount[],2,0)),VLOOKUP(IDNMaps[[#This Row],[Type]],RecordCount[],7,0),0),"")</f>
        <v>IdentityLabel/Item</v>
      </c>
      <c r="O138" s="6" t="str">
        <f ca="1">IF(IDNMaps[[#This Row],[Name]]="","","("&amp;IDNMaps[[#This Row],[Type]]&amp;") "&amp;IDNMaps[[#This Row],[Name]])</f>
        <v>(Relation) IdentityLabel/Item</v>
      </c>
      <c r="P138" s="6">
        <f ca="1">IFERROR(VLOOKUP(IDNMaps[[#This Row],[Primary]],INDIRECT(VLOOKUP(IDNMaps[[#This Row],[Type]],RecordCount[],2,0)),VLOOKUP(IDNMaps[[#This Row],[Type]],RecordCount[],8,0),0),"")</f>
        <v>2109145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9" s="6">
        <f ca="1">IF(IDNMaps[[#This Row],[Type]]="","",COUNTIF($K$1:IDNMaps[[#This Row],[Type]],IDNMaps[[#This Row],[Type]]))</f>
        <v>46</v>
      </c>
      <c r="M139" s="6" t="str">
        <f ca="1">IFERROR(VLOOKUP(IDNMaps[[#This Row],[Type]],RecordCount[],6,0)&amp;"-"&amp;IDNMaps[[#This Row],[Type Count]],"")</f>
        <v>Resource Relations-46</v>
      </c>
      <c r="N139" s="6" t="str">
        <f ca="1">IFERROR(VLOOKUP(IDNMaps[[#This Row],[Primary]],INDIRECT(VLOOKUP(IDNMaps[[#This Row],[Type]],RecordCount[],2,0)),VLOOKUP(IDNMaps[[#This Row],[Type]],RecordCount[],7,0),0),"")</f>
        <v>Order/Items</v>
      </c>
      <c r="O139" s="6" t="str">
        <f ca="1">IF(IDNMaps[[#This Row],[Name]]="","","("&amp;IDNMaps[[#This Row],[Type]]&amp;") "&amp;IDNMaps[[#This Row],[Name]])</f>
        <v>(Relation) Order/Items</v>
      </c>
      <c r="P139" s="6">
        <f ca="1">IFERROR(VLOOKUP(IDNMaps[[#This Row],[Primary]],INDIRECT(VLOOKUP(IDNMaps[[#This Row],[Type]],RecordCount[],2,0)),VLOOKUP(IDNMaps[[#This Row],[Type]],RecordCount[],8,0),0),"")</f>
        <v>2109146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0" s="6">
        <f ca="1">IF(IDNMaps[[#This Row],[Type]]="","",COUNTIF($K$1:IDNMaps[[#This Row],[Type]],IDNMaps[[#This Row],[Type]]))</f>
        <v>47</v>
      </c>
      <c r="M140" s="6" t="str">
        <f ca="1">IFERROR(VLOOKUP(IDNMaps[[#This Row],[Type]],RecordCount[],6,0)&amp;"-"&amp;IDNMaps[[#This Row],[Type Count]],"")</f>
        <v>Resource Relations-47</v>
      </c>
      <c r="N140" s="6" t="str">
        <f ca="1">IFERROR(VLOOKUP(IDNMaps[[#This Row],[Primary]],INDIRECT(VLOOKUP(IDNMaps[[#This Row],[Type]],RecordCount[],2,0)),VLOOKUP(IDNMaps[[#This Row],[Type]],RecordCount[],7,0),0),"")</f>
        <v>Order/Customer</v>
      </c>
      <c r="O140" s="6" t="str">
        <f ca="1">IF(IDNMaps[[#This Row],[Name]]="","","("&amp;IDNMaps[[#This Row],[Type]]&amp;") "&amp;IDNMaps[[#This Row],[Name]])</f>
        <v>(Relation) Order/Customer</v>
      </c>
      <c r="P140" s="6">
        <f ca="1">IFERROR(VLOOKUP(IDNMaps[[#This Row],[Primary]],INDIRECT(VLOOKUP(IDNMaps[[#This Row],[Type]],RecordCount[],2,0)),VLOOKUP(IDNMaps[[#This Row],[Type]],RecordCount[],8,0),0),"")</f>
        <v>2109147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1" s="6">
        <f ca="1">IF(IDNMaps[[#This Row],[Type]]="","",COUNTIF($K$1:IDNMaps[[#This Row],[Type]],IDNMaps[[#This Row],[Type]]))</f>
        <v>48</v>
      </c>
      <c r="M141" s="6" t="str">
        <f ca="1">IFERROR(VLOOKUP(IDNMaps[[#This Row],[Type]],RecordCount[],6,0)&amp;"-"&amp;IDNMaps[[#This Row],[Type Count]],"")</f>
        <v>Resource Relations-48</v>
      </c>
      <c r="N141" s="6" t="str">
        <f ca="1">IFERROR(VLOOKUP(IDNMaps[[#This Row],[Primary]],INDIRECT(VLOOKUP(IDNMaps[[#This Row],[Type]],RecordCount[],2,0)),VLOOKUP(IDNMaps[[#This Row],[Type]],RecordCount[],7,0),0),"")</f>
        <v>Order/Hub</v>
      </c>
      <c r="O141" s="6" t="str">
        <f ca="1">IF(IDNMaps[[#This Row],[Name]]="","","("&amp;IDNMaps[[#This Row],[Type]]&amp;") "&amp;IDNMaps[[#This Row],[Name]])</f>
        <v>(Relation) Order/Hub</v>
      </c>
      <c r="P141" s="6">
        <f ca="1">IFERROR(VLOOKUP(IDNMaps[[#This Row],[Primary]],INDIRECT(VLOOKUP(IDNMaps[[#This Row],[Type]],RecordCount[],2,0)),VLOOKUP(IDNMaps[[#This Row],[Type]],RecordCount[],8,0),0),"")</f>
        <v>2109148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2" s="6">
        <f ca="1">IF(IDNMaps[[#This Row],[Type]]="","",COUNTIF($K$1:IDNMaps[[#This Row],[Type]],IDNMaps[[#This Row],[Type]]))</f>
        <v>49</v>
      </c>
      <c r="M142" s="6" t="str">
        <f ca="1">IFERROR(VLOOKUP(IDNMaps[[#This Row],[Type]],RecordCount[],6,0)&amp;"-"&amp;IDNMaps[[#This Row],[Type Count]],"")</f>
        <v>Resource Relations-49</v>
      </c>
      <c r="N142" s="6" t="str">
        <f ca="1">IFERROR(VLOOKUP(IDNMaps[[#This Row],[Primary]],INDIRECT(VLOOKUP(IDNMaps[[#This Row],[Type]],RecordCount[],2,0)),VLOOKUP(IDNMaps[[#This Row],[Type]],RecordCount[],7,0),0),"")</f>
        <v>Order/Invoice</v>
      </c>
      <c r="O142" s="6" t="str">
        <f ca="1">IF(IDNMaps[[#This Row],[Name]]="","","("&amp;IDNMaps[[#This Row],[Type]]&amp;") "&amp;IDNMaps[[#This Row],[Name]])</f>
        <v>(Relation) Order/Invoice</v>
      </c>
      <c r="P142" s="6">
        <f ca="1">IFERROR(VLOOKUP(IDNMaps[[#This Row],[Primary]],INDIRECT(VLOOKUP(IDNMaps[[#This Row],[Type]],RecordCount[],2,0)),VLOOKUP(IDNMaps[[#This Row],[Type]],RecordCount[],8,0),0),"")</f>
        <v>2109149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3" s="6">
        <f ca="1">IF(IDNMaps[[#This Row],[Type]]="","",COUNTIF($K$1:IDNMaps[[#This Row],[Type]],IDNMaps[[#This Row],[Type]]))</f>
        <v>50</v>
      </c>
      <c r="M143" s="6" t="str">
        <f ca="1">IFERROR(VLOOKUP(IDNMaps[[#This Row],[Type]],RecordCount[],6,0)&amp;"-"&amp;IDNMaps[[#This Row],[Type Count]],"")</f>
        <v>Resource Relations-50</v>
      </c>
      <c r="N143" s="6" t="str">
        <f ca="1">IFERROR(VLOOKUP(IDNMaps[[#This Row],[Primary]],INDIRECT(VLOOKUP(IDNMaps[[#This Row],[Type]],RecordCount[],2,0)),VLOOKUP(IDNMaps[[#This Row],[Type]],RecordCount[],7,0),0),"")</f>
        <v>Order/Deliveries</v>
      </c>
      <c r="O143" s="6" t="str">
        <f ca="1">IF(IDNMaps[[#This Row],[Name]]="","","("&amp;IDNMaps[[#This Row],[Type]]&amp;") "&amp;IDNMaps[[#This Row],[Name]])</f>
        <v>(Relation) Order/Deliveries</v>
      </c>
      <c r="P143" s="6">
        <f ca="1">IFERROR(VLOOKUP(IDNMaps[[#This Row],[Primary]],INDIRECT(VLOOKUP(IDNMaps[[#This Row],[Type]],RecordCount[],2,0)),VLOOKUP(IDNMaps[[#This Row],[Type]],RecordCount[],8,0),0),"")</f>
        <v>2109150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4" s="6">
        <f ca="1">IF(IDNMaps[[#This Row],[Type]]="","",COUNTIF($K$1:IDNMaps[[#This Row],[Type]],IDNMaps[[#This Row],[Type]]))</f>
        <v>51</v>
      </c>
      <c r="M144" s="6" t="str">
        <f ca="1">IFERROR(VLOOKUP(IDNMaps[[#This Row],[Type]],RecordCount[],6,0)&amp;"-"&amp;IDNMaps[[#This Row],[Type Count]],"")</f>
        <v>Resource Relations-51</v>
      </c>
      <c r="N144" s="6" t="str">
        <f ca="1">IFERROR(VLOOKUP(IDNMaps[[#This Row],[Primary]],INDIRECT(VLOOKUP(IDNMaps[[#This Row],[Type]],RecordCount[],2,0)),VLOOKUP(IDNMaps[[#This Row],[Type]],RecordCount[],7,0),0),"")</f>
        <v>Order/Receipts</v>
      </c>
      <c r="O144" s="6" t="str">
        <f ca="1">IF(IDNMaps[[#This Row],[Name]]="","","("&amp;IDNMaps[[#This Row],[Type]]&amp;") "&amp;IDNMaps[[#This Row],[Name]])</f>
        <v>(Relation) Order/Receipts</v>
      </c>
      <c r="P144" s="6">
        <f ca="1">IFERROR(VLOOKUP(IDNMaps[[#This Row],[Primary]],INDIRECT(VLOOKUP(IDNMaps[[#This Row],[Type]],RecordCount[],2,0)),VLOOKUP(IDNMaps[[#This Row],[Type]],RecordCount[],8,0),0),"")</f>
        <v>2109151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5" s="6">
        <f ca="1">IF(IDNMaps[[#This Row],[Type]]="","",COUNTIF($K$1:IDNMaps[[#This Row],[Type]],IDNMaps[[#This Row],[Type]]))</f>
        <v>52</v>
      </c>
      <c r="M145" s="6" t="str">
        <f ca="1">IFERROR(VLOOKUP(IDNMaps[[#This Row],[Type]],RecordCount[],6,0)&amp;"-"&amp;IDNMaps[[#This Row],[Type Count]],"")</f>
        <v>Resource Relations-52</v>
      </c>
      <c r="N145" s="6" t="str">
        <f ca="1">IFERROR(VLOOKUP(IDNMaps[[#This Row],[Primary]],INDIRECT(VLOOKUP(IDNMaps[[#This Row],[Type]],RecordCount[],2,0)),VLOOKUP(IDNMaps[[#This Row],[Type]],RecordCount[],7,0),0),"")</f>
        <v>OrderItem/Order</v>
      </c>
      <c r="O145" s="6" t="str">
        <f ca="1">IF(IDNMaps[[#This Row],[Name]]="","","("&amp;IDNMaps[[#This Row],[Type]]&amp;") "&amp;IDNMaps[[#This Row],[Name]])</f>
        <v>(Relation) OrderItem/Order</v>
      </c>
      <c r="P145" s="6">
        <f ca="1">IFERROR(VLOOKUP(IDNMaps[[#This Row],[Primary]],INDIRECT(VLOOKUP(IDNMaps[[#This Row],[Type]],RecordCount[],2,0)),VLOOKUP(IDNMaps[[#This Row],[Type]],RecordCount[],8,0),0),"")</f>
        <v>2109152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6" s="6">
        <f ca="1">IF(IDNMaps[[#This Row],[Type]]="","",COUNTIF($K$1:IDNMaps[[#This Row],[Type]],IDNMaps[[#This Row],[Type]]))</f>
        <v>53</v>
      </c>
      <c r="M146" s="6" t="str">
        <f ca="1">IFERROR(VLOOKUP(IDNMaps[[#This Row],[Type]],RecordCount[],6,0)&amp;"-"&amp;IDNMaps[[#This Row],[Type Count]],"")</f>
        <v>Resource Relations-53</v>
      </c>
      <c r="N146" s="6" t="str">
        <f ca="1">IFERROR(VLOOKUP(IDNMaps[[#This Row],[Primary]],INDIRECT(VLOOKUP(IDNMaps[[#This Row],[Type]],RecordCount[],2,0)),VLOOKUP(IDNMaps[[#This Row],[Type]],RecordCount[],7,0),0),"")</f>
        <v>OrderItem/Item</v>
      </c>
      <c r="O146" s="6" t="str">
        <f ca="1">IF(IDNMaps[[#This Row],[Name]]="","","("&amp;IDNMaps[[#This Row],[Type]]&amp;") "&amp;IDNMaps[[#This Row],[Name]])</f>
        <v>(Relation) OrderItem/Item</v>
      </c>
      <c r="P146" s="6">
        <f ca="1">IFERROR(VLOOKUP(IDNMaps[[#This Row],[Primary]],INDIRECT(VLOOKUP(IDNMaps[[#This Row],[Type]],RecordCount[],2,0)),VLOOKUP(IDNMaps[[#This Row],[Type]],RecordCount[],8,0),0),"")</f>
        <v>2109153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7" s="6">
        <f ca="1">IF(IDNMaps[[#This Row],[Type]]="","",COUNTIF($K$1:IDNMaps[[#This Row],[Type]],IDNMaps[[#This Row],[Type]]))</f>
        <v>54</v>
      </c>
      <c r="M147" s="6" t="str">
        <f ca="1">IFERROR(VLOOKUP(IDNMaps[[#This Row],[Type]],RecordCount[],6,0)&amp;"-"&amp;IDNMaps[[#This Row],[Type Count]],"")</f>
        <v>Resource Relations-54</v>
      </c>
      <c r="N147" s="6" t="str">
        <f ca="1">IFERROR(VLOOKUP(IDNMaps[[#This Row],[Primary]],INDIRECT(VLOOKUP(IDNMaps[[#This Row],[Type]],RecordCount[],2,0)),VLOOKUP(IDNMaps[[#This Row],[Type]],RecordCount[],7,0),0),"")</f>
        <v>OrderItem/Label</v>
      </c>
      <c r="O147" s="6" t="str">
        <f ca="1">IF(IDNMaps[[#This Row],[Name]]="","","("&amp;IDNMaps[[#This Row],[Type]]&amp;") "&amp;IDNMaps[[#This Row],[Name]])</f>
        <v>(Relation) OrderItem/Label</v>
      </c>
      <c r="P147" s="6">
        <f ca="1">IFERROR(VLOOKUP(IDNMaps[[#This Row],[Primary]],INDIRECT(VLOOKUP(IDNMaps[[#This Row],[Type]],RecordCount[],2,0)),VLOOKUP(IDNMaps[[#This Row],[Type]],RecordCount[],8,0),0),"")</f>
        <v>2109154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8" s="6">
        <f ca="1">IF(IDNMaps[[#This Row],[Type]]="","",COUNTIF($K$1:IDNMaps[[#This Row],[Type]],IDNMaps[[#This Row],[Type]]))</f>
        <v>55</v>
      </c>
      <c r="M148" s="6" t="str">
        <f ca="1">IFERROR(VLOOKUP(IDNMaps[[#This Row],[Type]],RecordCount[],6,0)&amp;"-"&amp;IDNMaps[[#This Row],[Type Count]],"")</f>
        <v>Resource Relations-55</v>
      </c>
      <c r="N148" s="6" t="str">
        <f ca="1">IFERROR(VLOOKUP(IDNMaps[[#This Row],[Primary]],INDIRECT(VLOOKUP(IDNMaps[[#This Row],[Type]],RecordCount[],2,0)),VLOOKUP(IDNMaps[[#This Row],[Type]],RecordCount[],7,0),0),"")</f>
        <v>OrderItem/Shelf</v>
      </c>
      <c r="O148" s="6" t="str">
        <f ca="1">IF(IDNMaps[[#This Row],[Name]]="","","("&amp;IDNMaps[[#This Row],[Type]]&amp;") "&amp;IDNMaps[[#This Row],[Name]])</f>
        <v>(Relation) OrderItem/Shelf</v>
      </c>
      <c r="P148" s="6">
        <f ca="1">IFERROR(VLOOKUP(IDNMaps[[#This Row],[Primary]],INDIRECT(VLOOKUP(IDNMaps[[#This Row],[Type]],RecordCount[],2,0)),VLOOKUP(IDNMaps[[#This Row],[Type]],RecordCount[],8,0),0),"")</f>
        <v>2109155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9" s="6">
        <f ca="1">IF(IDNMaps[[#This Row],[Type]]="","",COUNTIF($K$1:IDNMaps[[#This Row],[Type]],IDNMaps[[#This Row],[Type]]))</f>
        <v>56</v>
      </c>
      <c r="M149" s="6" t="str">
        <f ca="1">IFERROR(VLOOKUP(IDNMaps[[#This Row],[Type]],RecordCount[],6,0)&amp;"-"&amp;IDNMaps[[#This Row],[Type Count]],"")</f>
        <v>Resource Relations-56</v>
      </c>
      <c r="N149" s="6" t="str">
        <f ca="1">IFERROR(VLOOKUP(IDNMaps[[#This Row],[Primary]],INDIRECT(VLOOKUP(IDNMaps[[#This Row],[Type]],RecordCount[],2,0)),VLOOKUP(IDNMaps[[#This Row],[Type]],RecordCount[],7,0),0),"")</f>
        <v>OrderItem/OIS</v>
      </c>
      <c r="O149" s="6" t="str">
        <f ca="1">IF(IDNMaps[[#This Row],[Name]]="","","("&amp;IDNMaps[[#This Row],[Type]]&amp;") "&amp;IDNMaps[[#This Row],[Name]])</f>
        <v>(Relation) OrderItem/OIS</v>
      </c>
      <c r="P149" s="6">
        <f ca="1">IFERROR(VLOOKUP(IDNMaps[[#This Row],[Primary]],INDIRECT(VLOOKUP(IDNMaps[[#This Row],[Type]],RecordCount[],2,0)),VLOOKUP(IDNMaps[[#This Row],[Type]],RecordCount[],8,0),0),"")</f>
        <v>2109156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0" s="6">
        <f ca="1">IF(IDNMaps[[#This Row],[Type]]="","",COUNTIF($K$1:IDNMaps[[#This Row],[Type]],IDNMaps[[#This Row],[Type]]))</f>
        <v>57</v>
      </c>
      <c r="M150" s="6" t="str">
        <f ca="1">IFERROR(VLOOKUP(IDNMaps[[#This Row],[Type]],RecordCount[],6,0)&amp;"-"&amp;IDNMaps[[#This Row],[Type Count]],"")</f>
        <v>Resource Relations-57</v>
      </c>
      <c r="N150" s="6" t="str">
        <f ca="1">IFERROR(VLOOKUP(IDNMaps[[#This Row],[Primary]],INDIRECT(VLOOKUP(IDNMaps[[#This Row],[Type]],RecordCount[],2,0)),VLOOKUP(IDNMaps[[#This Row],[Type]],RecordCount[],7,0),0),"")</f>
        <v>OrderItem/Shifts</v>
      </c>
      <c r="O150" s="6" t="str">
        <f ca="1">IF(IDNMaps[[#This Row],[Name]]="","","("&amp;IDNMaps[[#This Row],[Type]]&amp;") "&amp;IDNMaps[[#This Row],[Name]])</f>
        <v>(Relation) OrderItem/Shifts</v>
      </c>
      <c r="P150" s="6">
        <f ca="1">IFERROR(VLOOKUP(IDNMaps[[#This Row],[Primary]],INDIRECT(VLOOKUP(IDNMaps[[#This Row],[Type]],RecordCount[],2,0)),VLOOKUP(IDNMaps[[#This Row],[Type]],RecordCount[],8,0),0),"")</f>
        <v>2109157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1" s="6">
        <f ca="1">IF(IDNMaps[[#This Row],[Type]]="","",COUNTIF($K$1:IDNMaps[[#This Row],[Type]],IDNMaps[[#This Row],[Type]]))</f>
        <v>58</v>
      </c>
      <c r="M151" s="6" t="str">
        <f ca="1">IFERROR(VLOOKUP(IDNMaps[[#This Row],[Type]],RecordCount[],6,0)&amp;"-"&amp;IDNMaps[[#This Row],[Type Count]],"")</f>
        <v>Resource Relations-58</v>
      </c>
      <c r="N151" s="6" t="str">
        <f ca="1">IFERROR(VLOOKUP(IDNMaps[[#This Row],[Primary]],INDIRECT(VLOOKUP(IDNMaps[[#This Row],[Type]],RecordCount[],2,0)),VLOOKUP(IDNMaps[[#This Row],[Type]],RecordCount[],7,0),0),"")</f>
        <v>OrderItemService/OrderItem</v>
      </c>
      <c r="O151" s="6" t="str">
        <f ca="1">IF(IDNMaps[[#This Row],[Name]]="","","("&amp;IDNMaps[[#This Row],[Type]]&amp;") "&amp;IDNMaps[[#This Row],[Name]])</f>
        <v>(Relation) OrderItemService/OrderItem</v>
      </c>
      <c r="P151" s="6">
        <f ca="1">IFERROR(VLOOKUP(IDNMaps[[#This Row],[Primary]],INDIRECT(VLOOKUP(IDNMaps[[#This Row],[Type]],RecordCount[],2,0)),VLOOKUP(IDNMaps[[#This Row],[Type]],RecordCount[],8,0),0),"")</f>
        <v>2109158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2" s="6">
        <f ca="1">IF(IDNMaps[[#This Row],[Type]]="","",COUNTIF($K$1:IDNMaps[[#This Row],[Type]],IDNMaps[[#This Row],[Type]]))</f>
        <v>59</v>
      </c>
      <c r="M152" s="6" t="str">
        <f ca="1">IFERROR(VLOOKUP(IDNMaps[[#This Row],[Type]],RecordCount[],6,0)&amp;"-"&amp;IDNMaps[[#This Row],[Type Count]],"")</f>
        <v>Resource Relations-59</v>
      </c>
      <c r="N152" s="6" t="str">
        <f ca="1">IFERROR(VLOOKUP(IDNMaps[[#This Row],[Primary]],INDIRECT(VLOOKUP(IDNMaps[[#This Row],[Type]],RecordCount[],2,0)),VLOOKUP(IDNMaps[[#This Row],[Type]],RecordCount[],7,0),0),"")</f>
        <v>OrderItemService/Service</v>
      </c>
      <c r="O152" s="6" t="str">
        <f ca="1">IF(IDNMaps[[#This Row],[Name]]="","","("&amp;IDNMaps[[#This Row],[Type]]&amp;") "&amp;IDNMaps[[#This Row],[Name]])</f>
        <v>(Relation) OrderItemService/Service</v>
      </c>
      <c r="P152" s="6">
        <f ca="1">IFERROR(VLOOKUP(IDNMaps[[#This Row],[Primary]],INDIRECT(VLOOKUP(IDNMaps[[#This Row],[Type]],RecordCount[],2,0)),VLOOKUP(IDNMaps[[#This Row],[Type]],RecordCount[],8,0),0),"")</f>
        <v>2109159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3" s="6">
        <f ca="1">IF(IDNMaps[[#This Row],[Type]]="","",COUNTIF($K$1:IDNMaps[[#This Row],[Type]],IDNMaps[[#This Row],[Type]]))</f>
        <v>60</v>
      </c>
      <c r="M153" s="6" t="str">
        <f ca="1">IFERROR(VLOOKUP(IDNMaps[[#This Row],[Type]],RecordCount[],6,0)&amp;"-"&amp;IDNMaps[[#This Row],[Type Count]],"")</f>
        <v>Resource Relations-60</v>
      </c>
      <c r="N153" s="6" t="str">
        <f ca="1">IFERROR(VLOOKUP(IDNMaps[[#This Row],[Primary]],INDIRECT(VLOOKUP(IDNMaps[[#This Row],[Type]],RecordCount[],2,0)),VLOOKUP(IDNMaps[[#This Row],[Type]],RecordCount[],7,0),0),"")</f>
        <v>OrderItemService/Assigned</v>
      </c>
      <c r="O153" s="6" t="str">
        <f ca="1">IF(IDNMaps[[#This Row],[Name]]="","","("&amp;IDNMaps[[#This Row],[Type]]&amp;") "&amp;IDNMaps[[#This Row],[Name]])</f>
        <v>(Relation) OrderItemService/Assigned</v>
      </c>
      <c r="P153" s="6">
        <f ca="1">IFERROR(VLOOKUP(IDNMaps[[#This Row],[Primary]],INDIRECT(VLOOKUP(IDNMaps[[#This Row],[Type]],RecordCount[],2,0)),VLOOKUP(IDNMaps[[#This Row],[Type]],RecordCount[],8,0),0),"")</f>
        <v>2109160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4" s="6">
        <f ca="1">IF(IDNMaps[[#This Row],[Type]]="","",COUNTIF($K$1:IDNMaps[[#This Row],[Type]],IDNMaps[[#This Row],[Type]]))</f>
        <v>61</v>
      </c>
      <c r="M154" s="6" t="str">
        <f ca="1">IFERROR(VLOOKUP(IDNMaps[[#This Row],[Type]],RecordCount[],6,0)&amp;"-"&amp;IDNMaps[[#This Row],[Type Count]],"")</f>
        <v>Resource Relations-61</v>
      </c>
      <c r="N154" s="6" t="str">
        <f ca="1">IFERROR(VLOOKUP(IDNMaps[[#This Row],[Primary]],INDIRECT(VLOOKUP(IDNMaps[[#This Row],[Type]],RecordCount[],2,0)),VLOOKUP(IDNMaps[[#This Row],[Type]],RecordCount[],7,0),0),"")</f>
        <v>Invoice/Order</v>
      </c>
      <c r="O154" s="6" t="str">
        <f ca="1">IF(IDNMaps[[#This Row],[Name]]="","","("&amp;IDNMaps[[#This Row],[Type]]&amp;") "&amp;IDNMaps[[#This Row],[Name]])</f>
        <v>(Relation) Invoice/Order</v>
      </c>
      <c r="P154" s="6">
        <f ca="1">IFERROR(VLOOKUP(IDNMaps[[#This Row],[Primary]],INDIRECT(VLOOKUP(IDNMaps[[#This Row],[Type]],RecordCount[],2,0)),VLOOKUP(IDNMaps[[#This Row],[Type]],RecordCount[],8,0),0),"")</f>
        <v>2109161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5" s="6">
        <f ca="1">IF(IDNMaps[[#This Row],[Type]]="","",COUNTIF($K$1:IDNMaps[[#This Row],[Type]],IDNMaps[[#This Row],[Type]]))</f>
        <v>62</v>
      </c>
      <c r="M155" s="6" t="str">
        <f ca="1">IFERROR(VLOOKUP(IDNMaps[[#This Row],[Type]],RecordCount[],6,0)&amp;"-"&amp;IDNMaps[[#This Row],[Type Count]],"")</f>
        <v>Resource Relations-62</v>
      </c>
      <c r="N155" s="6" t="str">
        <f ca="1">IFERROR(VLOOKUP(IDNMaps[[#This Row],[Primary]],INDIRECT(VLOOKUP(IDNMaps[[#This Row],[Type]],RecordCount[],2,0)),VLOOKUP(IDNMaps[[#This Row],[Type]],RecordCount[],7,0),0),"")</f>
        <v>Invoice/Customer</v>
      </c>
      <c r="O155" s="6" t="str">
        <f ca="1">IF(IDNMaps[[#This Row],[Name]]="","","("&amp;IDNMaps[[#This Row],[Type]]&amp;") "&amp;IDNMaps[[#This Row],[Name]])</f>
        <v>(Relation) Invoice/Customer</v>
      </c>
      <c r="P155" s="6">
        <f ca="1">IFERROR(VLOOKUP(IDNMaps[[#This Row],[Primary]],INDIRECT(VLOOKUP(IDNMaps[[#This Row],[Type]],RecordCount[],2,0)),VLOOKUP(IDNMaps[[#This Row],[Type]],RecordCount[],8,0),0),"")</f>
        <v>2109162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6" s="6">
        <f ca="1">IF(IDNMaps[[#This Row],[Type]]="","",COUNTIF($K$1:IDNMaps[[#This Row],[Type]],IDNMaps[[#This Row],[Type]]))</f>
        <v>63</v>
      </c>
      <c r="M156" s="6" t="str">
        <f ca="1">IFERROR(VLOOKUP(IDNMaps[[#This Row],[Type]],RecordCount[],6,0)&amp;"-"&amp;IDNMaps[[#This Row],[Type Count]],"")</f>
        <v>Resource Relations-63</v>
      </c>
      <c r="N156" s="6" t="str">
        <f ca="1">IFERROR(VLOOKUP(IDNMaps[[#This Row],[Primary]],INDIRECT(VLOOKUP(IDNMaps[[#This Row],[Type]],RecordCount[],2,0)),VLOOKUP(IDNMaps[[#This Row],[Type]],RecordCount[],7,0),0),"")</f>
        <v>Invoice/Items</v>
      </c>
      <c r="O156" s="6" t="str">
        <f ca="1">IF(IDNMaps[[#This Row],[Name]]="","","("&amp;IDNMaps[[#This Row],[Type]]&amp;") "&amp;IDNMaps[[#This Row],[Name]])</f>
        <v>(Relation) Invoice/Items</v>
      </c>
      <c r="P156" s="6">
        <f ca="1">IFERROR(VLOOKUP(IDNMaps[[#This Row],[Primary]],INDIRECT(VLOOKUP(IDNMaps[[#This Row],[Type]],RecordCount[],2,0)),VLOOKUP(IDNMaps[[#This Row],[Type]],RecordCount[],8,0),0),"")</f>
        <v>2109163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7" s="6">
        <f ca="1">IF(IDNMaps[[#This Row],[Type]]="","",COUNTIF($K$1:IDNMaps[[#This Row],[Type]],IDNMaps[[#This Row],[Type]]))</f>
        <v>64</v>
      </c>
      <c r="M157" s="6" t="str">
        <f ca="1">IFERROR(VLOOKUP(IDNMaps[[#This Row],[Type]],RecordCount[],6,0)&amp;"-"&amp;IDNMaps[[#This Row],[Type Count]],"")</f>
        <v>Resource Relations-64</v>
      </c>
      <c r="N157" s="6" t="str">
        <f ca="1">IFERROR(VLOOKUP(IDNMaps[[#This Row],[Primary]],INDIRECT(VLOOKUP(IDNMaps[[#This Row],[Type]],RecordCount[],2,0)),VLOOKUP(IDNMaps[[#This Row],[Type]],RecordCount[],7,0),0),"")</f>
        <v>Invoice/Receipts</v>
      </c>
      <c r="O157" s="6" t="str">
        <f ca="1">IF(IDNMaps[[#This Row],[Name]]="","","("&amp;IDNMaps[[#This Row],[Type]]&amp;") "&amp;IDNMaps[[#This Row],[Name]])</f>
        <v>(Relation) Invoice/Receipts</v>
      </c>
      <c r="P157" s="6">
        <f ca="1">IFERROR(VLOOKUP(IDNMaps[[#This Row],[Primary]],INDIRECT(VLOOKUP(IDNMaps[[#This Row],[Type]],RecordCount[],2,0)),VLOOKUP(IDNMaps[[#This Row],[Type]],RecordCount[],8,0),0),"")</f>
        <v>2109164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8" s="6">
        <f ca="1">IF(IDNMaps[[#This Row],[Type]]="","",COUNTIF($K$1:IDNMaps[[#This Row],[Type]],IDNMaps[[#This Row],[Type]]))</f>
        <v>65</v>
      </c>
      <c r="M158" s="6" t="str">
        <f ca="1">IFERROR(VLOOKUP(IDNMaps[[#This Row],[Type]],RecordCount[],6,0)&amp;"-"&amp;IDNMaps[[#This Row],[Type Count]],"")</f>
        <v>Resource Relations-65</v>
      </c>
      <c r="N158" s="6" t="str">
        <f ca="1">IFERROR(VLOOKUP(IDNMaps[[#This Row],[Primary]],INDIRECT(VLOOKUP(IDNMaps[[#This Row],[Type]],RecordCount[],2,0)),VLOOKUP(IDNMaps[[#This Row],[Type]],RecordCount[],7,0),0),"")</f>
        <v>InvoiceItem/Invoice</v>
      </c>
      <c r="O158" s="6" t="str">
        <f ca="1">IF(IDNMaps[[#This Row],[Name]]="","","("&amp;IDNMaps[[#This Row],[Type]]&amp;") "&amp;IDNMaps[[#This Row],[Name]])</f>
        <v>(Relation) InvoiceItem/Invoice</v>
      </c>
      <c r="P158" s="6">
        <f ca="1">IFERROR(VLOOKUP(IDNMaps[[#This Row],[Primary]],INDIRECT(VLOOKUP(IDNMaps[[#This Row],[Type]],RecordCount[],2,0)),VLOOKUP(IDNMaps[[#This Row],[Type]],RecordCount[],8,0),0),"")</f>
        <v>2109165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9" s="6">
        <f ca="1">IF(IDNMaps[[#This Row],[Type]]="","",COUNTIF($K$1:IDNMaps[[#This Row],[Type]],IDNMaps[[#This Row],[Type]]))</f>
        <v>66</v>
      </c>
      <c r="M159" s="6" t="str">
        <f ca="1">IFERROR(VLOOKUP(IDNMaps[[#This Row],[Type]],RecordCount[],6,0)&amp;"-"&amp;IDNMaps[[#This Row],[Type Count]],"")</f>
        <v>Resource Relations-66</v>
      </c>
      <c r="N159" s="6" t="str">
        <f ca="1">IFERROR(VLOOKUP(IDNMaps[[#This Row],[Primary]],INDIRECT(VLOOKUP(IDNMaps[[#This Row],[Type]],RecordCount[],2,0)),VLOOKUP(IDNMaps[[#This Row],[Type]],RecordCount[],7,0),0),"")</f>
        <v>InvoiceItem/Item</v>
      </c>
      <c r="O159" s="6" t="str">
        <f ca="1">IF(IDNMaps[[#This Row],[Name]]="","","("&amp;IDNMaps[[#This Row],[Type]]&amp;") "&amp;IDNMaps[[#This Row],[Name]])</f>
        <v>(Relation) InvoiceItem/Item</v>
      </c>
      <c r="P159" s="6">
        <f ca="1">IFERROR(VLOOKUP(IDNMaps[[#This Row],[Primary]],INDIRECT(VLOOKUP(IDNMaps[[#This Row],[Type]],RecordCount[],2,0)),VLOOKUP(IDNMaps[[#This Row],[Type]],RecordCount[],8,0),0),"")</f>
        <v>2109166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0" s="6">
        <f ca="1">IF(IDNMaps[[#This Row],[Type]]="","",COUNTIF($K$1:IDNMaps[[#This Row],[Type]],IDNMaps[[#This Row],[Type]]))</f>
        <v>67</v>
      </c>
      <c r="M160" s="6" t="str">
        <f ca="1">IFERROR(VLOOKUP(IDNMaps[[#This Row],[Type]],RecordCount[],6,0)&amp;"-"&amp;IDNMaps[[#This Row],[Type Count]],"")</f>
        <v>Resource Relations-67</v>
      </c>
      <c r="N160" s="6" t="str">
        <f ca="1">IFERROR(VLOOKUP(IDNMaps[[#This Row],[Primary]],INDIRECT(VLOOKUP(IDNMaps[[#This Row],[Type]],RecordCount[],2,0)),VLOOKUP(IDNMaps[[#This Row],[Type]],RecordCount[],7,0),0),"")</f>
        <v>InvoiceItem/Service</v>
      </c>
      <c r="O160" s="6" t="str">
        <f ca="1">IF(IDNMaps[[#This Row],[Name]]="","","("&amp;IDNMaps[[#This Row],[Type]]&amp;") "&amp;IDNMaps[[#This Row],[Name]])</f>
        <v>(Relation) InvoiceItem/Service</v>
      </c>
      <c r="P160" s="6">
        <f ca="1">IFERROR(VLOOKUP(IDNMaps[[#This Row],[Primary]],INDIRECT(VLOOKUP(IDNMaps[[#This Row],[Type]],RecordCount[],2,0)),VLOOKUP(IDNMaps[[#This Row],[Type]],RecordCount[],8,0),0),"")</f>
        <v>2109167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1" s="6">
        <f ca="1">IF(IDNMaps[[#This Row],[Type]]="","",COUNTIF($K$1:IDNMaps[[#This Row],[Type]],IDNMaps[[#This Row],[Type]]))</f>
        <v>68</v>
      </c>
      <c r="M161" s="6" t="str">
        <f ca="1">IFERROR(VLOOKUP(IDNMaps[[#This Row],[Type]],RecordCount[],6,0)&amp;"-"&amp;IDNMaps[[#This Row],[Type Count]],"")</f>
        <v>Resource Relations-68</v>
      </c>
      <c r="N161" s="6" t="str">
        <f ca="1">IFERROR(VLOOKUP(IDNMaps[[#This Row],[Primary]],INDIRECT(VLOOKUP(IDNMaps[[#This Row],[Type]],RecordCount[],2,0)),VLOOKUP(IDNMaps[[#This Row],[Type]],RecordCount[],7,0),0),"")</f>
        <v>OrderItemServiceUser/OIS</v>
      </c>
      <c r="O161" s="6" t="str">
        <f ca="1">IF(IDNMaps[[#This Row],[Name]]="","","("&amp;IDNMaps[[#This Row],[Type]]&amp;") "&amp;IDNMaps[[#This Row],[Name]])</f>
        <v>(Relation) OrderItemServiceUser/OIS</v>
      </c>
      <c r="P161" s="6">
        <f ca="1">IFERROR(VLOOKUP(IDNMaps[[#This Row],[Primary]],INDIRECT(VLOOKUP(IDNMaps[[#This Row],[Type]],RecordCount[],2,0)),VLOOKUP(IDNMaps[[#This Row],[Type]],RecordCount[],8,0),0),"")</f>
        <v>2109168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2" s="6">
        <f ca="1">IF(IDNMaps[[#This Row],[Type]]="","",COUNTIF($K$1:IDNMaps[[#This Row],[Type]],IDNMaps[[#This Row],[Type]]))</f>
        <v>69</v>
      </c>
      <c r="M162" s="6" t="str">
        <f ca="1">IFERROR(VLOOKUP(IDNMaps[[#This Row],[Type]],RecordCount[],6,0)&amp;"-"&amp;IDNMaps[[#This Row],[Type Count]],"")</f>
        <v>Resource Relations-69</v>
      </c>
      <c r="N162" s="6" t="str">
        <f ca="1">IFERROR(VLOOKUP(IDNMaps[[#This Row],[Primary]],INDIRECT(VLOOKUP(IDNMaps[[#This Row],[Type]],RecordCount[],2,0)),VLOOKUP(IDNMaps[[#This Row],[Type]],RecordCount[],7,0),0),"")</f>
        <v>OrderItemServiceUser/User</v>
      </c>
      <c r="O162" s="6" t="str">
        <f ca="1">IF(IDNMaps[[#This Row],[Name]]="","","("&amp;IDNMaps[[#This Row],[Type]]&amp;") "&amp;IDNMaps[[#This Row],[Name]])</f>
        <v>(Relation) OrderItemServiceUser/User</v>
      </c>
      <c r="P162" s="6">
        <f ca="1">IFERROR(VLOOKUP(IDNMaps[[#This Row],[Primary]],INDIRECT(VLOOKUP(IDNMaps[[#This Row],[Type]],RecordCount[],2,0)),VLOOKUP(IDNMaps[[#This Row],[Type]],RecordCount[],8,0),0),"")</f>
        <v>2109169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3" s="6">
        <f ca="1">IF(IDNMaps[[#This Row],[Type]]="","",COUNTIF($K$1:IDNMaps[[#This Row],[Type]],IDNMaps[[#This Row],[Type]]))</f>
        <v>70</v>
      </c>
      <c r="M163" s="6" t="str">
        <f ca="1">IFERROR(VLOOKUP(IDNMaps[[#This Row],[Type]],RecordCount[],6,0)&amp;"-"&amp;IDNMaps[[#This Row],[Type Count]],"")</f>
        <v>Resource Relations-70</v>
      </c>
      <c r="N163" s="6" t="str">
        <f ca="1">IFERROR(VLOOKUP(IDNMaps[[#This Row],[Primary]],INDIRECT(VLOOKUP(IDNMaps[[#This Row],[Type]],RecordCount[],2,0)),VLOOKUP(IDNMaps[[#This Row],[Type]],RecordCount[],7,0),0),"")</f>
        <v>Receipt/Invoice</v>
      </c>
      <c r="O163" s="6" t="str">
        <f ca="1">IF(IDNMaps[[#This Row],[Name]]="","","("&amp;IDNMaps[[#This Row],[Type]]&amp;") "&amp;IDNMaps[[#This Row],[Name]])</f>
        <v>(Relation) Receipt/Invoice</v>
      </c>
      <c r="P163" s="6">
        <f ca="1">IFERROR(VLOOKUP(IDNMaps[[#This Row],[Primary]],INDIRECT(VLOOKUP(IDNMaps[[#This Row],[Type]],RecordCount[],2,0)),VLOOKUP(IDNMaps[[#This Row],[Type]],RecordCount[],8,0),0),"")</f>
        <v>2109170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4" s="6">
        <f ca="1">IF(IDNMaps[[#This Row],[Type]]="","",COUNTIF($K$1:IDNMaps[[#This Row],[Type]],IDNMaps[[#This Row],[Type]]))</f>
        <v>71</v>
      </c>
      <c r="M164" s="6" t="str">
        <f ca="1">IFERROR(VLOOKUP(IDNMaps[[#This Row],[Type]],RecordCount[],6,0)&amp;"-"&amp;IDNMaps[[#This Row],[Type Count]],"")</f>
        <v>Resource Relations-71</v>
      </c>
      <c r="N164" s="6" t="str">
        <f ca="1">IFERROR(VLOOKUP(IDNMaps[[#This Row],[Primary]],INDIRECT(VLOOKUP(IDNMaps[[#This Row],[Type]],RecordCount[],2,0)),VLOOKUP(IDNMaps[[#This Row],[Type]],RecordCount[],7,0),0),"")</f>
        <v>Delivery/Order</v>
      </c>
      <c r="O164" s="6" t="str">
        <f ca="1">IF(IDNMaps[[#This Row],[Name]]="","","("&amp;IDNMaps[[#This Row],[Type]]&amp;") "&amp;IDNMaps[[#This Row],[Name]])</f>
        <v>(Relation) Delivery/Order</v>
      </c>
      <c r="P164" s="6">
        <f ca="1">IFERROR(VLOOKUP(IDNMaps[[#This Row],[Primary]],INDIRECT(VLOOKUP(IDNMaps[[#This Row],[Type]],RecordCount[],2,0)),VLOOKUP(IDNMaps[[#This Row],[Type]],RecordCount[],8,0),0),"")</f>
        <v>2109171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5" s="6">
        <f ca="1">IF(IDNMaps[[#This Row],[Type]]="","",COUNTIF($K$1:IDNMaps[[#This Row],[Type]],IDNMaps[[#This Row],[Type]]))</f>
        <v>72</v>
      </c>
      <c r="M165" s="6" t="str">
        <f ca="1">IFERROR(VLOOKUP(IDNMaps[[#This Row],[Type]],RecordCount[],6,0)&amp;"-"&amp;IDNMaps[[#This Row],[Type Count]],"")</f>
        <v>Resource Relations-72</v>
      </c>
      <c r="N165" s="6" t="str">
        <f ca="1">IFERROR(VLOOKUP(IDNMaps[[#This Row],[Primary]],INDIRECT(VLOOKUP(IDNMaps[[#This Row],[Type]],RecordCount[],2,0)),VLOOKUP(IDNMaps[[#This Row],[Type]],RecordCount[],7,0),0),"")</f>
        <v>Delivery/Hub</v>
      </c>
      <c r="O165" s="6" t="str">
        <f ca="1">IF(IDNMaps[[#This Row],[Name]]="","","("&amp;IDNMaps[[#This Row],[Type]]&amp;") "&amp;IDNMaps[[#This Row],[Name]])</f>
        <v>(Relation) Delivery/Hub</v>
      </c>
      <c r="P165" s="6">
        <f ca="1">IFERROR(VLOOKUP(IDNMaps[[#This Row],[Primary]],INDIRECT(VLOOKUP(IDNMaps[[#This Row],[Type]],RecordCount[],2,0)),VLOOKUP(IDNMaps[[#This Row],[Type]],RecordCount[],8,0),0),"")</f>
        <v>2109172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6" s="6">
        <f ca="1">IF(IDNMaps[[#This Row],[Type]]="","",COUNTIF($K$1:IDNMaps[[#This Row],[Type]],IDNMaps[[#This Row],[Type]]))</f>
        <v>73</v>
      </c>
      <c r="M166" s="6" t="str">
        <f ca="1">IFERROR(VLOOKUP(IDNMaps[[#This Row],[Type]],RecordCount[],6,0)&amp;"-"&amp;IDNMaps[[#This Row],[Type Count]],"")</f>
        <v>Resource Relations-73</v>
      </c>
      <c r="N166" s="6" t="str">
        <f ca="1">IFERROR(VLOOKUP(IDNMaps[[#This Row],[Primary]],INDIRECT(VLOOKUP(IDNMaps[[#This Row],[Type]],RecordCount[],2,0)),VLOOKUP(IDNMaps[[#This Row],[Type]],RecordCount[],7,0),0),"")</f>
        <v>Delivery/Items</v>
      </c>
      <c r="O166" s="6" t="str">
        <f ca="1">IF(IDNMaps[[#This Row],[Name]]="","","("&amp;IDNMaps[[#This Row],[Type]]&amp;") "&amp;IDNMaps[[#This Row],[Name]])</f>
        <v>(Relation) Delivery/Items</v>
      </c>
      <c r="P166" s="6">
        <f ca="1">IFERROR(VLOOKUP(IDNMaps[[#This Row],[Primary]],INDIRECT(VLOOKUP(IDNMaps[[#This Row],[Type]],RecordCount[],2,0)),VLOOKUP(IDNMaps[[#This Row],[Type]],RecordCount[],8,0),0),"")</f>
        <v>2109173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7" s="6">
        <f ca="1">IF(IDNMaps[[#This Row],[Type]]="","",COUNTIF($K$1:IDNMaps[[#This Row],[Type]],IDNMaps[[#This Row],[Type]]))</f>
        <v>74</v>
      </c>
      <c r="M167" s="6" t="str">
        <f ca="1">IFERROR(VLOOKUP(IDNMaps[[#This Row],[Type]],RecordCount[],6,0)&amp;"-"&amp;IDNMaps[[#This Row],[Type Count]],"")</f>
        <v>Resource Relations-74</v>
      </c>
      <c r="N167" s="6" t="str">
        <f ca="1">IFERROR(VLOOKUP(IDNMaps[[#This Row],[Primary]],INDIRECT(VLOOKUP(IDNMaps[[#This Row],[Type]],RecordCount[],2,0)),VLOOKUP(IDNMaps[[#This Row],[Type]],RecordCount[],7,0),0),"")</f>
        <v>DeliveryItem/Delivery</v>
      </c>
      <c r="O167" s="6" t="str">
        <f ca="1">IF(IDNMaps[[#This Row],[Name]]="","","("&amp;IDNMaps[[#This Row],[Type]]&amp;") "&amp;IDNMaps[[#This Row],[Name]])</f>
        <v>(Relation) DeliveryItem/Delivery</v>
      </c>
      <c r="P167" s="6">
        <f ca="1">IFERROR(VLOOKUP(IDNMaps[[#This Row],[Primary]],INDIRECT(VLOOKUP(IDNMaps[[#This Row],[Type]],RecordCount[],2,0)),VLOOKUP(IDNMaps[[#This Row],[Type]],RecordCount[],8,0),0),"")</f>
        <v>2109174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8" s="6">
        <f ca="1">IF(IDNMaps[[#This Row],[Type]]="","",COUNTIF($K$1:IDNMaps[[#This Row],[Type]],IDNMaps[[#This Row],[Type]]))</f>
        <v>75</v>
      </c>
      <c r="M168" s="6" t="str">
        <f ca="1">IFERROR(VLOOKUP(IDNMaps[[#This Row],[Type]],RecordCount[],6,0)&amp;"-"&amp;IDNMaps[[#This Row],[Type Count]],"")</f>
        <v>Resource Relations-75</v>
      </c>
      <c r="N168" s="6" t="str">
        <f ca="1">IFERROR(VLOOKUP(IDNMaps[[#This Row],[Primary]],INDIRECT(VLOOKUP(IDNMaps[[#This Row],[Type]],RecordCount[],2,0)),VLOOKUP(IDNMaps[[#This Row],[Type]],RecordCount[],7,0),0),"")</f>
        <v>DeliveryItem/Item</v>
      </c>
      <c r="O168" s="6" t="str">
        <f ca="1">IF(IDNMaps[[#This Row],[Name]]="","","("&amp;IDNMaps[[#This Row],[Type]]&amp;") "&amp;IDNMaps[[#This Row],[Name]])</f>
        <v>(Relation) DeliveryItem/Item</v>
      </c>
      <c r="P168" s="6">
        <f ca="1">IFERROR(VLOOKUP(IDNMaps[[#This Row],[Primary]],INDIRECT(VLOOKUP(IDNMaps[[#This Row],[Type]],RecordCount[],2,0)),VLOOKUP(IDNMaps[[#This Row],[Type]],RecordCount[],8,0),0),"")</f>
        <v>2109175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9" s="6">
        <f ca="1">IF(IDNMaps[[#This Row],[Type]]="","",COUNTIF($K$1:IDNMaps[[#This Row],[Type]],IDNMaps[[#This Row],[Type]]))</f>
        <v>76</v>
      </c>
      <c r="M169" s="6" t="str">
        <f ca="1">IFERROR(VLOOKUP(IDNMaps[[#This Row],[Type]],RecordCount[],6,0)&amp;"-"&amp;IDNMaps[[#This Row],[Type Count]],"")</f>
        <v>Resource Relations-76</v>
      </c>
      <c r="N169" s="6" t="str">
        <f ca="1">IFERROR(VLOOKUP(IDNMaps[[#This Row],[Primary]],INDIRECT(VLOOKUP(IDNMaps[[#This Row],[Type]],RecordCount[],2,0)),VLOOKUP(IDNMaps[[#This Row],[Type]],RecordCount[],7,0),0),"")</f>
        <v>DeliveryItem/Shelf</v>
      </c>
      <c r="O169" s="6" t="str">
        <f ca="1">IF(IDNMaps[[#This Row],[Name]]="","","("&amp;IDNMaps[[#This Row],[Type]]&amp;") "&amp;IDNMaps[[#This Row],[Name]])</f>
        <v>(Relation) DeliveryItem/Shelf</v>
      </c>
      <c r="P169" s="6">
        <f ca="1">IFERROR(VLOOKUP(IDNMaps[[#This Row],[Primary]],INDIRECT(VLOOKUP(IDNMaps[[#This Row],[Type]],RecordCount[],2,0)),VLOOKUP(IDNMaps[[#This Row],[Type]],RecordCount[],8,0),0),"")</f>
        <v>2109176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0" s="6">
        <f ca="1">IF(IDNMaps[[#This Row],[Type]]="","",COUNTIF($K$1:IDNMaps[[#This Row],[Type]],IDNMaps[[#This Row],[Type]]))</f>
        <v>77</v>
      </c>
      <c r="M170" s="6" t="str">
        <f ca="1">IFERROR(VLOOKUP(IDNMaps[[#This Row],[Type]],RecordCount[],6,0)&amp;"-"&amp;IDNMaps[[#This Row],[Type Count]],"")</f>
        <v>Resource Relations-77</v>
      </c>
      <c r="N170" s="6" t="str">
        <f ca="1">IFERROR(VLOOKUP(IDNMaps[[#This Row],[Primary]],INDIRECT(VLOOKUP(IDNMaps[[#This Row],[Type]],RecordCount[],2,0)),VLOOKUP(IDNMaps[[#This Row],[Type]],RecordCount[],7,0),0),"")</f>
        <v>HubShift/Source</v>
      </c>
      <c r="O170" s="6" t="str">
        <f ca="1">IF(IDNMaps[[#This Row],[Name]]="","","("&amp;IDNMaps[[#This Row],[Type]]&amp;") "&amp;IDNMaps[[#This Row],[Name]])</f>
        <v>(Relation) HubShift/Source</v>
      </c>
      <c r="P170" s="6">
        <f ca="1">IFERROR(VLOOKUP(IDNMaps[[#This Row],[Primary]],INDIRECT(VLOOKUP(IDNMaps[[#This Row],[Type]],RecordCount[],2,0)),VLOOKUP(IDNMaps[[#This Row],[Type]],RecordCount[],8,0),0),"")</f>
        <v>2109177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1" s="6">
        <f ca="1">IF(IDNMaps[[#This Row],[Type]]="","",COUNTIF($K$1:IDNMaps[[#This Row],[Type]],IDNMaps[[#This Row],[Type]]))</f>
        <v>78</v>
      </c>
      <c r="M171" s="6" t="str">
        <f ca="1">IFERROR(VLOOKUP(IDNMaps[[#This Row],[Type]],RecordCount[],6,0)&amp;"-"&amp;IDNMaps[[#This Row],[Type Count]],"")</f>
        <v>Resource Relations-78</v>
      </c>
      <c r="N171" s="6" t="str">
        <f ca="1">IFERROR(VLOOKUP(IDNMaps[[#This Row],[Primary]],INDIRECT(VLOOKUP(IDNMaps[[#This Row],[Type]],RecordCount[],2,0)),VLOOKUP(IDNMaps[[#This Row],[Type]],RecordCount[],7,0),0),"")</f>
        <v>HubShift/Target</v>
      </c>
      <c r="O171" s="6" t="str">
        <f ca="1">IF(IDNMaps[[#This Row],[Name]]="","","("&amp;IDNMaps[[#This Row],[Type]]&amp;") "&amp;IDNMaps[[#This Row],[Name]])</f>
        <v>(Relation) HubShift/Target</v>
      </c>
      <c r="P171" s="6">
        <f ca="1">IFERROR(VLOOKUP(IDNMaps[[#This Row],[Primary]],INDIRECT(VLOOKUP(IDNMaps[[#This Row],[Type]],RecordCount[],2,0)),VLOOKUP(IDNMaps[[#This Row],[Type]],RecordCount[],8,0),0),"")</f>
        <v>2109178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2" s="6">
        <f ca="1">IF(IDNMaps[[#This Row],[Type]]="","",COUNTIF($K$1:IDNMaps[[#This Row],[Type]],IDNMaps[[#This Row],[Type]]))</f>
        <v>79</v>
      </c>
      <c r="M172" s="6" t="str">
        <f ca="1">IFERROR(VLOOKUP(IDNMaps[[#This Row],[Type]],RecordCount[],6,0)&amp;"-"&amp;IDNMaps[[#This Row],[Type Count]],"")</f>
        <v>Resource Relations-79</v>
      </c>
      <c r="N172" s="6" t="str">
        <f ca="1">IFERROR(VLOOKUP(IDNMaps[[#This Row],[Primary]],INDIRECT(VLOOKUP(IDNMaps[[#This Row],[Type]],RecordCount[],2,0)),VLOOKUP(IDNMaps[[#This Row],[Type]],RecordCount[],7,0),0),"")</f>
        <v>HubShift/Items</v>
      </c>
      <c r="O172" s="6" t="str">
        <f ca="1">IF(IDNMaps[[#This Row],[Name]]="","","("&amp;IDNMaps[[#This Row],[Type]]&amp;") "&amp;IDNMaps[[#This Row],[Name]])</f>
        <v>(Relation) HubShift/Items</v>
      </c>
      <c r="P172" s="6">
        <f ca="1">IFERROR(VLOOKUP(IDNMaps[[#This Row],[Primary]],INDIRECT(VLOOKUP(IDNMaps[[#This Row],[Type]],RecordCount[],2,0)),VLOOKUP(IDNMaps[[#This Row],[Type]],RecordCount[],8,0),0),"")</f>
        <v>2109179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3" s="6">
        <f ca="1">IF(IDNMaps[[#This Row],[Type]]="","",COUNTIF($K$1:IDNMaps[[#This Row],[Type]],IDNMaps[[#This Row],[Type]]))</f>
        <v>80</v>
      </c>
      <c r="M173" s="6" t="str">
        <f ca="1">IFERROR(VLOOKUP(IDNMaps[[#This Row],[Type]],RecordCount[],6,0)&amp;"-"&amp;IDNMaps[[#This Row],[Type Count]],"")</f>
        <v>Resource Relations-80</v>
      </c>
      <c r="N173" s="6" t="str">
        <f ca="1">IFERROR(VLOOKUP(IDNMaps[[#This Row],[Primary]],INDIRECT(VLOOKUP(IDNMaps[[#This Row],[Type]],RecordCount[],2,0)),VLOOKUP(IDNMaps[[#This Row],[Type]],RecordCount[],7,0),0),"")</f>
        <v>HubShiftItem/Shift</v>
      </c>
      <c r="O173" s="6" t="str">
        <f ca="1">IF(IDNMaps[[#This Row],[Name]]="","","("&amp;IDNMaps[[#This Row],[Type]]&amp;") "&amp;IDNMaps[[#This Row],[Name]])</f>
        <v>(Relation) HubShiftItem/Shift</v>
      </c>
      <c r="P173" s="6">
        <f ca="1">IFERROR(VLOOKUP(IDNMaps[[#This Row],[Primary]],INDIRECT(VLOOKUP(IDNMaps[[#This Row],[Type]],RecordCount[],2,0)),VLOOKUP(IDNMaps[[#This Row],[Type]],RecordCount[],8,0),0),"")</f>
        <v>2109180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4" s="6">
        <f ca="1">IF(IDNMaps[[#This Row],[Type]]="","",COUNTIF($K$1:IDNMaps[[#This Row],[Type]],IDNMaps[[#This Row],[Type]]))</f>
        <v>81</v>
      </c>
      <c r="M174" s="6" t="str">
        <f ca="1">IFERROR(VLOOKUP(IDNMaps[[#This Row],[Type]],RecordCount[],6,0)&amp;"-"&amp;IDNMaps[[#This Row],[Type Count]],"")</f>
        <v>Resource Relations-81</v>
      </c>
      <c r="N174" s="6" t="str">
        <f ca="1">IFERROR(VLOOKUP(IDNMaps[[#This Row],[Primary]],INDIRECT(VLOOKUP(IDNMaps[[#This Row],[Type]],RecordCount[],2,0)),VLOOKUP(IDNMaps[[#This Row],[Type]],RecordCount[],7,0),0),"")</f>
        <v>HubShiftItem/Item</v>
      </c>
      <c r="O174" s="6" t="str">
        <f ca="1">IF(IDNMaps[[#This Row],[Name]]="","","("&amp;IDNMaps[[#This Row],[Type]]&amp;") "&amp;IDNMaps[[#This Row],[Name]])</f>
        <v>(Relation) HubShiftItem/Item</v>
      </c>
      <c r="P174" s="6">
        <f ca="1">IFERROR(VLOOKUP(IDNMaps[[#This Row],[Primary]],INDIRECT(VLOOKUP(IDNMaps[[#This Row],[Type]],RecordCount[],2,0)),VLOOKUP(IDNMaps[[#This Row],[Type]],RecordCount[],8,0),0),"")</f>
        <v>2109181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5" s="6">
        <f ca="1">IF(IDNMaps[[#This Row],[Type]]="","",COUNTIF($K$1:IDNMaps[[#This Row],[Type]],IDNMaps[[#This Row],[Type]]))</f>
        <v>82</v>
      </c>
      <c r="M175" s="6" t="str">
        <f ca="1">IFERROR(VLOOKUP(IDNMaps[[#This Row],[Type]],RecordCount[],6,0)&amp;"-"&amp;IDNMaps[[#This Row],[Type Count]],"")</f>
        <v>Resource Relations-82</v>
      </c>
      <c r="N175" s="6" t="str">
        <f ca="1">IFERROR(VLOOKUP(IDNMaps[[#This Row],[Primary]],INDIRECT(VLOOKUP(IDNMaps[[#This Row],[Type]],RecordCount[],2,0)),VLOOKUP(IDNMaps[[#This Row],[Type]],RecordCount[],7,0),0),"")</f>
        <v>Customer/Orders</v>
      </c>
      <c r="O175" s="6" t="str">
        <f ca="1">IF(IDNMaps[[#This Row],[Name]]="","","("&amp;IDNMaps[[#This Row],[Type]]&amp;") "&amp;IDNMaps[[#This Row],[Name]])</f>
        <v>(Relation) Customer/Orders</v>
      </c>
      <c r="P175" s="6">
        <f ca="1">IFERROR(VLOOKUP(IDNMaps[[#This Row],[Primary]],INDIRECT(VLOOKUP(IDNMaps[[#This Row],[Type]],RecordCount[],2,0)),VLOOKUP(IDNMaps[[#This Row],[Type]],RecordCount[],8,0),0),"")</f>
        <v>2109182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6" s="6">
        <f ca="1">IF(IDNMaps[[#This Row],[Type]]="","",COUNTIF($K$1:IDNMaps[[#This Row],[Type]],IDNMaps[[#This Row],[Type]]))</f>
        <v>83</v>
      </c>
      <c r="M176" s="6" t="str">
        <f ca="1">IFERROR(VLOOKUP(IDNMaps[[#This Row],[Type]],RecordCount[],6,0)&amp;"-"&amp;IDNMaps[[#This Row],[Type Count]],"")</f>
        <v>Resource Relations-83</v>
      </c>
      <c r="N176" s="6" t="str">
        <f ca="1">IFERROR(VLOOKUP(IDNMaps[[#This Row],[Primary]],INDIRECT(VLOOKUP(IDNMaps[[#This Row],[Type]],RecordCount[],2,0)),VLOOKUP(IDNMaps[[#This Row],[Type]],RecordCount[],7,0),0),"")</f>
        <v>Customer/Invoices</v>
      </c>
      <c r="O176" s="6" t="str">
        <f ca="1">IF(IDNMaps[[#This Row],[Name]]="","","("&amp;IDNMaps[[#This Row],[Type]]&amp;") "&amp;IDNMaps[[#This Row],[Name]])</f>
        <v>(Relation) Customer/Invoices</v>
      </c>
      <c r="P176" s="6">
        <f ca="1">IFERROR(VLOOKUP(IDNMaps[[#This Row],[Primary]],INDIRECT(VLOOKUP(IDNMaps[[#This Row],[Type]],RecordCount[],2,0)),VLOOKUP(IDNMaps[[#This Row],[Type]],RecordCount[],8,0),0),"")</f>
        <v>2109183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7" s="6">
        <f ca="1">IF(IDNMaps[[#This Row],[Type]]="","",COUNTIF($K$1:IDNMaps[[#This Row],[Type]],IDNMaps[[#This Row],[Type]]))</f>
        <v>84</v>
      </c>
      <c r="M177" s="6" t="str">
        <f ca="1">IFERROR(VLOOKUP(IDNMaps[[#This Row],[Type]],RecordCount[],6,0)&amp;"-"&amp;IDNMaps[[#This Row],[Type Count]],"")</f>
        <v>Resource Relations-84</v>
      </c>
      <c r="N177" s="6" t="str">
        <f ca="1">IFERROR(VLOOKUP(IDNMaps[[#This Row],[Primary]],INDIRECT(VLOOKUP(IDNMaps[[#This Row],[Type]],RecordCount[],2,0)),VLOOKUP(IDNMaps[[#This Row],[Type]],RecordCount[],7,0),0),"")</f>
        <v>Customer/Receipts</v>
      </c>
      <c r="O177" s="6" t="str">
        <f ca="1">IF(IDNMaps[[#This Row],[Name]]="","","("&amp;IDNMaps[[#This Row],[Type]]&amp;") "&amp;IDNMaps[[#This Row],[Name]])</f>
        <v>(Relation) Customer/Receipts</v>
      </c>
      <c r="P177" s="6">
        <f ca="1">IFERROR(VLOOKUP(IDNMaps[[#This Row],[Primary]],INDIRECT(VLOOKUP(IDNMaps[[#This Row],[Type]],RecordCount[],2,0)),VLOOKUP(IDNMaps[[#This Row],[Type]],RecordCount[],8,0),0),"")</f>
        <v>2109184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8" s="6">
        <f ca="1">IF(IDNMaps[[#This Row],[Type]]="","",COUNTIF($K$1:IDNMaps[[#This Row],[Type]],IDNMaps[[#This Row],[Type]]))</f>
        <v>85</v>
      </c>
      <c r="M178" s="6" t="str">
        <f ca="1">IFERROR(VLOOKUP(IDNMaps[[#This Row],[Type]],RecordCount[],6,0)&amp;"-"&amp;IDNMaps[[#This Row],[Type Count]],"")</f>
        <v>Resource Relations-85</v>
      </c>
      <c r="N178" s="6" t="str">
        <f ca="1">IFERROR(VLOOKUP(IDNMaps[[#This Row],[Primary]],INDIRECT(VLOOKUP(IDNMaps[[#This Row],[Type]],RecordCount[],2,0)),VLOOKUP(IDNMaps[[#This Row],[Type]],RecordCount[],7,0),0),"")</f>
        <v>Customer/Detail</v>
      </c>
      <c r="O178" s="6" t="str">
        <f ca="1">IF(IDNMaps[[#This Row],[Name]]="","","("&amp;IDNMaps[[#This Row],[Type]]&amp;") "&amp;IDNMaps[[#This Row],[Name]])</f>
        <v>(Relation) Customer/Detail</v>
      </c>
      <c r="P178" s="6">
        <f ca="1">IFERROR(VLOOKUP(IDNMaps[[#This Row],[Primary]],INDIRECT(VLOOKUP(IDNMaps[[#This Row],[Type]],RecordCount[],2,0)),VLOOKUP(IDNMaps[[#This Row],[Type]],RecordCount[],8,0),0),"")</f>
        <v>2109185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9" s="6">
        <f ca="1">IF(IDNMaps[[#This Row],[Type]]="","",COUNTIF($K$1:IDNMaps[[#This Row],[Type]],IDNMaps[[#This Row],[Type]]))</f>
        <v>86</v>
      </c>
      <c r="M179" s="6" t="str">
        <f ca="1">IFERROR(VLOOKUP(IDNMaps[[#This Row],[Type]],RecordCount[],6,0)&amp;"-"&amp;IDNMaps[[#This Row],[Type Count]],"")</f>
        <v>Resource Relations-86</v>
      </c>
      <c r="N179" s="6" t="str">
        <f ca="1">IFERROR(VLOOKUP(IDNMaps[[#This Row],[Primary]],INDIRECT(VLOOKUP(IDNMaps[[#This Row],[Type]],RecordCount[],2,0)),VLOOKUP(IDNMaps[[#This Row],[Type]],RecordCount[],7,0),0),"")</f>
        <v>Customer/Groups</v>
      </c>
      <c r="O179" s="6" t="str">
        <f ca="1">IF(IDNMaps[[#This Row],[Name]]="","","("&amp;IDNMaps[[#This Row],[Type]]&amp;") "&amp;IDNMaps[[#This Row],[Name]])</f>
        <v>(Relation) Customer/Groups</v>
      </c>
      <c r="P179" s="6">
        <f ca="1">IFERROR(VLOOKUP(IDNMaps[[#This Row],[Primary]],INDIRECT(VLOOKUP(IDNMaps[[#This Row],[Type]],RecordCount[],2,0)),VLOOKUP(IDNMaps[[#This Row],[Type]],RecordCount[],8,0),0),"")</f>
        <v>2109186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0" s="6">
        <f ca="1">IF(IDNMaps[[#This Row],[Type]]="","",COUNTIF($K$1:IDNMaps[[#This Row],[Type]],IDNMaps[[#This Row],[Type]]))</f>
        <v>87</v>
      </c>
      <c r="M180" s="6" t="str">
        <f ca="1">IFERROR(VLOOKUP(IDNMaps[[#This Row],[Type]],RecordCount[],6,0)&amp;"-"&amp;IDNMaps[[#This Row],[Type Count]],"")</f>
        <v>Resource Relations-87</v>
      </c>
      <c r="N180" s="6" t="str">
        <f ca="1">IFERROR(VLOOKUP(IDNMaps[[#This Row],[Primary]],INDIRECT(VLOOKUP(IDNMaps[[#This Row],[Type]],RecordCount[],2,0)),VLOOKUP(IDNMaps[[#This Row],[Type]],RecordCount[],7,0),0),"")</f>
        <v>Employee/GroupsDisplayable</v>
      </c>
      <c r="O180" s="6" t="str">
        <f ca="1">IF(IDNMaps[[#This Row],[Name]]="","","("&amp;IDNMaps[[#This Row],[Type]]&amp;") "&amp;IDNMaps[[#This Row],[Name]])</f>
        <v>(Relation) Employee/GroupsDisplayable</v>
      </c>
      <c r="P180" s="6">
        <f ca="1">IFERROR(VLOOKUP(IDNMaps[[#This Row],[Primary]],INDIRECT(VLOOKUP(IDNMaps[[#This Row],[Type]],RecordCount[],2,0)),VLOOKUP(IDNMaps[[#This Row],[Type]],RecordCount[],8,0),0),"")</f>
        <v>2109187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1" s="6">
        <f ca="1">IF(IDNMaps[[#This Row],[Type]]="","",COUNTIF($K$1:IDNMaps[[#This Row],[Type]],IDNMaps[[#This Row],[Type]]))</f>
        <v>88</v>
      </c>
      <c r="M181" s="6" t="str">
        <f ca="1">IFERROR(VLOOKUP(IDNMaps[[#This Row],[Type]],RecordCount[],6,0)&amp;"-"&amp;IDNMaps[[#This Row],[Type Count]],"")</f>
        <v>Resource Relations-88</v>
      </c>
      <c r="N181" s="6" t="str">
        <f ca="1">IFERROR(VLOOKUP(IDNMaps[[#This Row],[Primary]],INDIRECT(VLOOKUP(IDNMaps[[#This Row],[Type]],RecordCount[],2,0)),VLOOKUP(IDNMaps[[#This Row],[Type]],RecordCount[],7,0),0),"")</f>
        <v>OrderItem/Services</v>
      </c>
      <c r="O181" s="6" t="str">
        <f ca="1">IF(IDNMaps[[#This Row],[Name]]="","","("&amp;IDNMaps[[#This Row],[Type]]&amp;") "&amp;IDNMaps[[#This Row],[Name]])</f>
        <v>(Relation) OrderItem/Services</v>
      </c>
      <c r="P181" s="6">
        <f ca="1">IFERROR(VLOOKUP(IDNMaps[[#This Row],[Primary]],INDIRECT(VLOOKUP(IDNMaps[[#This Row],[Type]],RecordCount[],2,0)),VLOOKUP(IDNMaps[[#This Row],[Type]],RecordCount[],8,0),0),"")</f>
        <v>2109188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2" s="6">
        <f ca="1">IF(IDNMaps[[#This Row],[Type]]="","",COUNTIF($K$1:IDNMaps[[#This Row],[Type]],IDNMaps[[#This Row],[Type]]))</f>
        <v>89</v>
      </c>
      <c r="M182" s="6" t="str">
        <f ca="1">IFERROR(VLOOKUP(IDNMaps[[#This Row],[Type]],RecordCount[],6,0)&amp;"-"&amp;IDNMaps[[#This Row],[Type Count]],"")</f>
        <v>Resource Relations-89</v>
      </c>
      <c r="N182" s="6" t="str">
        <f ca="1">IFERROR(VLOOKUP(IDNMaps[[#This Row],[Primary]],INDIRECT(VLOOKUP(IDNMaps[[#This Row],[Type]],RecordCount[],2,0)),VLOOKUP(IDNMaps[[#This Row],[Type]],RecordCount[],7,0),0),"")</f>
        <v>OrderItemService/Users</v>
      </c>
      <c r="O182" s="6" t="str">
        <f ca="1">IF(IDNMaps[[#This Row],[Name]]="","","("&amp;IDNMaps[[#This Row],[Type]]&amp;") "&amp;IDNMaps[[#This Row],[Name]])</f>
        <v>(Relation) OrderItemService/Users</v>
      </c>
      <c r="P182" s="6">
        <f ca="1">IFERROR(VLOOKUP(IDNMaps[[#This Row],[Primary]],INDIRECT(VLOOKUP(IDNMaps[[#This Row],[Type]],RecordCount[],2,0)),VLOOKUP(IDNMaps[[#This Row],[Type]],RecordCount[],8,0),0),"")</f>
        <v>2109189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3" s="6">
        <f ca="1">IF(IDNMaps[[#This Row],[Type]]="","",COUNTIF($K$1:IDNMaps[[#This Row],[Type]],IDNMaps[[#This Row],[Type]]))</f>
        <v>90</v>
      </c>
      <c r="M183" s="6" t="str">
        <f ca="1">IFERROR(VLOOKUP(IDNMaps[[#This Row],[Type]],RecordCount[],6,0)&amp;"-"&amp;IDNMaps[[#This Row],[Type Count]],"")</f>
        <v>Resource Relations-90</v>
      </c>
      <c r="N183" s="6" t="str">
        <f ca="1">IFERROR(VLOOKUP(IDNMaps[[#This Row],[Primary]],INDIRECT(VLOOKUP(IDNMaps[[#This Row],[Type]],RecordCount[],2,0)),VLOOKUP(IDNMaps[[#This Row],[Type]],RecordCount[],7,0),0),"")</f>
        <v>OrderItemServiceUser/AssignedBy</v>
      </c>
      <c r="O183" s="6" t="str">
        <f ca="1">IF(IDNMaps[[#This Row],[Name]]="","","("&amp;IDNMaps[[#This Row],[Type]]&amp;") "&amp;IDNMaps[[#This Row],[Name]])</f>
        <v>(Relation) OrderItemServiceUser/AssignedBy</v>
      </c>
      <c r="P183" s="6">
        <f ca="1">IFERROR(VLOOKUP(IDNMaps[[#This Row],[Primary]],INDIRECT(VLOOKUP(IDNMaps[[#This Row],[Type]],RecordCount[],2,0)),VLOOKUP(IDNMaps[[#This Row],[Type]],RecordCount[],8,0),0),"")</f>
        <v>2109190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4" s="6">
        <f ca="1">IF(IDNMaps[[#This Row],[Type]]="","",COUNTIF($K$1:IDNMaps[[#This Row],[Type]],IDNMaps[[#This Row],[Type]]))</f>
        <v>91</v>
      </c>
      <c r="M184" s="6" t="str">
        <f ca="1">IFERROR(VLOOKUP(IDNMaps[[#This Row],[Type]],RecordCount[],6,0)&amp;"-"&amp;IDNMaps[[#This Row],[Type Count]],"")</f>
        <v>Resource Relations-91</v>
      </c>
      <c r="N184" s="6" t="str">
        <f ca="1">IFERROR(VLOOKUP(IDNMaps[[#This Row],[Primary]],INDIRECT(VLOOKUP(IDNMaps[[#This Row],[Type]],RecordCount[],2,0)),VLOOKUP(IDNMaps[[#This Row],[Type]],RecordCount[],7,0),0),"")</f>
        <v>Item/Services</v>
      </c>
      <c r="O184" s="6" t="str">
        <f ca="1">IF(IDNMaps[[#This Row],[Name]]="","","("&amp;IDNMaps[[#This Row],[Type]]&amp;") "&amp;IDNMaps[[#This Row],[Name]])</f>
        <v>(Relation) Item/Services</v>
      </c>
      <c r="P184" s="6">
        <f ca="1">IFERROR(VLOOKUP(IDNMaps[[#This Row],[Primary]],INDIRECT(VLOOKUP(IDNMaps[[#This Row],[Type]],RecordCount[],2,0)),VLOOKUP(IDNMaps[[#This Row],[Type]],RecordCount[],8,0),0),"")</f>
        <v>2109191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5" s="6">
        <f ca="1">IF(IDNMaps[[#This Row],[Type]]="","",COUNTIF($K$1:IDNMaps[[#This Row],[Type]],IDNMaps[[#This Row],[Type]]))</f>
        <v>92</v>
      </c>
      <c r="M185" s="6" t="str">
        <f ca="1">IFERROR(VLOOKUP(IDNMaps[[#This Row],[Type]],RecordCount[],6,0)&amp;"-"&amp;IDNMaps[[#This Row],[Type Count]],"")</f>
        <v>Resource Relations-92</v>
      </c>
      <c r="N185" s="6" t="str">
        <f ca="1">IFERROR(VLOOKUP(IDNMaps[[#This Row],[Primary]],INDIRECT(VLOOKUP(IDNMaps[[#This Row],[Type]],RecordCount[],2,0)),VLOOKUP(IDNMaps[[#This Row],[Type]],RecordCount[],7,0),0),"")</f>
        <v>IdentityLabel/Hub</v>
      </c>
      <c r="O185" s="6" t="str">
        <f ca="1">IF(IDNMaps[[#This Row],[Name]]="","","("&amp;IDNMaps[[#This Row],[Type]]&amp;") "&amp;IDNMaps[[#This Row],[Name]])</f>
        <v>(Relation) IdentityLabel/Hub</v>
      </c>
      <c r="P185" s="6">
        <f ca="1">IFERROR(VLOOKUP(IDNMaps[[#This Row],[Primary]],INDIRECT(VLOOKUP(IDNMaps[[#This Row],[Type]],RecordCount[],2,0)),VLOOKUP(IDNMaps[[#This Row],[Type]],RecordCount[],8,0),0),"")</f>
        <v>2109192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6" s="6">
        <f ca="1">IF(IDNMaps[[#This Row],[Type]]="","",COUNTIF($K$1:IDNMaps[[#This Row],[Type]],IDNMaps[[#This Row],[Type]]))</f>
        <v>93</v>
      </c>
      <c r="M186" s="6" t="str">
        <f ca="1">IFERROR(VLOOKUP(IDNMaps[[#This Row],[Type]],RecordCount[],6,0)&amp;"-"&amp;IDNMaps[[#This Row],[Type Count]],"")</f>
        <v>Resource Relations-93</v>
      </c>
      <c r="N186" s="6" t="str">
        <f ca="1">IFERROR(VLOOKUP(IDNMaps[[#This Row],[Primary]],INDIRECT(VLOOKUP(IDNMaps[[#This Row],[Type]],RecordCount[],2,0)),VLOOKUP(IDNMaps[[#This Row],[Type]],RecordCount[],7,0),0),"")</f>
        <v>Order/Pricelist</v>
      </c>
      <c r="O186" s="6" t="str">
        <f ca="1">IF(IDNMaps[[#This Row],[Name]]="","","("&amp;IDNMaps[[#This Row],[Type]]&amp;") "&amp;IDNMaps[[#This Row],[Name]])</f>
        <v>(Relation) Order/Pricelist</v>
      </c>
      <c r="P186" s="6">
        <f ca="1">IFERROR(VLOOKUP(IDNMaps[[#This Row],[Primary]],INDIRECT(VLOOKUP(IDNMaps[[#This Row],[Type]],RecordCount[],2,0)),VLOOKUP(IDNMaps[[#This Row],[Type]],RecordCount[],8,0),0),"")</f>
        <v>2109193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7" s="6">
        <f ca="1">IF(IDNMaps[[#This Row],[Type]]="","",COUNTIF($K$1:IDNMaps[[#This Row],[Type]],IDNMaps[[#This Row],[Type]]))</f>
        <v>94</v>
      </c>
      <c r="M187" s="6" t="str">
        <f ca="1">IFERROR(VLOOKUP(IDNMaps[[#This Row],[Type]],RecordCount[],6,0)&amp;"-"&amp;IDNMaps[[#This Row],[Type Count]],"")</f>
        <v>Resource Relations-94</v>
      </c>
      <c r="N187" s="6" t="str">
        <f ca="1">IFERROR(VLOOKUP(IDNMaps[[#This Row],[Primary]],INDIRECT(VLOOKUP(IDNMaps[[#This Row],[Type]],RecordCount[],2,0)),VLOOKUP(IDNMaps[[#This Row],[Type]],RecordCount[],7,0),0),"")</f>
        <v>OrderItem/Hub</v>
      </c>
      <c r="O187" s="6" t="str">
        <f ca="1">IF(IDNMaps[[#This Row],[Name]]="","","("&amp;IDNMaps[[#This Row],[Type]]&amp;") "&amp;IDNMaps[[#This Row],[Name]])</f>
        <v>(Relation) OrderItem/Hub</v>
      </c>
      <c r="P187" s="6">
        <f ca="1">IFERROR(VLOOKUP(IDNMaps[[#This Row],[Primary]],INDIRECT(VLOOKUP(IDNMaps[[#This Row],[Type]],RecordCount[],2,0)),VLOOKUP(IDNMaps[[#This Row],[Type]],RecordCount[],8,0),0),"")</f>
        <v>2109194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8" s="6">
        <f ca="1">IF(IDNMaps[[#This Row],[Type]]="","",COUNTIF($K$1:IDNMaps[[#This Row],[Type]],IDNMaps[[#This Row],[Type]]))</f>
        <v>95</v>
      </c>
      <c r="M188" s="6" t="str">
        <f ca="1">IFERROR(VLOOKUP(IDNMaps[[#This Row],[Type]],RecordCount[],6,0)&amp;"-"&amp;IDNMaps[[#This Row],[Type Count]],"")</f>
        <v>Resource Relations-95</v>
      </c>
      <c r="N188" s="6" t="str">
        <f ca="1">IFERROR(VLOOKUP(IDNMaps[[#This Row],[Primary]],INDIRECT(VLOOKUP(IDNMaps[[#This Row],[Type]],RecordCount[],2,0)),VLOOKUP(IDNMaps[[#This Row],[Type]],RecordCount[],7,0),0),"")</f>
        <v>Hub/OrderItems</v>
      </c>
      <c r="O188" s="6" t="str">
        <f ca="1">IF(IDNMaps[[#This Row],[Name]]="","","("&amp;IDNMaps[[#This Row],[Type]]&amp;") "&amp;IDNMaps[[#This Row],[Name]])</f>
        <v>(Relation) Hub/OrderItems</v>
      </c>
      <c r="P188" s="6">
        <f ca="1">IFERROR(VLOOKUP(IDNMaps[[#This Row],[Primary]],INDIRECT(VLOOKUP(IDNMaps[[#This Row],[Type]],RecordCount[],2,0)),VLOOKUP(IDNMaps[[#This Row],[Type]],RecordCount[],8,0),0),"")</f>
        <v>2109195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9" s="6">
        <f ca="1">IF(IDNMaps[[#This Row],[Type]]="","",COUNTIF($K$1:IDNMaps[[#This Row],[Type]],IDNMaps[[#This Row],[Type]]))</f>
        <v>96</v>
      </c>
      <c r="M189" s="6" t="str">
        <f ca="1">IFERROR(VLOOKUP(IDNMaps[[#This Row],[Type]],RecordCount[],6,0)&amp;"-"&amp;IDNMaps[[#This Row],[Type Count]],"")</f>
        <v>Resource Relations-96</v>
      </c>
      <c r="N189" s="6" t="str">
        <f ca="1">IFERROR(VLOOKUP(IDNMaps[[#This Row],[Primary]],INDIRECT(VLOOKUP(IDNMaps[[#This Row],[Type]],RecordCount[],2,0)),VLOOKUP(IDNMaps[[#This Row],[Type]],RecordCount[],7,0),0),"")</f>
        <v>HubShift/ManageItems</v>
      </c>
      <c r="O189" s="6" t="str">
        <f ca="1">IF(IDNMaps[[#This Row],[Name]]="","","("&amp;IDNMaps[[#This Row],[Type]]&amp;") "&amp;IDNMaps[[#This Row],[Name]])</f>
        <v>(Relation) HubShift/ManageItems</v>
      </c>
      <c r="P189" s="6">
        <f ca="1">IFERROR(VLOOKUP(IDNMaps[[#This Row],[Primary]],INDIRECT(VLOOKUP(IDNMaps[[#This Row],[Type]],RecordCount[],2,0)),VLOOKUP(IDNMaps[[#This Row],[Type]],RecordCount[],8,0),0),"")</f>
        <v>2109196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90" s="6">
        <f ca="1">IF(IDNMaps[[#This Row],[Type]]="","",COUNTIF($K$1:IDNMaps[[#This Row],[Type]],IDNMaps[[#This Row],[Type]]))</f>
        <v>97</v>
      </c>
      <c r="M190" s="6" t="str">
        <f ca="1">IFERROR(VLOOKUP(IDNMaps[[#This Row],[Type]],RecordCount[],6,0)&amp;"-"&amp;IDNMaps[[#This Row],[Type Count]],"")</f>
        <v>Resource Relations-97</v>
      </c>
      <c r="N190" s="6" t="str">
        <f ca="1">IFERROR(VLOOKUP(IDNMaps[[#This Row],[Primary]],INDIRECT(VLOOKUP(IDNMaps[[#This Row],[Type]],RecordCount[],2,0)),VLOOKUP(IDNMaps[[#This Row],[Type]],RecordCount[],7,0),0),"")</f>
        <v>Employee/Tasks</v>
      </c>
      <c r="O190" s="6" t="str">
        <f ca="1">IF(IDNMaps[[#This Row],[Name]]="","","("&amp;IDNMaps[[#This Row],[Type]]&amp;") "&amp;IDNMaps[[#This Row],[Name]])</f>
        <v>(Relation) Employee/Tasks</v>
      </c>
      <c r="P190" s="6">
        <f ca="1">IFERROR(VLOOKUP(IDNMaps[[#This Row],[Primary]],INDIRECT(VLOOKUP(IDNMaps[[#This Row],[Type]],RecordCount[],2,0)),VLOOKUP(IDNMaps[[#This Row],[Type]],RecordCount[],8,0),0),"")</f>
        <v>2109197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91" s="6">
        <f ca="1">IF(IDNMaps[[#This Row],[Type]]="","",COUNTIF($K$1:IDNMaps[[#This Row],[Type]],IDNMaps[[#This Row],[Type]]))</f>
        <v>98</v>
      </c>
      <c r="M191" s="6" t="str">
        <f ca="1">IFERROR(VLOOKUP(IDNMaps[[#This Row],[Type]],RecordCount[],6,0)&amp;"-"&amp;IDNMaps[[#This Row],[Type Count]],"")</f>
        <v>Resource Relations-98</v>
      </c>
      <c r="N191" s="6" t="str">
        <f ca="1">IFERROR(VLOOKUP(IDNMaps[[#This Row],[Primary]],INDIRECT(VLOOKUP(IDNMaps[[#This Row],[Type]],RecordCount[],2,0)),VLOOKUP(IDNMaps[[#This Row],[Type]],RecordCount[],7,0),0),"")</f>
        <v>Employee/TaskList</v>
      </c>
      <c r="O191" s="6" t="str">
        <f ca="1">IF(IDNMaps[[#This Row],[Name]]="","","("&amp;IDNMaps[[#This Row],[Type]]&amp;") "&amp;IDNMaps[[#This Row],[Name]])</f>
        <v>(Relation) Employee/TaskList</v>
      </c>
      <c r="P191" s="6">
        <f ca="1">IFERROR(VLOOKUP(IDNMaps[[#This Row],[Primary]],INDIRECT(VLOOKUP(IDNMaps[[#This Row],[Type]],RecordCount[],2,0)),VLOOKUP(IDNMaps[[#This Row],[Type]],RecordCount[],8,0),0),"")</f>
        <v>2109198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92" s="6">
        <f ca="1">IF(IDNMaps[[#This Row],[Type]]="","",COUNTIF($K$1:IDNMaps[[#This Row],[Type]],IDNMaps[[#This Row],[Type]]))</f>
        <v>99</v>
      </c>
      <c r="M192" s="6" t="str">
        <f ca="1">IFERROR(VLOOKUP(IDNMaps[[#This Row],[Type]],RecordCount[],6,0)&amp;"-"&amp;IDNMaps[[#This Row],[Type Count]],"")</f>
        <v>Resource Relations-99</v>
      </c>
      <c r="N192" s="6" t="str">
        <f ca="1">IFERROR(VLOOKUP(IDNMaps[[#This Row],[Primary]],INDIRECT(VLOOKUP(IDNMaps[[#This Row],[Type]],RecordCount[],2,0)),VLOOKUP(IDNMaps[[#This Row],[Type]],RecordCount[],7,0),0),"")</f>
        <v>OrderItem/Delivery</v>
      </c>
      <c r="O192" s="6" t="str">
        <f ca="1">IF(IDNMaps[[#This Row],[Name]]="","","("&amp;IDNMaps[[#This Row],[Type]]&amp;") "&amp;IDNMaps[[#This Row],[Name]])</f>
        <v>(Relation) OrderItem/Delivery</v>
      </c>
      <c r="P192" s="6">
        <f ca="1">IFERROR(VLOOKUP(IDNMaps[[#This Row],[Primary]],INDIRECT(VLOOKUP(IDNMaps[[#This Row],[Type]],RecordCount[],2,0)),VLOOKUP(IDNMaps[[#This Row],[Type]],RecordCount[],8,0),0),"")</f>
        <v>2109199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1</v>
      </c>
      <c r="M193" s="6" t="str">
        <f ca="1">IFERROR(VLOOKUP(IDNMaps[[#This Row],[Type]],RecordCount[],6,0)&amp;"-"&amp;IDNMaps[[#This Row],[Type Count]],"")</f>
        <v>Form Fields-1</v>
      </c>
      <c r="N193" s="6" t="str">
        <f ca="1">IFERROR(VLOOKUP(IDNMaps[[#This Row],[Primary]],INDIRECT(VLOOKUP(IDNMaps[[#This Row],[Type]],RecordCount[],2,0)),VLOOKUP(IDNMaps[[#This Row],[Type]],RecordCount[],7,0),0),"")</f>
        <v>Owner/NewOwnerForm/name</v>
      </c>
      <c r="O193" s="6" t="str">
        <f ca="1">IF(IDNMaps[[#This Row],[Name]]="","","("&amp;IDNMaps[[#This Row],[Type]]&amp;") "&amp;IDNMaps[[#This Row],[Name]])</f>
        <v>(Fields) Owner/NewOwnerForm/name</v>
      </c>
      <c r="P193" s="6">
        <f ca="1">IFERROR(VLOOKUP(IDNMaps[[#This Row],[Primary]],INDIRECT(VLOOKUP(IDNMaps[[#This Row],[Type]],RecordCount[],2,0)),VLOOKUP(IDNMaps[[#This Row],[Type]],RecordCount[],8,0),0),"")</f>
        <v>2111101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2</v>
      </c>
      <c r="M194" s="6" t="str">
        <f ca="1">IFERROR(VLOOKUP(IDNMaps[[#This Row],[Type]],RecordCount[],6,0)&amp;"-"&amp;IDNMaps[[#This Row],[Type Count]],"")</f>
        <v>Form Fields-2</v>
      </c>
      <c r="N194" s="6" t="str">
        <f ca="1">IFERROR(VLOOKUP(IDNMaps[[#This Row],[Primary]],INDIRECT(VLOOKUP(IDNMaps[[#This Row],[Type]],RecordCount[],2,0)),VLOOKUP(IDNMaps[[#This Row],[Type]],RecordCount[],7,0),0),"")</f>
        <v>Owner/NewOwnerForm/email</v>
      </c>
      <c r="O194" s="6" t="str">
        <f ca="1">IF(IDNMaps[[#This Row],[Name]]="","","("&amp;IDNMaps[[#This Row],[Type]]&amp;") "&amp;IDNMaps[[#This Row],[Name]])</f>
        <v>(Fields) Owner/NewOwnerForm/email</v>
      </c>
      <c r="P194" s="6">
        <f ca="1">IFERROR(VLOOKUP(IDNMaps[[#This Row],[Primary]],INDIRECT(VLOOKUP(IDNMaps[[#This Row],[Type]],RecordCount[],2,0)),VLOOKUP(IDNMaps[[#This Row],[Type]],RecordCount[],8,0),0),"")</f>
        <v>2111102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3</v>
      </c>
      <c r="M195" s="6" t="str">
        <f ca="1">IFERROR(VLOOKUP(IDNMaps[[#This Row],[Type]],RecordCount[],6,0)&amp;"-"&amp;IDNMaps[[#This Row],[Type Count]],"")</f>
        <v>Form Fields-3</v>
      </c>
      <c r="N195" s="6" t="str">
        <f ca="1">IFERROR(VLOOKUP(IDNMaps[[#This Row],[Primary]],INDIRECT(VLOOKUP(IDNMaps[[#This Row],[Type]],RecordCount[],2,0)),VLOOKUP(IDNMaps[[#This Row],[Type]],RecordCount[],7,0),0),"")</f>
        <v>Owner/NewOwnerForm/password</v>
      </c>
      <c r="O195" s="6" t="str">
        <f ca="1">IF(IDNMaps[[#This Row],[Name]]="","","("&amp;IDNMaps[[#This Row],[Type]]&amp;") "&amp;IDNMaps[[#This Row],[Name]])</f>
        <v>(Fields) Owner/NewOwnerForm/password</v>
      </c>
      <c r="P195" s="6">
        <f ca="1">IFERROR(VLOOKUP(IDNMaps[[#This Row],[Primary]],INDIRECT(VLOOKUP(IDNMaps[[#This Row],[Type]],RecordCount[],2,0)),VLOOKUP(IDNMaps[[#This Row],[Type]],RecordCount[],8,0),0),"")</f>
        <v>2111103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4</v>
      </c>
      <c r="M196" s="6" t="str">
        <f ca="1">IFERROR(VLOOKUP(IDNMaps[[#This Row],[Type]],RecordCount[],6,0)&amp;"-"&amp;IDNMaps[[#This Row],[Type Count]],"")</f>
        <v>Form Fields-4</v>
      </c>
      <c r="N196" s="6" t="str">
        <f ca="1">IFERROR(VLOOKUP(IDNMaps[[#This Row],[Primary]],INDIRECT(VLOOKUP(IDNMaps[[#This Row],[Type]],RecordCount[],2,0)),VLOOKUP(IDNMaps[[#This Row],[Type]],RecordCount[],7,0),0),"")</f>
        <v>Employee/NewEmployee/group</v>
      </c>
      <c r="O196" s="6" t="str">
        <f ca="1">IF(IDNMaps[[#This Row],[Name]]="","","("&amp;IDNMaps[[#This Row],[Type]]&amp;") "&amp;IDNMaps[[#This Row],[Name]])</f>
        <v>(Fields) Employee/NewEmployee/group</v>
      </c>
      <c r="P196" s="6">
        <f ca="1">IFERROR(VLOOKUP(IDNMaps[[#This Row],[Primary]],INDIRECT(VLOOKUP(IDNMaps[[#This Row],[Type]],RecordCount[],2,0)),VLOOKUP(IDNMaps[[#This Row],[Type]],RecordCount[],8,0),0),"")</f>
        <v>2111104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5</v>
      </c>
      <c r="M197" s="6" t="str">
        <f ca="1">IFERROR(VLOOKUP(IDNMaps[[#This Row],[Type]],RecordCount[],6,0)&amp;"-"&amp;IDNMaps[[#This Row],[Type Count]],"")</f>
        <v>Form Fields-5</v>
      </c>
      <c r="N197" s="6" t="str">
        <f ca="1">IFERROR(VLOOKUP(IDNMaps[[#This Row],[Primary]],INDIRECT(VLOOKUP(IDNMaps[[#This Row],[Type]],RecordCount[],2,0)),VLOOKUP(IDNMaps[[#This Row],[Type]],RecordCount[],7,0),0),"")</f>
        <v>Employee/NewEmployee/name</v>
      </c>
      <c r="O197" s="6" t="str">
        <f ca="1">IF(IDNMaps[[#This Row],[Name]]="","","("&amp;IDNMaps[[#This Row],[Type]]&amp;") "&amp;IDNMaps[[#This Row],[Name]])</f>
        <v>(Fields) Employee/NewEmployee/name</v>
      </c>
      <c r="P197" s="6">
        <f ca="1">IFERROR(VLOOKUP(IDNMaps[[#This Row],[Primary]],INDIRECT(VLOOKUP(IDNMaps[[#This Row],[Type]],RecordCount[],2,0)),VLOOKUP(IDNMaps[[#This Row],[Type]],RecordCount[],8,0),0),"")</f>
        <v>2111105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6</v>
      </c>
      <c r="M198" s="6" t="str">
        <f ca="1">IFERROR(VLOOKUP(IDNMaps[[#This Row],[Type]],RecordCount[],6,0)&amp;"-"&amp;IDNMaps[[#This Row],[Type Count]],"")</f>
        <v>Form Fields-6</v>
      </c>
      <c r="N198" s="6" t="str">
        <f ca="1">IFERROR(VLOOKUP(IDNMaps[[#This Row],[Primary]],INDIRECT(VLOOKUP(IDNMaps[[#This Row],[Type]],RecordCount[],2,0)),VLOOKUP(IDNMaps[[#This Row],[Type]],RecordCount[],7,0),0),"")</f>
        <v>Employee/NewEmployee/email</v>
      </c>
      <c r="O198" s="6" t="str">
        <f ca="1">IF(IDNMaps[[#This Row],[Name]]="","","("&amp;IDNMaps[[#This Row],[Type]]&amp;") "&amp;IDNMaps[[#This Row],[Name]])</f>
        <v>(Fields) Employee/NewEmployee/email</v>
      </c>
      <c r="P198" s="6">
        <f ca="1">IFERROR(VLOOKUP(IDNMaps[[#This Row],[Primary]],INDIRECT(VLOOKUP(IDNMaps[[#This Row],[Type]],RecordCount[],2,0)),VLOOKUP(IDNMaps[[#This Row],[Type]],RecordCount[],8,0),0),"")</f>
        <v>2111106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7</v>
      </c>
      <c r="M199" s="6" t="str">
        <f ca="1">IFERROR(VLOOKUP(IDNMaps[[#This Row],[Type]],RecordCount[],6,0)&amp;"-"&amp;IDNMaps[[#This Row],[Type Count]],"")</f>
        <v>Form Fields-7</v>
      </c>
      <c r="N199" s="6" t="str">
        <f ca="1">IFERROR(VLOOKUP(IDNMaps[[#This Row],[Primary]],INDIRECT(VLOOKUP(IDNMaps[[#This Row],[Type]],RecordCount[],2,0)),VLOOKUP(IDNMaps[[#This Row],[Type]],RecordCount[],7,0),0),"")</f>
        <v>Employee/NewEmployee/password</v>
      </c>
      <c r="O199" s="6" t="str">
        <f ca="1">IF(IDNMaps[[#This Row],[Name]]="","","("&amp;IDNMaps[[#This Row],[Type]]&amp;") "&amp;IDNMaps[[#This Row],[Name]])</f>
        <v>(Fields) Employee/NewEmployee/password</v>
      </c>
      <c r="P199" s="6">
        <f ca="1">IFERROR(VLOOKUP(IDNMaps[[#This Row],[Primary]],INDIRECT(VLOOKUP(IDNMaps[[#This Row],[Type]],RecordCount[],2,0)),VLOOKUP(IDNMaps[[#This Row],[Type]],RecordCount[],8,0),0),"")</f>
        <v>2111107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8</v>
      </c>
      <c r="M200" s="6" t="str">
        <f ca="1">IFERROR(VLOOKUP(IDNMaps[[#This Row],[Type]],RecordCount[],6,0)&amp;"-"&amp;IDNMaps[[#This Row],[Type Count]],"")</f>
        <v>Form Fields-8</v>
      </c>
      <c r="N200" s="6" t="str">
        <f ca="1">IFERROR(VLOOKUP(IDNMaps[[#This Row],[Primary]],INDIRECT(VLOOKUP(IDNMaps[[#This Row],[Type]],RecordCount[],2,0)),VLOOKUP(IDNMaps[[#This Row],[Type]],RecordCount[],7,0),0),"")</f>
        <v>Employee/NewServiceProvider/name</v>
      </c>
      <c r="O200" s="6" t="str">
        <f ca="1">IF(IDNMaps[[#This Row],[Name]]="","","("&amp;IDNMaps[[#This Row],[Type]]&amp;") "&amp;IDNMaps[[#This Row],[Name]])</f>
        <v>(Fields) Employee/NewServiceProvider/name</v>
      </c>
      <c r="P200" s="6">
        <f ca="1">IFERROR(VLOOKUP(IDNMaps[[#This Row],[Primary]],INDIRECT(VLOOKUP(IDNMaps[[#This Row],[Type]],RecordCount[],2,0)),VLOOKUP(IDNMaps[[#This Row],[Type]],RecordCount[],8,0),0),"")</f>
        <v>2111108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9</v>
      </c>
      <c r="M201" s="6" t="str">
        <f ca="1">IFERROR(VLOOKUP(IDNMaps[[#This Row],[Type]],RecordCount[],6,0)&amp;"-"&amp;IDNMaps[[#This Row],[Type Count]],"")</f>
        <v>Form Fields-9</v>
      </c>
      <c r="N201" s="6" t="str">
        <f ca="1">IFERROR(VLOOKUP(IDNMaps[[#This Row],[Primary]],INDIRECT(VLOOKUP(IDNMaps[[#This Row],[Type]],RecordCount[],2,0)),VLOOKUP(IDNMaps[[#This Row],[Type]],RecordCount[],7,0),0),"")</f>
        <v>Employee/NewServiceProvider/email</v>
      </c>
      <c r="O201" s="6" t="str">
        <f ca="1">IF(IDNMaps[[#This Row],[Name]]="","","("&amp;IDNMaps[[#This Row],[Type]]&amp;") "&amp;IDNMaps[[#This Row],[Name]])</f>
        <v>(Fields) Employee/NewServiceProvider/email</v>
      </c>
      <c r="P201" s="6">
        <f ca="1">IFERROR(VLOOKUP(IDNMaps[[#This Row],[Primary]],INDIRECT(VLOOKUP(IDNMaps[[#This Row],[Type]],RecordCount[],2,0)),VLOOKUP(IDNMaps[[#This Row],[Type]],RecordCount[],8,0),0),"")</f>
        <v>2111109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10</v>
      </c>
      <c r="M202" s="6" t="str">
        <f ca="1">IFERROR(VLOOKUP(IDNMaps[[#This Row],[Type]],RecordCount[],6,0)&amp;"-"&amp;IDNMaps[[#This Row],[Type Count]],"")</f>
        <v>Form Fields-10</v>
      </c>
      <c r="N202" s="6" t="str">
        <f ca="1">IFERROR(VLOOKUP(IDNMaps[[#This Row],[Primary]],INDIRECT(VLOOKUP(IDNMaps[[#This Row],[Type]],RecordCount[],2,0)),VLOOKUP(IDNMaps[[#This Row],[Type]],RecordCount[],7,0),0),"")</f>
        <v>Employee/NewServiceProvider/password</v>
      </c>
      <c r="O202" s="6" t="str">
        <f ca="1">IF(IDNMaps[[#This Row],[Name]]="","","("&amp;IDNMaps[[#This Row],[Type]]&amp;") "&amp;IDNMaps[[#This Row],[Name]])</f>
        <v>(Fields) Employee/NewServiceProvider/password</v>
      </c>
      <c r="P202" s="6">
        <f ca="1">IFERROR(VLOOKUP(IDNMaps[[#This Row],[Primary]],INDIRECT(VLOOKUP(IDNMaps[[#This Row],[Type]],RecordCount[],2,0)),VLOOKUP(IDNMaps[[#This Row],[Type]],RecordCount[],8,0),0),"")</f>
        <v>2111110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11</v>
      </c>
      <c r="M203" s="6" t="str">
        <f ca="1">IFERROR(VLOOKUP(IDNMaps[[#This Row],[Type]],RecordCount[],6,0)&amp;"-"&amp;IDNMaps[[#This Row],[Type Count]],"")</f>
        <v>Form Fields-11</v>
      </c>
      <c r="N203" s="6" t="str">
        <f ca="1">IFERROR(VLOOKUP(IDNMaps[[#This Row],[Primary]],INDIRECT(VLOOKUP(IDNMaps[[#This Row],[Type]],RecordCount[],2,0)),VLOOKUP(IDNMaps[[#This Row],[Type]],RecordCount[],7,0),0),"")</f>
        <v>Customer/NewCustomerForm/name</v>
      </c>
      <c r="O203" s="6" t="str">
        <f ca="1">IF(IDNMaps[[#This Row],[Name]]="","","("&amp;IDNMaps[[#This Row],[Type]]&amp;") "&amp;IDNMaps[[#This Row],[Name]])</f>
        <v>(Fields) Customer/NewCustomerForm/name</v>
      </c>
      <c r="P203" s="6">
        <f ca="1">IFERROR(VLOOKUP(IDNMaps[[#This Row],[Primary]],INDIRECT(VLOOKUP(IDNMaps[[#This Row],[Type]],RecordCount[],2,0)),VLOOKUP(IDNMaps[[#This Row],[Type]],RecordCount[],8,0),0),"")</f>
        <v>2111111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12</v>
      </c>
      <c r="M204" s="6" t="str">
        <f ca="1">IFERROR(VLOOKUP(IDNMaps[[#This Row],[Type]],RecordCount[],6,0)&amp;"-"&amp;IDNMaps[[#This Row],[Type Count]],"")</f>
        <v>Form Fields-12</v>
      </c>
      <c r="N204" s="6" t="str">
        <f ca="1">IFERROR(VLOOKUP(IDNMaps[[#This Row],[Primary]],INDIRECT(VLOOKUP(IDNMaps[[#This Row],[Type]],RecordCount[],2,0)),VLOOKUP(IDNMaps[[#This Row],[Type]],RecordCount[],7,0),0),"")</f>
        <v>Customer/NewCustomerForm/phone</v>
      </c>
      <c r="O204" s="6" t="str">
        <f ca="1">IF(IDNMaps[[#This Row],[Name]]="","","("&amp;IDNMaps[[#This Row],[Type]]&amp;") "&amp;IDNMaps[[#This Row],[Name]])</f>
        <v>(Fields) Customer/NewCustomerForm/phone</v>
      </c>
      <c r="P204" s="6">
        <f ca="1">IFERROR(VLOOKUP(IDNMaps[[#This Row],[Primary]],INDIRECT(VLOOKUP(IDNMaps[[#This Row],[Type]],RecordCount[],2,0)),VLOOKUP(IDNMaps[[#This Row],[Type]],RecordCount[],8,0),0),"")</f>
        <v>2111112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13</v>
      </c>
      <c r="M205" s="6" t="str">
        <f ca="1">IFERROR(VLOOKUP(IDNMaps[[#This Row],[Type]],RecordCount[],6,0)&amp;"-"&amp;IDNMaps[[#This Row],[Type Count]],"")</f>
        <v>Form Fields-13</v>
      </c>
      <c r="N205" s="6" t="str">
        <f ca="1">IFERROR(VLOOKUP(IDNMaps[[#This Row],[Primary]],INDIRECT(VLOOKUP(IDNMaps[[#This Row],[Type]],RecordCount[],2,0)),VLOOKUP(IDNMaps[[#This Row],[Type]],RecordCount[],7,0),0),"")</f>
        <v>Customer/NewCustomerForm/address</v>
      </c>
      <c r="O205" s="6" t="str">
        <f ca="1">IF(IDNMaps[[#This Row],[Name]]="","","("&amp;IDNMaps[[#This Row],[Type]]&amp;") "&amp;IDNMaps[[#This Row],[Name]])</f>
        <v>(Fields) Customer/NewCustomerForm/address</v>
      </c>
      <c r="P205" s="6">
        <f ca="1">IFERROR(VLOOKUP(IDNMaps[[#This Row],[Primary]],INDIRECT(VLOOKUP(IDNMaps[[#This Row],[Type]],RecordCount[],2,0)),VLOOKUP(IDNMaps[[#This Row],[Type]],RecordCount[],8,0),0),"")</f>
        <v>2111113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14</v>
      </c>
      <c r="M206" s="6" t="str">
        <f ca="1">IFERROR(VLOOKUP(IDNMaps[[#This Row],[Type]],RecordCount[],6,0)&amp;"-"&amp;IDNMaps[[#This Row],[Type Count]],"")</f>
        <v>Form Fields-14</v>
      </c>
      <c r="N206" s="6" t="str">
        <f ca="1">IFERROR(VLOOKUP(IDNMaps[[#This Row],[Primary]],INDIRECT(VLOOKUP(IDNMaps[[#This Row],[Type]],RecordCount[],2,0)),VLOOKUP(IDNMaps[[#This Row],[Type]],RecordCount[],7,0),0),"")</f>
        <v>Hub/NewHubCreateFrom/name</v>
      </c>
      <c r="O206" s="6" t="str">
        <f ca="1">IF(IDNMaps[[#This Row],[Name]]="","","("&amp;IDNMaps[[#This Row],[Type]]&amp;") "&amp;IDNMaps[[#This Row],[Name]])</f>
        <v>(Fields) Hub/NewHubCreateFrom/name</v>
      </c>
      <c r="P206" s="6">
        <f ca="1">IFERROR(VLOOKUP(IDNMaps[[#This Row],[Primary]],INDIRECT(VLOOKUP(IDNMaps[[#This Row],[Type]],RecordCount[],2,0)),VLOOKUP(IDNMaps[[#This Row],[Type]],RecordCount[],8,0),0),"")</f>
        <v>2111114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15</v>
      </c>
      <c r="M207" s="6" t="str">
        <f ca="1">IFERROR(VLOOKUP(IDNMaps[[#This Row],[Type]],RecordCount[],6,0)&amp;"-"&amp;IDNMaps[[#This Row],[Type Count]],"")</f>
        <v>Form Fields-15</v>
      </c>
      <c r="N207" s="6" t="str">
        <f ca="1">IFERROR(VLOOKUP(IDNMaps[[#This Row],[Primary]],INDIRECT(VLOOKUP(IDNMaps[[#This Row],[Type]],RecordCount[],2,0)),VLOOKUP(IDNMaps[[#This Row],[Type]],RecordCount[],7,0),0),"")</f>
        <v>Hub/NewHubCreateFrom/phone</v>
      </c>
      <c r="O207" s="6" t="str">
        <f ca="1">IF(IDNMaps[[#This Row],[Name]]="","","("&amp;IDNMaps[[#This Row],[Type]]&amp;") "&amp;IDNMaps[[#This Row],[Name]])</f>
        <v>(Fields) Hub/NewHubCreateFrom/phone</v>
      </c>
      <c r="P207" s="6">
        <f ca="1">IFERROR(VLOOKUP(IDNMaps[[#This Row],[Primary]],INDIRECT(VLOOKUP(IDNMaps[[#This Row],[Type]],RecordCount[],2,0)),VLOOKUP(IDNMaps[[#This Row],[Type]],RecordCount[],8,0),0),"")</f>
        <v>2111115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16</v>
      </c>
      <c r="M208" s="6" t="str">
        <f ca="1">IFERROR(VLOOKUP(IDNMaps[[#This Row],[Type]],RecordCount[],6,0)&amp;"-"&amp;IDNMaps[[#This Row],[Type Count]],"")</f>
        <v>Form Fields-16</v>
      </c>
      <c r="N208" s="6" t="str">
        <f ca="1">IFERROR(VLOOKUP(IDNMaps[[#This Row],[Primary]],INDIRECT(VLOOKUP(IDNMaps[[#This Row],[Type]],RecordCount[],2,0)),VLOOKUP(IDNMaps[[#This Row],[Type]],RecordCount[],7,0),0),"")</f>
        <v>Hub/NewHubCreateFrom/status</v>
      </c>
      <c r="O208" s="6" t="str">
        <f ca="1">IF(IDNMaps[[#This Row],[Name]]="","","("&amp;IDNMaps[[#This Row],[Type]]&amp;") "&amp;IDNMaps[[#This Row],[Name]])</f>
        <v>(Fields) Hub/NewHubCreateFrom/status</v>
      </c>
      <c r="P208" s="6">
        <f ca="1">IFERROR(VLOOKUP(IDNMaps[[#This Row],[Primary]],INDIRECT(VLOOKUP(IDNMaps[[#This Row],[Type]],RecordCount[],2,0)),VLOOKUP(IDNMaps[[#This Row],[Type]],RecordCount[],8,0),0),"")</f>
        <v>2111116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17</v>
      </c>
      <c r="M209" s="6" t="str">
        <f ca="1">IFERROR(VLOOKUP(IDNMaps[[#This Row],[Type]],RecordCount[],6,0)&amp;"-"&amp;IDNMaps[[#This Row],[Type Count]],"")</f>
        <v>Form Fields-17</v>
      </c>
      <c r="N209" s="6" t="str">
        <f ca="1">IFERROR(VLOOKUP(IDNMaps[[#This Row],[Primary]],INDIRECT(VLOOKUP(IDNMaps[[#This Row],[Type]],RecordCount[],2,0)),VLOOKUP(IDNMaps[[#This Row],[Type]],RecordCount[],7,0),0),"")</f>
        <v>Hub/NewHubCreateFrom/address</v>
      </c>
      <c r="O209" s="6" t="str">
        <f ca="1">IF(IDNMaps[[#This Row],[Name]]="","","("&amp;IDNMaps[[#This Row],[Type]]&amp;") "&amp;IDNMaps[[#This Row],[Name]])</f>
        <v>(Fields) Hub/NewHubCreateFrom/address</v>
      </c>
      <c r="P209" s="6">
        <f ca="1">IFERROR(VLOOKUP(IDNMaps[[#This Row],[Primary]],INDIRECT(VLOOKUP(IDNMaps[[#This Row],[Type]],RecordCount[],2,0)),VLOOKUP(IDNMaps[[#This Row],[Type]],RecordCount[],8,0),0),"")</f>
        <v>2111117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18</v>
      </c>
      <c r="M210" s="6" t="str">
        <f ca="1">IFERROR(VLOOKUP(IDNMaps[[#This Row],[Type]],RecordCount[],6,0)&amp;"-"&amp;IDNMaps[[#This Row],[Type Count]],"")</f>
        <v>Form Fields-18</v>
      </c>
      <c r="N210" s="6" t="str">
        <f ca="1">IFERROR(VLOOKUP(IDNMaps[[#This Row],[Primary]],INDIRECT(VLOOKUP(IDNMaps[[#This Row],[Type]],RecordCount[],2,0)),VLOOKUP(IDNMaps[[#This Row],[Type]],RecordCount[],7,0),0),"")</f>
        <v>Hub/NewHubCreateFrom/image</v>
      </c>
      <c r="O210" s="6" t="str">
        <f ca="1">IF(IDNMaps[[#This Row],[Name]]="","","("&amp;IDNMaps[[#This Row],[Type]]&amp;") "&amp;IDNMaps[[#This Row],[Name]])</f>
        <v>(Fields) Hub/NewHubCreateFrom/image</v>
      </c>
      <c r="P210" s="6">
        <f ca="1">IFERROR(VLOOKUP(IDNMaps[[#This Row],[Primary]],INDIRECT(VLOOKUP(IDNMaps[[#This Row],[Type]],RecordCount[],2,0)),VLOOKUP(IDNMaps[[#This Row],[Type]],RecordCount[],8,0),0),"")</f>
        <v>2111118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19</v>
      </c>
      <c r="M211" s="6" t="str">
        <f ca="1">IFERROR(VLOOKUP(IDNMaps[[#This Row],[Type]],RecordCount[],6,0)&amp;"-"&amp;IDNMaps[[#This Row],[Type Count]],"")</f>
        <v>Form Fields-19</v>
      </c>
      <c r="N211" s="6" t="str">
        <f ca="1">IFERROR(VLOOKUP(IDNMaps[[#This Row],[Primary]],INDIRECT(VLOOKUP(IDNMaps[[#This Row],[Type]],RecordCount[],2,0)),VLOOKUP(IDNMaps[[#This Row],[Type]],RecordCount[],7,0),0),"")</f>
        <v>Hub/NewHubCreateFrom/email</v>
      </c>
      <c r="O211" s="6" t="str">
        <f ca="1">IF(IDNMaps[[#This Row],[Name]]="","","("&amp;IDNMaps[[#This Row],[Type]]&amp;") "&amp;IDNMaps[[#This Row],[Name]])</f>
        <v>(Fields) Hub/NewHubCreateFrom/email</v>
      </c>
      <c r="P211" s="6">
        <f ca="1">IFERROR(VLOOKUP(IDNMaps[[#This Row],[Primary]],INDIRECT(VLOOKUP(IDNMaps[[#This Row],[Type]],RecordCount[],2,0)),VLOOKUP(IDNMaps[[#This Row],[Type]],RecordCount[],8,0),0),"")</f>
        <v>2111119</v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20</v>
      </c>
      <c r="M212" s="6" t="str">
        <f ca="1">IFERROR(VLOOKUP(IDNMaps[[#This Row],[Type]],RecordCount[],6,0)&amp;"-"&amp;IDNMaps[[#This Row],[Type Count]],"")</f>
        <v>Form Fields-20</v>
      </c>
      <c r="N212" s="6" t="str">
        <f ca="1">IFERROR(VLOOKUP(IDNMaps[[#This Row],[Primary]],INDIRECT(VLOOKUP(IDNMaps[[#This Row],[Type]],RecordCount[],2,0)),VLOOKUP(IDNMaps[[#This Row],[Type]],RecordCount[],7,0),0),"")</f>
        <v>Hub/NewHubCreateFrom/website</v>
      </c>
      <c r="O212" s="6" t="str">
        <f ca="1">IF(IDNMaps[[#This Row],[Name]]="","","("&amp;IDNMaps[[#This Row],[Type]]&amp;") "&amp;IDNMaps[[#This Row],[Name]])</f>
        <v>(Fields) Hub/NewHubCreateFrom/website</v>
      </c>
      <c r="P212" s="6">
        <f ca="1">IFERROR(VLOOKUP(IDNMaps[[#This Row],[Primary]],INDIRECT(VLOOKUP(IDNMaps[[#This Row],[Type]],RecordCount[],2,0)),VLOOKUP(IDNMaps[[#This Row],[Type]],RecordCount[],8,0),0),"")</f>
        <v>2111120</v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21</v>
      </c>
      <c r="M213" s="6" t="str">
        <f ca="1">IFERROR(VLOOKUP(IDNMaps[[#This Row],[Type]],RecordCount[],6,0)&amp;"-"&amp;IDNMaps[[#This Row],[Type Count]],"")</f>
        <v>Form Fields-21</v>
      </c>
      <c r="N213" s="6" t="str">
        <f ca="1">IFERROR(VLOOKUP(IDNMaps[[#This Row],[Primary]],INDIRECT(VLOOKUP(IDNMaps[[#This Row],[Type]],RecordCount[],2,0)),VLOOKUP(IDNMaps[[#This Row],[Type]],RecordCount[],7,0),0),"")</f>
        <v>Service/AddNewServiceForm/name</v>
      </c>
      <c r="O213" s="6" t="str">
        <f ca="1">IF(IDNMaps[[#This Row],[Name]]="","","("&amp;IDNMaps[[#This Row],[Type]]&amp;") "&amp;IDNMaps[[#This Row],[Name]])</f>
        <v>(Fields) Service/AddNewServiceForm/name</v>
      </c>
      <c r="P213" s="6">
        <f ca="1">IFERROR(VLOOKUP(IDNMaps[[#This Row],[Primary]],INDIRECT(VLOOKUP(IDNMaps[[#This Row],[Type]],RecordCount[],2,0)),VLOOKUP(IDNMaps[[#This Row],[Type]],RecordCount[],8,0),0),"")</f>
        <v>2111121</v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22</v>
      </c>
      <c r="M214" s="6" t="str">
        <f ca="1">IFERROR(VLOOKUP(IDNMaps[[#This Row],[Type]],RecordCount[],6,0)&amp;"-"&amp;IDNMaps[[#This Row],[Type Count]],"")</f>
        <v>Form Fields-22</v>
      </c>
      <c r="N214" s="6" t="str">
        <f ca="1">IFERROR(VLOOKUP(IDNMaps[[#This Row],[Primary]],INDIRECT(VLOOKUP(IDNMaps[[#This Row],[Type]],RecordCount[],2,0)),VLOOKUP(IDNMaps[[#This Row],[Type]],RecordCount[],7,0),0),"")</f>
        <v>Service/AddNewServiceForm/description</v>
      </c>
      <c r="O214" s="6" t="str">
        <f ca="1">IF(IDNMaps[[#This Row],[Name]]="","","("&amp;IDNMaps[[#This Row],[Type]]&amp;") "&amp;IDNMaps[[#This Row],[Name]])</f>
        <v>(Fields) Service/AddNewServiceForm/description</v>
      </c>
      <c r="P214" s="6">
        <f ca="1">IFERROR(VLOOKUP(IDNMaps[[#This Row],[Primary]],INDIRECT(VLOOKUP(IDNMaps[[#This Row],[Type]],RecordCount[],2,0)),VLOOKUP(IDNMaps[[#This Row],[Type]],RecordCount[],8,0),0),"")</f>
        <v>2111122</v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5" s="6">
        <f ca="1">IF(IDNMaps[[#This Row],[Type]]="","",COUNTIF($K$1:IDNMaps[[#This Row],[Type]],IDNMaps[[#This Row],[Type]]))</f>
        <v>23</v>
      </c>
      <c r="M215" s="6" t="str">
        <f ca="1">IFERROR(VLOOKUP(IDNMaps[[#This Row],[Type]],RecordCount[],6,0)&amp;"-"&amp;IDNMaps[[#This Row],[Type Count]],"")</f>
        <v>Form Fields-23</v>
      </c>
      <c r="N215" s="6" t="str">
        <f ca="1">IFERROR(VLOOKUP(IDNMaps[[#This Row],[Primary]],INDIRECT(VLOOKUP(IDNMaps[[#This Row],[Type]],RecordCount[],2,0)),VLOOKUP(IDNMaps[[#This Row],[Type]],RecordCount[],7,0),0),"")</f>
        <v>Service/AddNewServiceForm/status</v>
      </c>
      <c r="O215" s="6" t="str">
        <f ca="1">IF(IDNMaps[[#This Row],[Name]]="","","("&amp;IDNMaps[[#This Row],[Type]]&amp;") "&amp;IDNMaps[[#This Row],[Name]])</f>
        <v>(Fields) Service/AddNewServiceForm/status</v>
      </c>
      <c r="P215" s="6">
        <f ca="1">IFERROR(VLOOKUP(IDNMaps[[#This Row],[Primary]],INDIRECT(VLOOKUP(IDNMaps[[#This Row],[Type]],RecordCount[],2,0)),VLOOKUP(IDNMaps[[#This Row],[Type]],RecordCount[],8,0),0),"")</f>
        <v>2111123</v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6" s="6">
        <f ca="1">IF(IDNMaps[[#This Row],[Type]]="","",COUNTIF($K$1:IDNMaps[[#This Row],[Type]],IDNMaps[[#This Row],[Type]]))</f>
        <v>24</v>
      </c>
      <c r="M216" s="6" t="str">
        <f ca="1">IFERROR(VLOOKUP(IDNMaps[[#This Row],[Type]],RecordCount[],6,0)&amp;"-"&amp;IDNMaps[[#This Row],[Type Count]],"")</f>
        <v>Form Fields-24</v>
      </c>
      <c r="N216" s="6" t="str">
        <f ca="1">IFERROR(VLOOKUP(IDNMaps[[#This Row],[Primary]],INDIRECT(VLOOKUP(IDNMaps[[#This Row],[Type]],RecordCount[],2,0)),VLOOKUP(IDNMaps[[#This Row],[Type]],RecordCount[],7,0),0),"")</f>
        <v>Item/AddNewItemForm/name</v>
      </c>
      <c r="O216" s="6" t="str">
        <f ca="1">IF(IDNMaps[[#This Row],[Name]]="","","("&amp;IDNMaps[[#This Row],[Type]]&amp;") "&amp;IDNMaps[[#This Row],[Name]])</f>
        <v>(Fields) Item/AddNewItemForm/name</v>
      </c>
      <c r="P216" s="6">
        <f ca="1">IFERROR(VLOOKUP(IDNMaps[[#This Row],[Primary]],INDIRECT(VLOOKUP(IDNMaps[[#This Row],[Type]],RecordCount[],2,0)),VLOOKUP(IDNMaps[[#This Row],[Type]],RecordCount[],8,0),0),"")</f>
        <v>2111124</v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7" s="6">
        <f ca="1">IF(IDNMaps[[#This Row],[Type]]="","",COUNTIF($K$1:IDNMaps[[#This Row],[Type]],IDNMaps[[#This Row],[Type]]))</f>
        <v>25</v>
      </c>
      <c r="M217" s="6" t="str">
        <f ca="1">IFERROR(VLOOKUP(IDNMaps[[#This Row],[Type]],RecordCount[],6,0)&amp;"-"&amp;IDNMaps[[#This Row],[Type Count]],"")</f>
        <v>Form Fields-25</v>
      </c>
      <c r="N217" s="6" t="str">
        <f ca="1">IFERROR(VLOOKUP(IDNMaps[[#This Row],[Primary]],INDIRECT(VLOOKUP(IDNMaps[[#This Row],[Type]],RecordCount[],2,0)),VLOOKUP(IDNMaps[[#This Row],[Type]],RecordCount[],7,0),0),"")</f>
        <v>Item/AddNewItemForm/description</v>
      </c>
      <c r="O217" s="6" t="str">
        <f ca="1">IF(IDNMaps[[#This Row],[Name]]="","","("&amp;IDNMaps[[#This Row],[Type]]&amp;") "&amp;IDNMaps[[#This Row],[Name]])</f>
        <v>(Fields) Item/AddNewItemForm/description</v>
      </c>
      <c r="P217" s="6">
        <f ca="1">IFERROR(VLOOKUP(IDNMaps[[#This Row],[Primary]],INDIRECT(VLOOKUP(IDNMaps[[#This Row],[Type]],RecordCount[],2,0)),VLOOKUP(IDNMaps[[#This Row],[Type]],RecordCount[],8,0),0),"")</f>
        <v>2111125</v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8" s="6">
        <f ca="1">IF(IDNMaps[[#This Row],[Type]]="","",COUNTIF($K$1:IDNMaps[[#This Row],[Type]],IDNMaps[[#This Row],[Type]]))</f>
        <v>26</v>
      </c>
      <c r="M218" s="6" t="str">
        <f ca="1">IFERROR(VLOOKUP(IDNMaps[[#This Row],[Type]],RecordCount[],6,0)&amp;"-"&amp;IDNMaps[[#This Row],[Type Count]],"")</f>
        <v>Form Fields-26</v>
      </c>
      <c r="N218" s="6" t="str">
        <f ca="1">IFERROR(VLOOKUP(IDNMaps[[#This Row],[Primary]],INDIRECT(VLOOKUP(IDNMaps[[#This Row],[Type]],RecordCount[],2,0)),VLOOKUP(IDNMaps[[#This Row],[Type]],RecordCount[],7,0),0),"")</f>
        <v>Item/AddNewItemForm/status</v>
      </c>
      <c r="O218" s="6" t="str">
        <f ca="1">IF(IDNMaps[[#This Row],[Name]]="","","("&amp;IDNMaps[[#This Row],[Type]]&amp;") "&amp;IDNMaps[[#This Row],[Name]])</f>
        <v>(Fields) Item/AddNewItemForm/status</v>
      </c>
      <c r="P218" s="6">
        <f ca="1">IFERROR(VLOOKUP(IDNMaps[[#This Row],[Primary]],INDIRECT(VLOOKUP(IDNMaps[[#This Row],[Type]],RecordCount[],2,0)),VLOOKUP(IDNMaps[[#This Row],[Type]],RecordCount[],8,0),0),"")</f>
        <v>2111126</v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9" s="6">
        <f ca="1">IF(IDNMaps[[#This Row],[Type]]="","",COUNTIF($K$1:IDNMaps[[#This Row],[Type]],IDNMaps[[#This Row],[Type]]))</f>
        <v>27</v>
      </c>
      <c r="M219" s="6" t="str">
        <f ca="1">IFERROR(VLOOKUP(IDNMaps[[#This Row],[Type]],RecordCount[],6,0)&amp;"-"&amp;IDNMaps[[#This Row],[Type Count]],"")</f>
        <v>Form Fields-27</v>
      </c>
      <c r="N219" s="6" t="str">
        <f ca="1">IFERROR(VLOOKUP(IDNMaps[[#This Row],[Primary]],INDIRECT(VLOOKUP(IDNMaps[[#This Row],[Type]],RecordCount[],2,0)),VLOOKUP(IDNMaps[[#This Row],[Type]],RecordCount[],7,0),0),"")</f>
        <v>ItemService/AddServicesToItemForm/item</v>
      </c>
      <c r="O219" s="6" t="str">
        <f ca="1">IF(IDNMaps[[#This Row],[Name]]="","","("&amp;IDNMaps[[#This Row],[Type]]&amp;") "&amp;IDNMaps[[#This Row],[Name]])</f>
        <v>(Fields) ItemService/AddServicesToItemForm/item</v>
      </c>
      <c r="P219" s="6">
        <f ca="1">IFERROR(VLOOKUP(IDNMaps[[#This Row],[Primary]],INDIRECT(VLOOKUP(IDNMaps[[#This Row],[Type]],RecordCount[],2,0)),VLOOKUP(IDNMaps[[#This Row],[Type]],RecordCount[],8,0),0),"")</f>
        <v>2111127</v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0" s="6">
        <f ca="1">IF(IDNMaps[[#This Row],[Type]]="","",COUNTIF($K$1:IDNMaps[[#This Row],[Type]],IDNMaps[[#This Row],[Type]]))</f>
        <v>28</v>
      </c>
      <c r="M220" s="6" t="str">
        <f ca="1">IFERROR(VLOOKUP(IDNMaps[[#This Row],[Type]],RecordCount[],6,0)&amp;"-"&amp;IDNMaps[[#This Row],[Type Count]],"")</f>
        <v>Form Fields-28</v>
      </c>
      <c r="N220" s="6" t="str">
        <f ca="1">IFERROR(VLOOKUP(IDNMaps[[#This Row],[Primary]],INDIRECT(VLOOKUP(IDNMaps[[#This Row],[Type]],RecordCount[],2,0)),VLOOKUP(IDNMaps[[#This Row],[Type]],RecordCount[],7,0),0),"")</f>
        <v>ItemService/AddServicesToItemForm/service</v>
      </c>
      <c r="O220" s="6" t="str">
        <f ca="1">IF(IDNMaps[[#This Row],[Name]]="","","("&amp;IDNMaps[[#This Row],[Type]]&amp;") "&amp;IDNMaps[[#This Row],[Name]])</f>
        <v>(Fields) ItemService/AddServicesToItemForm/service</v>
      </c>
      <c r="P220" s="6">
        <f ca="1">IFERROR(VLOOKUP(IDNMaps[[#This Row],[Primary]],INDIRECT(VLOOKUP(IDNMaps[[#This Row],[Type]],RecordCount[],2,0)),VLOOKUP(IDNMaps[[#This Row],[Type]],RecordCount[],8,0),0),"")</f>
        <v>2111128</v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1" s="6">
        <f ca="1">IF(IDNMaps[[#This Row],[Type]]="","",COUNTIF($K$1:IDNMaps[[#This Row],[Type]],IDNMaps[[#This Row],[Type]]))</f>
        <v>29</v>
      </c>
      <c r="M221" s="6" t="str">
        <f ca="1">IFERROR(VLOOKUP(IDNMaps[[#This Row],[Type]],RecordCount[],6,0)&amp;"-"&amp;IDNMaps[[#This Row],[Type Count]],"")</f>
        <v>Form Fields-29</v>
      </c>
      <c r="N221" s="6" t="str">
        <f ca="1">IFERROR(VLOOKUP(IDNMaps[[#This Row],[Primary]],INDIRECT(VLOOKUP(IDNMaps[[#This Row],[Type]],RecordCount[],2,0)),VLOOKUP(IDNMaps[[#This Row],[Type]],RecordCount[],7,0),0),"")</f>
        <v>ItemService/AddServicesToItemForm/name</v>
      </c>
      <c r="O221" s="6" t="str">
        <f ca="1">IF(IDNMaps[[#This Row],[Name]]="","","("&amp;IDNMaps[[#This Row],[Type]]&amp;") "&amp;IDNMaps[[#This Row],[Name]])</f>
        <v>(Fields) ItemService/AddServicesToItemForm/name</v>
      </c>
      <c r="P221" s="6">
        <f ca="1">IFERROR(VLOOKUP(IDNMaps[[#This Row],[Primary]],INDIRECT(VLOOKUP(IDNMaps[[#This Row],[Type]],RecordCount[],2,0)),VLOOKUP(IDNMaps[[#This Row],[Type]],RecordCount[],8,0),0),"")</f>
        <v>2111129</v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2" s="6">
        <f ca="1">IF(IDNMaps[[#This Row],[Type]]="","",COUNTIF($K$1:IDNMaps[[#This Row],[Type]],IDNMaps[[#This Row],[Type]]))</f>
        <v>30</v>
      </c>
      <c r="M222" s="6" t="str">
        <f ca="1">IFERROR(VLOOKUP(IDNMaps[[#This Row],[Type]],RecordCount[],6,0)&amp;"-"&amp;IDNMaps[[#This Row],[Type Count]],"")</f>
        <v>Form Fields-30</v>
      </c>
      <c r="N222" s="6" t="str">
        <f ca="1">IFERROR(VLOOKUP(IDNMaps[[#This Row],[Primary]],INDIRECT(VLOOKUP(IDNMaps[[#This Row],[Type]],RecordCount[],2,0)),VLOOKUP(IDNMaps[[#This Row],[Type]],RecordCount[],7,0),0),"")</f>
        <v>ItemService/UpdateItemsService/name</v>
      </c>
      <c r="O222" s="6" t="str">
        <f ca="1">IF(IDNMaps[[#This Row],[Name]]="","","("&amp;IDNMaps[[#This Row],[Type]]&amp;") "&amp;IDNMaps[[#This Row],[Name]])</f>
        <v>(Fields) ItemService/UpdateItemsService/name</v>
      </c>
      <c r="P222" s="6">
        <f ca="1">IFERROR(VLOOKUP(IDNMaps[[#This Row],[Primary]],INDIRECT(VLOOKUP(IDNMaps[[#This Row],[Type]],RecordCount[],2,0)),VLOOKUP(IDNMaps[[#This Row],[Type]],RecordCount[],8,0),0),"")</f>
        <v>2111130</v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3" s="6">
        <f ca="1">IF(IDNMaps[[#This Row],[Type]]="","",COUNTIF($K$1:IDNMaps[[#This Row],[Type]],IDNMaps[[#This Row],[Type]]))</f>
        <v>31</v>
      </c>
      <c r="M223" s="6" t="str">
        <f ca="1">IFERROR(VLOOKUP(IDNMaps[[#This Row],[Type]],RecordCount[],6,0)&amp;"-"&amp;IDNMaps[[#This Row],[Type Count]],"")</f>
        <v>Form Fields-31</v>
      </c>
      <c r="N223" s="6" t="str">
        <f ca="1">IFERROR(VLOOKUP(IDNMaps[[#This Row],[Primary]],INDIRECT(VLOOKUP(IDNMaps[[#This Row],[Type]],RecordCount[],2,0)),VLOOKUP(IDNMaps[[#This Row],[Type]],RecordCount[],7,0),0),"")</f>
        <v>ItemService/UpdateItemsService/service</v>
      </c>
      <c r="O223" s="6" t="str">
        <f ca="1">IF(IDNMaps[[#This Row],[Name]]="","","("&amp;IDNMaps[[#This Row],[Type]]&amp;") "&amp;IDNMaps[[#This Row],[Name]])</f>
        <v>(Fields) ItemService/UpdateItemsService/service</v>
      </c>
      <c r="P223" s="6">
        <f ca="1">IFERROR(VLOOKUP(IDNMaps[[#This Row],[Primary]],INDIRECT(VLOOKUP(IDNMaps[[#This Row],[Type]],RecordCount[],2,0)),VLOOKUP(IDNMaps[[#This Row],[Type]],RecordCount[],8,0),0),"")</f>
        <v>2111131</v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4" s="6">
        <f ca="1">IF(IDNMaps[[#This Row],[Type]]="","",COUNTIF($K$1:IDNMaps[[#This Row],[Type]],IDNMaps[[#This Row],[Type]]))</f>
        <v>32</v>
      </c>
      <c r="M224" s="6" t="str">
        <f ca="1">IFERROR(VLOOKUP(IDNMaps[[#This Row],[Type]],RecordCount[],6,0)&amp;"-"&amp;IDNMaps[[#This Row],[Type Count]],"")</f>
        <v>Form Fields-32</v>
      </c>
      <c r="N224" s="6" t="str">
        <f ca="1">IFERROR(VLOOKUP(IDNMaps[[#This Row],[Primary]],INDIRECT(VLOOKUP(IDNMaps[[#This Row],[Type]],RecordCount[],2,0)),VLOOKUP(IDNMaps[[#This Row],[Type]],RecordCount[],7,0),0),"")</f>
        <v>ItemService/UpdateItemsService/status</v>
      </c>
      <c r="O224" s="6" t="str">
        <f ca="1">IF(IDNMaps[[#This Row],[Name]]="","","("&amp;IDNMaps[[#This Row],[Type]]&amp;") "&amp;IDNMaps[[#This Row],[Name]])</f>
        <v>(Fields) ItemService/UpdateItemsService/status</v>
      </c>
      <c r="P224" s="6">
        <f ca="1">IFERROR(VLOOKUP(IDNMaps[[#This Row],[Primary]],INDIRECT(VLOOKUP(IDNMaps[[#This Row],[Type]],RecordCount[],2,0)),VLOOKUP(IDNMaps[[#This Row],[Type]],RecordCount[],8,0),0),"")</f>
        <v>2111132</v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5" s="6">
        <f ca="1">IF(IDNMaps[[#This Row],[Type]]="","",COUNTIF($K$1:IDNMaps[[#This Row],[Type]],IDNMaps[[#This Row],[Type]]))</f>
        <v>33</v>
      </c>
      <c r="M225" s="6" t="str">
        <f ca="1">IFERROR(VLOOKUP(IDNMaps[[#This Row],[Type]],RecordCount[],6,0)&amp;"-"&amp;IDNMaps[[#This Row],[Type Count]],"")</f>
        <v>Form Fields-33</v>
      </c>
      <c r="N225" s="6" t="str">
        <f ca="1">IFERROR(VLOOKUP(IDNMaps[[#This Row],[Primary]],INDIRECT(VLOOKUP(IDNMaps[[#This Row],[Type]],RecordCount[],2,0)),VLOOKUP(IDNMaps[[#This Row],[Type]],RecordCount[],7,0),0),"")</f>
        <v>Shelf/CreateNewShelfForm/hub</v>
      </c>
      <c r="O225" s="6" t="str">
        <f ca="1">IF(IDNMaps[[#This Row],[Name]]="","","("&amp;IDNMaps[[#This Row],[Type]]&amp;") "&amp;IDNMaps[[#This Row],[Name]])</f>
        <v>(Fields) Shelf/CreateNewShelfForm/hub</v>
      </c>
      <c r="P225" s="6">
        <f ca="1">IFERROR(VLOOKUP(IDNMaps[[#This Row],[Primary]],INDIRECT(VLOOKUP(IDNMaps[[#This Row],[Type]],RecordCount[],2,0)),VLOOKUP(IDNMaps[[#This Row],[Type]],RecordCount[],8,0),0),"")</f>
        <v>2111133</v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6" s="6">
        <f ca="1">IF(IDNMaps[[#This Row],[Type]]="","",COUNTIF($K$1:IDNMaps[[#This Row],[Type]],IDNMaps[[#This Row],[Type]]))</f>
        <v>34</v>
      </c>
      <c r="M226" s="6" t="str">
        <f ca="1">IFERROR(VLOOKUP(IDNMaps[[#This Row],[Type]],RecordCount[],6,0)&amp;"-"&amp;IDNMaps[[#This Row],[Type Count]],"")</f>
        <v>Form Fields-34</v>
      </c>
      <c r="N226" s="6" t="str">
        <f ca="1">IFERROR(VLOOKUP(IDNMaps[[#This Row],[Primary]],INDIRECT(VLOOKUP(IDNMaps[[#This Row],[Type]],RecordCount[],2,0)),VLOOKUP(IDNMaps[[#This Row],[Type]],RecordCount[],7,0),0),"")</f>
        <v>Shelf/CreateNewShelfForm/name</v>
      </c>
      <c r="O226" s="6" t="str">
        <f ca="1">IF(IDNMaps[[#This Row],[Name]]="","","("&amp;IDNMaps[[#This Row],[Type]]&amp;") "&amp;IDNMaps[[#This Row],[Name]])</f>
        <v>(Fields) Shelf/CreateNewShelfForm/name</v>
      </c>
      <c r="P226" s="6">
        <f ca="1">IFERROR(VLOOKUP(IDNMaps[[#This Row],[Primary]],INDIRECT(VLOOKUP(IDNMaps[[#This Row],[Type]],RecordCount[],2,0)),VLOOKUP(IDNMaps[[#This Row],[Type]],RecordCount[],8,0),0),"")</f>
        <v>2111134</v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7" s="6">
        <f ca="1">IF(IDNMaps[[#This Row],[Type]]="","",COUNTIF($K$1:IDNMaps[[#This Row],[Type]],IDNMaps[[#This Row],[Type]]))</f>
        <v>35</v>
      </c>
      <c r="M227" s="6" t="str">
        <f ca="1">IFERROR(VLOOKUP(IDNMaps[[#This Row],[Type]],RecordCount[],6,0)&amp;"-"&amp;IDNMaps[[#This Row],[Type Count]],"")</f>
        <v>Form Fields-35</v>
      </c>
      <c r="N227" s="6" t="str">
        <f ca="1">IFERROR(VLOOKUP(IDNMaps[[#This Row],[Primary]],INDIRECT(VLOOKUP(IDNMaps[[#This Row],[Type]],RecordCount[],2,0)),VLOOKUP(IDNMaps[[#This Row],[Type]],RecordCount[],7,0),0),"")</f>
        <v>Shelf/CreateNewShelfForm/status</v>
      </c>
      <c r="O227" s="6" t="str">
        <f ca="1">IF(IDNMaps[[#This Row],[Name]]="","","("&amp;IDNMaps[[#This Row],[Type]]&amp;") "&amp;IDNMaps[[#This Row],[Name]])</f>
        <v>(Fields) Shelf/CreateNewShelfForm/status</v>
      </c>
      <c r="P227" s="6">
        <f ca="1">IFERROR(VLOOKUP(IDNMaps[[#This Row],[Primary]],INDIRECT(VLOOKUP(IDNMaps[[#This Row],[Type]],RecordCount[],2,0)),VLOOKUP(IDNMaps[[#This Row],[Type]],RecordCount[],8,0),0),"")</f>
        <v>2111135</v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8" s="6">
        <f ca="1">IF(IDNMaps[[#This Row],[Type]]="","",COUNTIF($K$1:IDNMaps[[#This Row],[Type]],IDNMaps[[#This Row],[Type]]))</f>
        <v>36</v>
      </c>
      <c r="M228" s="6" t="str">
        <f ca="1">IFERROR(VLOOKUP(IDNMaps[[#This Row],[Type]],RecordCount[],6,0)&amp;"-"&amp;IDNMaps[[#This Row],[Type Count]],"")</f>
        <v>Form Fields-36</v>
      </c>
      <c r="N228" s="6" t="str">
        <f ca="1">IFERROR(VLOOKUP(IDNMaps[[#This Row],[Primary]],INDIRECT(VLOOKUP(IDNMaps[[#This Row],[Type]],RecordCount[],2,0)),VLOOKUP(IDNMaps[[#This Row],[Type]],RecordCount[],7,0),0),"")</f>
        <v>HubDefaultShelf/AssignHubsDefaultShelf/hub</v>
      </c>
      <c r="O228" s="6" t="str">
        <f ca="1">IF(IDNMaps[[#This Row],[Name]]="","","("&amp;IDNMaps[[#This Row],[Type]]&amp;") "&amp;IDNMaps[[#This Row],[Name]])</f>
        <v>(Fields) HubDefaultShelf/AssignHubsDefaultShelf/hub</v>
      </c>
      <c r="P228" s="6">
        <f ca="1">IFERROR(VLOOKUP(IDNMaps[[#This Row],[Primary]],INDIRECT(VLOOKUP(IDNMaps[[#This Row],[Type]],RecordCount[],2,0)),VLOOKUP(IDNMaps[[#This Row],[Type]],RecordCount[],8,0),0),"")</f>
        <v>2111136</v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9" s="6">
        <f ca="1">IF(IDNMaps[[#This Row],[Type]]="","",COUNTIF($K$1:IDNMaps[[#This Row],[Type]],IDNMaps[[#This Row],[Type]]))</f>
        <v>37</v>
      </c>
      <c r="M229" s="6" t="str">
        <f ca="1">IFERROR(VLOOKUP(IDNMaps[[#This Row],[Type]],RecordCount[],6,0)&amp;"-"&amp;IDNMaps[[#This Row],[Type Count]],"")</f>
        <v>Form Fields-37</v>
      </c>
      <c r="N229" s="6" t="str">
        <f ca="1">IFERROR(VLOOKUP(IDNMaps[[#This Row],[Primary]],INDIRECT(VLOOKUP(IDNMaps[[#This Row],[Type]],RecordCount[],2,0)),VLOOKUP(IDNMaps[[#This Row],[Type]],RecordCount[],7,0),0),"")</f>
        <v>HubDefaultShelf/AssignHubsDefaultShelf/shelf</v>
      </c>
      <c r="O229" s="6" t="str">
        <f ca="1">IF(IDNMaps[[#This Row],[Name]]="","","("&amp;IDNMaps[[#This Row],[Type]]&amp;") "&amp;IDNMaps[[#This Row],[Name]])</f>
        <v>(Fields) HubDefaultShelf/AssignHubsDefaultShelf/shelf</v>
      </c>
      <c r="P229" s="6">
        <f ca="1">IFERROR(VLOOKUP(IDNMaps[[#This Row],[Primary]],INDIRECT(VLOOKUP(IDNMaps[[#This Row],[Type]],RecordCount[],2,0)),VLOOKUP(IDNMaps[[#This Row],[Type]],RecordCount[],8,0),0),"")</f>
        <v>2111137</v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0" s="6">
        <f ca="1">IF(IDNMaps[[#This Row],[Type]]="","",COUNTIF($K$1:IDNMaps[[#This Row],[Type]],IDNMaps[[#This Row],[Type]]))</f>
        <v>38</v>
      </c>
      <c r="M230" s="6" t="str">
        <f ca="1">IFERROR(VLOOKUP(IDNMaps[[#This Row],[Type]],RecordCount[],6,0)&amp;"-"&amp;IDNMaps[[#This Row],[Type Count]],"")</f>
        <v>Form Fields-38</v>
      </c>
      <c r="N230" s="6" t="str">
        <f ca="1">IFERROR(VLOOKUP(IDNMaps[[#This Row],[Primary]],INDIRECT(VLOOKUP(IDNMaps[[#This Row],[Type]],RecordCount[],2,0)),VLOOKUP(IDNMaps[[#This Row],[Type]],RecordCount[],7,0),0),"")</f>
        <v>Pricelist/CreateNewPLForm/name</v>
      </c>
      <c r="O230" s="6" t="str">
        <f ca="1">IF(IDNMaps[[#This Row],[Name]]="","","("&amp;IDNMaps[[#This Row],[Type]]&amp;") "&amp;IDNMaps[[#This Row],[Name]])</f>
        <v>(Fields) Pricelist/CreateNewPLForm/name</v>
      </c>
      <c r="P230" s="6">
        <f ca="1">IFERROR(VLOOKUP(IDNMaps[[#This Row],[Primary]],INDIRECT(VLOOKUP(IDNMaps[[#This Row],[Type]],RecordCount[],2,0)),VLOOKUP(IDNMaps[[#This Row],[Type]],RecordCount[],8,0),0),"")</f>
        <v>2111138</v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1" s="6">
        <f ca="1">IF(IDNMaps[[#This Row],[Type]]="","",COUNTIF($K$1:IDNMaps[[#This Row],[Type]],IDNMaps[[#This Row],[Type]]))</f>
        <v>39</v>
      </c>
      <c r="M231" s="6" t="str">
        <f ca="1">IFERROR(VLOOKUP(IDNMaps[[#This Row],[Type]],RecordCount[],6,0)&amp;"-"&amp;IDNMaps[[#This Row],[Type Count]],"")</f>
        <v>Form Fields-39</v>
      </c>
      <c r="N231" s="6" t="str">
        <f ca="1">IFERROR(VLOOKUP(IDNMaps[[#This Row],[Primary]],INDIRECT(VLOOKUP(IDNMaps[[#This Row],[Type]],RecordCount[],2,0)),VLOOKUP(IDNMaps[[#This Row],[Type]],RecordCount[],7,0),0),"")</f>
        <v>Pricelist/CreateNewPLForm/description</v>
      </c>
      <c r="O231" s="6" t="str">
        <f ca="1">IF(IDNMaps[[#This Row],[Name]]="","","("&amp;IDNMaps[[#This Row],[Type]]&amp;") "&amp;IDNMaps[[#This Row],[Name]])</f>
        <v>(Fields) Pricelist/CreateNewPLForm/description</v>
      </c>
      <c r="P231" s="6">
        <f ca="1">IFERROR(VLOOKUP(IDNMaps[[#This Row],[Primary]],INDIRECT(VLOOKUP(IDNMaps[[#This Row],[Type]],RecordCount[],2,0)),VLOOKUP(IDNMaps[[#This Row],[Type]],RecordCount[],8,0),0),"")</f>
        <v>2111139</v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2" s="6">
        <f ca="1">IF(IDNMaps[[#This Row],[Type]]="","",COUNTIF($K$1:IDNMaps[[#This Row],[Type]],IDNMaps[[#This Row],[Type]]))</f>
        <v>40</v>
      </c>
      <c r="M232" s="6" t="str">
        <f ca="1">IFERROR(VLOOKUP(IDNMaps[[#This Row],[Type]],RecordCount[],6,0)&amp;"-"&amp;IDNMaps[[#This Row],[Type Count]],"")</f>
        <v>Form Fields-40</v>
      </c>
      <c r="N232" s="6" t="str">
        <f ca="1">IFERROR(VLOOKUP(IDNMaps[[#This Row],[Primary]],INDIRECT(VLOOKUP(IDNMaps[[#This Row],[Type]],RecordCount[],2,0)),VLOOKUP(IDNMaps[[#This Row],[Type]],RecordCount[],7,0),0),"")</f>
        <v>Pricelist/CreateNewPLForm/status</v>
      </c>
      <c r="O232" s="6" t="str">
        <f ca="1">IF(IDNMaps[[#This Row],[Name]]="","","("&amp;IDNMaps[[#This Row],[Type]]&amp;") "&amp;IDNMaps[[#This Row],[Name]])</f>
        <v>(Fields) Pricelist/CreateNewPLForm/status</v>
      </c>
      <c r="P232" s="6">
        <f ca="1">IFERROR(VLOOKUP(IDNMaps[[#This Row],[Primary]],INDIRECT(VLOOKUP(IDNMaps[[#This Row],[Type]],RecordCount[],2,0)),VLOOKUP(IDNMaps[[#This Row],[Type]],RecordCount[],8,0),0),"")</f>
        <v>2111140</v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3" s="6">
        <f ca="1">IF(IDNMaps[[#This Row],[Type]]="","",COUNTIF($K$1:IDNMaps[[#This Row],[Type]],IDNMaps[[#This Row],[Type]]))</f>
        <v>41</v>
      </c>
      <c r="M233" s="6" t="str">
        <f ca="1">IFERROR(VLOOKUP(IDNMaps[[#This Row],[Type]],RecordCount[],6,0)&amp;"-"&amp;IDNMaps[[#This Row],[Type Count]],"")</f>
        <v>Form Fields-41</v>
      </c>
      <c r="N233" s="6" t="str">
        <f ca="1">IFERROR(VLOOKUP(IDNMaps[[#This Row],[Primary]],INDIRECT(VLOOKUP(IDNMaps[[#This Row],[Type]],RecordCount[],2,0)),VLOOKUP(IDNMaps[[#This Row],[Type]],RecordCount[],7,0),0),"")</f>
        <v>PricelistContent/AddContentsToPL/pl</v>
      </c>
      <c r="O233" s="6" t="str">
        <f ca="1">IF(IDNMaps[[#This Row],[Name]]="","","("&amp;IDNMaps[[#This Row],[Type]]&amp;") "&amp;IDNMaps[[#This Row],[Name]])</f>
        <v>(Fields) PricelistContent/AddContentsToPL/pl</v>
      </c>
      <c r="P233" s="6">
        <f ca="1">IFERROR(VLOOKUP(IDNMaps[[#This Row],[Primary]],INDIRECT(VLOOKUP(IDNMaps[[#This Row],[Type]],RecordCount[],2,0)),VLOOKUP(IDNMaps[[#This Row],[Type]],RecordCount[],8,0),0),"")</f>
        <v>2111141</v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4" s="6">
        <f ca="1">IF(IDNMaps[[#This Row],[Type]]="","",COUNTIF($K$1:IDNMaps[[#This Row],[Type]],IDNMaps[[#This Row],[Type]]))</f>
        <v>42</v>
      </c>
      <c r="M234" s="6" t="str">
        <f ca="1">IFERROR(VLOOKUP(IDNMaps[[#This Row],[Type]],RecordCount[],6,0)&amp;"-"&amp;IDNMaps[[#This Row],[Type Count]],"")</f>
        <v>Form Fields-42</v>
      </c>
      <c r="N234" s="6" t="str">
        <f ca="1">IFERROR(VLOOKUP(IDNMaps[[#This Row],[Primary]],INDIRECT(VLOOKUP(IDNMaps[[#This Row],[Type]],RecordCount[],2,0)),VLOOKUP(IDNMaps[[#This Row],[Type]],RecordCount[],7,0),0),"")</f>
        <v>PricelistContent/AddContentsToPL/is</v>
      </c>
      <c r="O234" s="6" t="str">
        <f ca="1">IF(IDNMaps[[#This Row],[Name]]="","","("&amp;IDNMaps[[#This Row],[Type]]&amp;") "&amp;IDNMaps[[#This Row],[Name]])</f>
        <v>(Fields) PricelistContent/AddContentsToPL/is</v>
      </c>
      <c r="P234" s="6">
        <f ca="1">IFERROR(VLOOKUP(IDNMaps[[#This Row],[Primary]],INDIRECT(VLOOKUP(IDNMaps[[#This Row],[Type]],RecordCount[],2,0)),VLOOKUP(IDNMaps[[#This Row],[Type]],RecordCount[],8,0),0),"")</f>
        <v>2111142</v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5" s="6">
        <f ca="1">IF(IDNMaps[[#This Row],[Type]]="","",COUNTIF($K$1:IDNMaps[[#This Row],[Type]],IDNMaps[[#This Row],[Type]]))</f>
        <v>43</v>
      </c>
      <c r="M235" s="6" t="str">
        <f ca="1">IFERROR(VLOOKUP(IDNMaps[[#This Row],[Type]],RecordCount[],6,0)&amp;"-"&amp;IDNMaps[[#This Row],[Type Count]],"")</f>
        <v>Form Fields-43</v>
      </c>
      <c r="N235" s="6" t="str">
        <f ca="1">IFERROR(VLOOKUP(IDNMaps[[#This Row],[Primary]],INDIRECT(VLOOKUP(IDNMaps[[#This Row],[Type]],RecordCount[],2,0)),VLOOKUP(IDNMaps[[#This Row],[Type]],RecordCount[],7,0),0),"")</f>
        <v>PricelistContent/AddContentsToPL/price</v>
      </c>
      <c r="O235" s="6" t="str">
        <f ca="1">IF(IDNMaps[[#This Row],[Name]]="","","("&amp;IDNMaps[[#This Row],[Type]]&amp;") "&amp;IDNMaps[[#This Row],[Name]])</f>
        <v>(Fields) PricelistContent/AddContentsToPL/price</v>
      </c>
      <c r="P235" s="6">
        <f ca="1">IFERROR(VLOOKUP(IDNMaps[[#This Row],[Primary]],INDIRECT(VLOOKUP(IDNMaps[[#This Row],[Type]],RecordCount[],2,0)),VLOOKUP(IDNMaps[[#This Row],[Type]],RecordCount[],8,0),0),"")</f>
        <v>2111143</v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6" s="6">
        <f ca="1">IF(IDNMaps[[#This Row],[Type]]="","",COUNTIF($K$1:IDNMaps[[#This Row],[Type]],IDNMaps[[#This Row],[Type]]))</f>
        <v>44</v>
      </c>
      <c r="M236" s="6" t="str">
        <f ca="1">IFERROR(VLOOKUP(IDNMaps[[#This Row],[Type]],RecordCount[],6,0)&amp;"-"&amp;IDNMaps[[#This Row],[Type Count]],"")</f>
        <v>Form Fields-44</v>
      </c>
      <c r="N236" s="6" t="str">
        <f ca="1">IFERROR(VLOOKUP(IDNMaps[[#This Row],[Primary]],INDIRECT(VLOOKUP(IDNMaps[[#This Row],[Type]],RecordCount[],2,0)),VLOOKUP(IDNMaps[[#This Row],[Type]],RecordCount[],7,0),0),"")</f>
        <v>PricelistContent/UpdatePLContent/price</v>
      </c>
      <c r="O236" s="6" t="str">
        <f ca="1">IF(IDNMaps[[#This Row],[Name]]="","","("&amp;IDNMaps[[#This Row],[Type]]&amp;") "&amp;IDNMaps[[#This Row],[Name]])</f>
        <v>(Fields) PricelistContent/UpdatePLContent/price</v>
      </c>
      <c r="P236" s="6">
        <f ca="1">IFERROR(VLOOKUP(IDNMaps[[#This Row],[Primary]],INDIRECT(VLOOKUP(IDNMaps[[#This Row],[Type]],RecordCount[],2,0)),VLOOKUP(IDNMaps[[#This Row],[Type]],RecordCount[],8,0),0),"")</f>
        <v>2111144</v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7" s="6">
        <f ca="1">IF(IDNMaps[[#This Row],[Type]]="","",COUNTIF($K$1:IDNMaps[[#This Row],[Type]],IDNMaps[[#This Row],[Type]]))</f>
        <v>45</v>
      </c>
      <c r="M237" s="6" t="str">
        <f ca="1">IFERROR(VLOOKUP(IDNMaps[[#This Row],[Type]],RecordCount[],6,0)&amp;"-"&amp;IDNMaps[[#This Row],[Type Count]],"")</f>
        <v>Form Fields-45</v>
      </c>
      <c r="N237" s="6" t="str">
        <f ca="1">IFERROR(VLOOKUP(IDNMaps[[#This Row],[Primary]],INDIRECT(VLOOKUP(IDNMaps[[#This Row],[Type]],RecordCount[],2,0)),VLOOKUP(IDNMaps[[#This Row],[Type]],RecordCount[],7,0),0),"")</f>
        <v>PricelistContent/UpdatePLContent/status</v>
      </c>
      <c r="O237" s="6" t="str">
        <f ca="1">IF(IDNMaps[[#This Row],[Name]]="","","("&amp;IDNMaps[[#This Row],[Type]]&amp;") "&amp;IDNMaps[[#This Row],[Name]])</f>
        <v>(Fields) PricelistContent/UpdatePLContent/status</v>
      </c>
      <c r="P237" s="6">
        <f ca="1">IFERROR(VLOOKUP(IDNMaps[[#This Row],[Primary]],INDIRECT(VLOOKUP(IDNMaps[[#This Row],[Type]],RecordCount[],2,0)),VLOOKUP(IDNMaps[[#This Row],[Type]],RecordCount[],8,0),0),"")</f>
        <v>2111145</v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8" s="6">
        <f ca="1">IF(IDNMaps[[#This Row],[Type]]="","",COUNTIF($K$1:IDNMaps[[#This Row],[Type]],IDNMaps[[#This Row],[Type]]))</f>
        <v>46</v>
      </c>
      <c r="M238" s="6" t="str">
        <f ca="1">IFERROR(VLOOKUP(IDNMaps[[#This Row],[Type]],RecordCount[],6,0)&amp;"-"&amp;IDNMaps[[#This Row],[Type Count]],"")</f>
        <v>Form Fields-46</v>
      </c>
      <c r="N238" s="6" t="str">
        <f ca="1">IFERROR(VLOOKUP(IDNMaps[[#This Row],[Primary]],INDIRECT(VLOOKUP(IDNMaps[[#This Row],[Type]],RecordCount[],2,0)),VLOOKUP(IDNMaps[[#This Row],[Type]],RecordCount[],7,0),0),"")</f>
        <v>IdentityLabel/NewIdentityLabelForm/hub</v>
      </c>
      <c r="O238" s="6" t="str">
        <f ca="1">IF(IDNMaps[[#This Row],[Name]]="","","("&amp;IDNMaps[[#This Row],[Type]]&amp;") "&amp;IDNMaps[[#This Row],[Name]])</f>
        <v>(Fields) IdentityLabel/NewIdentityLabelForm/hub</v>
      </c>
      <c r="P238" s="6">
        <f ca="1">IFERROR(VLOOKUP(IDNMaps[[#This Row],[Primary]],INDIRECT(VLOOKUP(IDNMaps[[#This Row],[Type]],RecordCount[],2,0)),VLOOKUP(IDNMaps[[#This Row],[Type]],RecordCount[],8,0),0),"")</f>
        <v>2111146</v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9" s="6">
        <f ca="1">IF(IDNMaps[[#This Row],[Type]]="","",COUNTIF($K$1:IDNMaps[[#This Row],[Type]],IDNMaps[[#This Row],[Type]]))</f>
        <v>47</v>
      </c>
      <c r="M239" s="6" t="str">
        <f ca="1">IFERROR(VLOOKUP(IDNMaps[[#This Row],[Type]],RecordCount[],6,0)&amp;"-"&amp;IDNMaps[[#This Row],[Type Count]],"")</f>
        <v>Form Fields-47</v>
      </c>
      <c r="N239" s="6" t="str">
        <f ca="1">IFERROR(VLOOKUP(IDNMaps[[#This Row],[Primary]],INDIRECT(VLOOKUP(IDNMaps[[#This Row],[Type]],RecordCount[],2,0)),VLOOKUP(IDNMaps[[#This Row],[Type]],RecordCount[],7,0),0),"")</f>
        <v>IdentityLabel/NewIdentityLabelForm/code</v>
      </c>
      <c r="O239" s="6" t="str">
        <f ca="1">IF(IDNMaps[[#This Row],[Name]]="","","("&amp;IDNMaps[[#This Row],[Type]]&amp;") "&amp;IDNMaps[[#This Row],[Name]])</f>
        <v>(Fields) IdentityLabel/NewIdentityLabelForm/code</v>
      </c>
      <c r="P239" s="6">
        <f ca="1">IFERROR(VLOOKUP(IDNMaps[[#This Row],[Primary]],INDIRECT(VLOOKUP(IDNMaps[[#This Row],[Type]],RecordCount[],2,0)),VLOOKUP(IDNMaps[[#This Row],[Type]],RecordCount[],8,0),0),"")</f>
        <v>2111147</v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0" s="6">
        <f ca="1">IF(IDNMaps[[#This Row],[Type]]="","",COUNTIF($K$1:IDNMaps[[#This Row],[Type]],IDNMaps[[#This Row],[Type]]))</f>
        <v>48</v>
      </c>
      <c r="M240" s="6" t="str">
        <f ca="1">IFERROR(VLOOKUP(IDNMaps[[#This Row],[Type]],RecordCount[],6,0)&amp;"-"&amp;IDNMaps[[#This Row],[Type Count]],"")</f>
        <v>Form Fields-48</v>
      </c>
      <c r="N240" s="6" t="str">
        <f ca="1">IFERROR(VLOOKUP(IDNMaps[[#This Row],[Primary]],INDIRECT(VLOOKUP(IDNMaps[[#This Row],[Type]],RecordCount[],2,0)),VLOOKUP(IDNMaps[[#This Row],[Type]],RecordCount[],7,0),0),"")</f>
        <v>IdentityLabel/NewIdentityLabelForm/status</v>
      </c>
      <c r="O240" s="6" t="str">
        <f ca="1">IF(IDNMaps[[#This Row],[Name]]="","","("&amp;IDNMaps[[#This Row],[Type]]&amp;") "&amp;IDNMaps[[#This Row],[Name]])</f>
        <v>(Fields) IdentityLabel/NewIdentityLabelForm/status</v>
      </c>
      <c r="P240" s="6">
        <f ca="1">IFERROR(VLOOKUP(IDNMaps[[#This Row],[Primary]],INDIRECT(VLOOKUP(IDNMaps[[#This Row],[Type]],RecordCount[],2,0)),VLOOKUP(IDNMaps[[#This Row],[Type]],RecordCount[],8,0),0),"")</f>
        <v>2111148</v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1" s="6">
        <f ca="1">IF(IDNMaps[[#This Row],[Type]]="","",COUNTIF($K$1:IDNMaps[[#This Row],[Type]],IDNMaps[[#This Row],[Type]]))</f>
        <v>49</v>
      </c>
      <c r="M241" s="6" t="str">
        <f ca="1">IFERROR(VLOOKUP(IDNMaps[[#This Row],[Type]],RecordCount[],6,0)&amp;"-"&amp;IDNMaps[[#This Row],[Type Count]],"")</f>
        <v>Form Fields-49</v>
      </c>
      <c r="N241" s="6" t="str">
        <f ca="1">IFERROR(VLOOKUP(IDNMaps[[#This Row],[Primary]],INDIRECT(VLOOKUP(IDNMaps[[#This Row],[Type]],RecordCount[],2,0)),VLOOKUP(IDNMaps[[#This Row],[Type]],RecordCount[],7,0),0),"")</f>
        <v>Order/NewOrderForm/customer</v>
      </c>
      <c r="O241" s="6" t="str">
        <f ca="1">IF(IDNMaps[[#This Row],[Name]]="","","("&amp;IDNMaps[[#This Row],[Type]]&amp;") "&amp;IDNMaps[[#This Row],[Name]])</f>
        <v>(Fields) Order/NewOrderForm/customer</v>
      </c>
      <c r="P241" s="6">
        <f ca="1">IFERROR(VLOOKUP(IDNMaps[[#This Row],[Primary]],INDIRECT(VLOOKUP(IDNMaps[[#This Row],[Type]],RecordCount[],2,0)),VLOOKUP(IDNMaps[[#This Row],[Type]],RecordCount[],8,0),0),"")</f>
        <v>2111149</v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2" s="6">
        <f ca="1">IF(IDNMaps[[#This Row],[Type]]="","",COUNTIF($K$1:IDNMaps[[#This Row],[Type]],IDNMaps[[#This Row],[Type]]))</f>
        <v>50</v>
      </c>
      <c r="M242" s="6" t="str">
        <f ca="1">IFERROR(VLOOKUP(IDNMaps[[#This Row],[Type]],RecordCount[],6,0)&amp;"-"&amp;IDNMaps[[#This Row],[Type Count]],"")</f>
        <v>Form Fields-50</v>
      </c>
      <c r="N242" s="6" t="str">
        <f ca="1">IFERROR(VLOOKUP(IDNMaps[[#This Row],[Primary]],INDIRECT(VLOOKUP(IDNMaps[[#This Row],[Type]],RecordCount[],2,0)),VLOOKUP(IDNMaps[[#This Row],[Type]],RecordCount[],7,0),0),"")</f>
        <v>Order/NewOrderForm/date</v>
      </c>
      <c r="O242" s="6" t="str">
        <f ca="1">IF(IDNMaps[[#This Row],[Name]]="","","("&amp;IDNMaps[[#This Row],[Type]]&amp;") "&amp;IDNMaps[[#This Row],[Name]])</f>
        <v>(Fields) Order/NewOrderForm/date</v>
      </c>
      <c r="P242" s="6">
        <f ca="1">IFERROR(VLOOKUP(IDNMaps[[#This Row],[Primary]],INDIRECT(VLOOKUP(IDNMaps[[#This Row],[Type]],RecordCount[],2,0)),VLOOKUP(IDNMaps[[#This Row],[Type]],RecordCount[],8,0),0),"")</f>
        <v>2111150</v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3" s="6">
        <f ca="1">IF(IDNMaps[[#This Row],[Type]]="","",COUNTIF($K$1:IDNMaps[[#This Row],[Type]],IDNMaps[[#This Row],[Type]]))</f>
        <v>51</v>
      </c>
      <c r="M243" s="6" t="str">
        <f ca="1">IFERROR(VLOOKUP(IDNMaps[[#This Row],[Type]],RecordCount[],6,0)&amp;"-"&amp;IDNMaps[[#This Row],[Type Count]],"")</f>
        <v>Form Fields-51</v>
      </c>
      <c r="N243" s="6" t="str">
        <f ca="1">IFERROR(VLOOKUP(IDNMaps[[#This Row],[Primary]],INDIRECT(VLOOKUP(IDNMaps[[#This Row],[Type]],RecordCount[],2,0)),VLOOKUP(IDNMaps[[#This Row],[Type]],RecordCount[],7,0),0),"")</f>
        <v>Order/NewOrderForm/pl</v>
      </c>
      <c r="O243" s="6" t="str">
        <f ca="1">IF(IDNMaps[[#This Row],[Name]]="","","("&amp;IDNMaps[[#This Row],[Type]]&amp;") "&amp;IDNMaps[[#This Row],[Name]])</f>
        <v>(Fields) Order/NewOrderForm/pl</v>
      </c>
      <c r="P243" s="6">
        <f ca="1">IFERROR(VLOOKUP(IDNMaps[[#This Row],[Primary]],INDIRECT(VLOOKUP(IDNMaps[[#This Row],[Type]],RecordCount[],2,0)),VLOOKUP(IDNMaps[[#This Row],[Type]],RecordCount[],8,0),0),"")</f>
        <v>2111151</v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4" s="6">
        <f ca="1">IF(IDNMaps[[#This Row],[Type]]="","",COUNTIF($K$1:IDNMaps[[#This Row],[Type]],IDNMaps[[#This Row],[Type]]))</f>
        <v>52</v>
      </c>
      <c r="M244" s="6" t="str">
        <f ca="1">IFERROR(VLOOKUP(IDNMaps[[#This Row],[Type]],RecordCount[],6,0)&amp;"-"&amp;IDNMaps[[#This Row],[Type Count]],"")</f>
        <v>Form Fields-52</v>
      </c>
      <c r="N244" s="6" t="str">
        <f ca="1">IFERROR(VLOOKUP(IDNMaps[[#This Row],[Primary]],INDIRECT(VLOOKUP(IDNMaps[[#This Row],[Type]],RecordCount[],2,0)),VLOOKUP(IDNMaps[[#This Row],[Type]],RecordCount[],7,0),0),"")</f>
        <v>OrderItem/AddOrderItemForm/order</v>
      </c>
      <c r="O244" s="6" t="str">
        <f ca="1">IF(IDNMaps[[#This Row],[Name]]="","","("&amp;IDNMaps[[#This Row],[Type]]&amp;") "&amp;IDNMaps[[#This Row],[Name]])</f>
        <v>(Fields) OrderItem/AddOrderItemForm/order</v>
      </c>
      <c r="P244" s="6">
        <f ca="1">IFERROR(VLOOKUP(IDNMaps[[#This Row],[Primary]],INDIRECT(VLOOKUP(IDNMaps[[#This Row],[Type]],RecordCount[],2,0)),VLOOKUP(IDNMaps[[#This Row],[Type]],RecordCount[],8,0),0),"")</f>
        <v>2111152</v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5" s="6">
        <f ca="1">IF(IDNMaps[[#This Row],[Type]]="","",COUNTIF($K$1:IDNMaps[[#This Row],[Type]],IDNMaps[[#This Row],[Type]]))</f>
        <v>53</v>
      </c>
      <c r="M245" s="6" t="str">
        <f ca="1">IFERROR(VLOOKUP(IDNMaps[[#This Row],[Type]],RecordCount[],6,0)&amp;"-"&amp;IDNMaps[[#This Row],[Type Count]],"")</f>
        <v>Form Fields-53</v>
      </c>
      <c r="N245" s="6" t="str">
        <f ca="1">IFERROR(VLOOKUP(IDNMaps[[#This Row],[Primary]],INDIRECT(VLOOKUP(IDNMaps[[#This Row],[Type]],RecordCount[],2,0)),VLOOKUP(IDNMaps[[#This Row],[Type]],RecordCount[],7,0),0),"")</f>
        <v>OrderItem/AddOrderItemForm/item</v>
      </c>
      <c r="O245" s="6" t="str">
        <f ca="1">IF(IDNMaps[[#This Row],[Name]]="","","("&amp;IDNMaps[[#This Row],[Type]]&amp;") "&amp;IDNMaps[[#This Row],[Name]])</f>
        <v>(Fields) OrderItem/AddOrderItemForm/item</v>
      </c>
      <c r="P245" s="6">
        <f ca="1">IFERROR(VLOOKUP(IDNMaps[[#This Row],[Primary]],INDIRECT(VLOOKUP(IDNMaps[[#This Row],[Type]],RecordCount[],2,0)),VLOOKUP(IDNMaps[[#This Row],[Type]],RecordCount[],8,0),0),"")</f>
        <v>2111153</v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6" s="6">
        <f ca="1">IF(IDNMaps[[#This Row],[Type]]="","",COUNTIF($K$1:IDNMaps[[#This Row],[Type]],IDNMaps[[#This Row],[Type]]))</f>
        <v>54</v>
      </c>
      <c r="M246" s="6" t="str">
        <f ca="1">IFERROR(VLOOKUP(IDNMaps[[#This Row],[Type]],RecordCount[],6,0)&amp;"-"&amp;IDNMaps[[#This Row],[Type Count]],"")</f>
        <v>Form Fields-54</v>
      </c>
      <c r="N246" s="6" t="str">
        <f ca="1">IFERROR(VLOOKUP(IDNMaps[[#This Row],[Primary]],INDIRECT(VLOOKUP(IDNMaps[[#This Row],[Type]],RecordCount[],2,0)),VLOOKUP(IDNMaps[[#This Row],[Type]],RecordCount[],7,0),0),"")</f>
        <v>OrderItem/AddOrderItemForm/service</v>
      </c>
      <c r="O246" s="6" t="str">
        <f ca="1">IF(IDNMaps[[#This Row],[Name]]="","","("&amp;IDNMaps[[#This Row],[Type]]&amp;") "&amp;IDNMaps[[#This Row],[Name]])</f>
        <v>(Fields) OrderItem/AddOrderItemForm/service</v>
      </c>
      <c r="P246" s="6">
        <f ca="1">IFERROR(VLOOKUP(IDNMaps[[#This Row],[Primary]],INDIRECT(VLOOKUP(IDNMaps[[#This Row],[Type]],RecordCount[],2,0)),VLOOKUP(IDNMaps[[#This Row],[Type]],RecordCount[],8,0),0),"")</f>
        <v>2111154</v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7" s="6">
        <f ca="1">IF(IDNMaps[[#This Row],[Type]]="","",COUNTIF($K$1:IDNMaps[[#This Row],[Type]],IDNMaps[[#This Row],[Type]]))</f>
        <v>55</v>
      </c>
      <c r="M247" s="6" t="str">
        <f ca="1">IFERROR(VLOOKUP(IDNMaps[[#This Row],[Type]],RecordCount[],6,0)&amp;"-"&amp;IDNMaps[[#This Row],[Type Count]],"")</f>
        <v>Form Fields-55</v>
      </c>
      <c r="N247" s="6" t="str">
        <f ca="1">IFERROR(VLOOKUP(IDNMaps[[#This Row],[Primary]],INDIRECT(VLOOKUP(IDNMaps[[#This Row],[Type]],RecordCount[],2,0)),VLOOKUP(IDNMaps[[#This Row],[Type]],RecordCount[],7,0),0),"")</f>
        <v>OrderItem/AddOrderItemForm/label</v>
      </c>
      <c r="O247" s="6" t="str">
        <f ca="1">IF(IDNMaps[[#This Row],[Name]]="","","("&amp;IDNMaps[[#This Row],[Type]]&amp;") "&amp;IDNMaps[[#This Row],[Name]])</f>
        <v>(Fields) OrderItem/AddOrderItemForm/label</v>
      </c>
      <c r="P247" s="6">
        <f ca="1">IFERROR(VLOOKUP(IDNMaps[[#This Row],[Primary]],INDIRECT(VLOOKUP(IDNMaps[[#This Row],[Type]],RecordCount[],2,0)),VLOOKUP(IDNMaps[[#This Row],[Type]],RecordCount[],8,0),0),"")</f>
        <v>2111155</v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8" s="6">
        <f ca="1">IF(IDNMaps[[#This Row],[Type]]="","",COUNTIF($K$1:IDNMaps[[#This Row],[Type]],IDNMaps[[#This Row],[Type]]))</f>
        <v>56</v>
      </c>
      <c r="M248" s="6" t="str">
        <f ca="1">IFERROR(VLOOKUP(IDNMaps[[#This Row],[Type]],RecordCount[],6,0)&amp;"-"&amp;IDNMaps[[#This Row],[Type Count]],"")</f>
        <v>Form Fields-56</v>
      </c>
      <c r="N248" s="6" t="str">
        <f ca="1">IFERROR(VLOOKUP(IDNMaps[[#This Row],[Primary]],INDIRECT(VLOOKUP(IDNMaps[[#This Row],[Type]],RecordCount[],2,0)),VLOOKUP(IDNMaps[[#This Row],[Type]],RecordCount[],7,0),0),"")</f>
        <v>OrderItem/UpdateOrderItem/hub</v>
      </c>
      <c r="O248" s="6" t="str">
        <f ca="1">IF(IDNMaps[[#This Row],[Name]]="","","("&amp;IDNMaps[[#This Row],[Type]]&amp;") "&amp;IDNMaps[[#This Row],[Name]])</f>
        <v>(Fields) OrderItem/UpdateOrderItem/hub</v>
      </c>
      <c r="P248" s="6">
        <f ca="1">IFERROR(VLOOKUP(IDNMaps[[#This Row],[Primary]],INDIRECT(VLOOKUP(IDNMaps[[#This Row],[Type]],RecordCount[],2,0)),VLOOKUP(IDNMaps[[#This Row],[Type]],RecordCount[],8,0),0),"")</f>
        <v>2111156</v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9" s="6">
        <f ca="1">IF(IDNMaps[[#This Row],[Type]]="","",COUNTIF($K$1:IDNMaps[[#This Row],[Type]],IDNMaps[[#This Row],[Type]]))</f>
        <v>57</v>
      </c>
      <c r="M249" s="6" t="str">
        <f ca="1">IFERROR(VLOOKUP(IDNMaps[[#This Row],[Type]],RecordCount[],6,0)&amp;"-"&amp;IDNMaps[[#This Row],[Type Count]],"")</f>
        <v>Form Fields-57</v>
      </c>
      <c r="N249" s="6" t="str">
        <f ca="1">IFERROR(VLOOKUP(IDNMaps[[#This Row],[Primary]],INDIRECT(VLOOKUP(IDNMaps[[#This Row],[Type]],RecordCount[],2,0)),VLOOKUP(IDNMaps[[#This Row],[Type]],RecordCount[],7,0),0),"")</f>
        <v>OrderItem/UpdateOrderItem/label</v>
      </c>
      <c r="O249" s="6" t="str">
        <f ca="1">IF(IDNMaps[[#This Row],[Name]]="","","("&amp;IDNMaps[[#This Row],[Type]]&amp;") "&amp;IDNMaps[[#This Row],[Name]])</f>
        <v>(Fields) OrderItem/UpdateOrderItem/label</v>
      </c>
      <c r="P249" s="6">
        <f ca="1">IFERROR(VLOOKUP(IDNMaps[[#This Row],[Primary]],INDIRECT(VLOOKUP(IDNMaps[[#This Row],[Type]],RecordCount[],2,0)),VLOOKUP(IDNMaps[[#This Row],[Type]],RecordCount[],8,0),0),"")</f>
        <v>2111157</v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0" s="6">
        <f ca="1">IF(IDNMaps[[#This Row],[Type]]="","",COUNTIF($K$1:IDNMaps[[#This Row],[Type]],IDNMaps[[#This Row],[Type]]))</f>
        <v>58</v>
      </c>
      <c r="M250" s="6" t="str">
        <f ca="1">IFERROR(VLOOKUP(IDNMaps[[#This Row],[Type]],RecordCount[],6,0)&amp;"-"&amp;IDNMaps[[#This Row],[Type Count]],"")</f>
        <v>Form Fields-58</v>
      </c>
      <c r="N250" s="6" t="str">
        <f ca="1">IFERROR(VLOOKUP(IDNMaps[[#This Row],[Primary]],INDIRECT(VLOOKUP(IDNMaps[[#This Row],[Type]],RecordCount[],2,0)),VLOOKUP(IDNMaps[[#This Row],[Type]],RecordCount[],7,0),0),"")</f>
        <v>OrderItem/UpdateOrderItem/shelf</v>
      </c>
      <c r="O250" s="6" t="str">
        <f ca="1">IF(IDNMaps[[#This Row],[Name]]="","","("&amp;IDNMaps[[#This Row],[Type]]&amp;") "&amp;IDNMaps[[#This Row],[Name]])</f>
        <v>(Fields) OrderItem/UpdateOrderItem/shelf</v>
      </c>
      <c r="P250" s="6">
        <f ca="1">IFERROR(VLOOKUP(IDNMaps[[#This Row],[Primary]],INDIRECT(VLOOKUP(IDNMaps[[#This Row],[Type]],RecordCount[],2,0)),VLOOKUP(IDNMaps[[#This Row],[Type]],RecordCount[],8,0),0),"")</f>
        <v>2111158</v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1" s="6">
        <f ca="1">IF(IDNMaps[[#This Row],[Type]]="","",COUNTIF($K$1:IDNMaps[[#This Row],[Type]],IDNMaps[[#This Row],[Type]]))</f>
        <v>59</v>
      </c>
      <c r="M251" s="6" t="str">
        <f ca="1">IFERROR(VLOOKUP(IDNMaps[[#This Row],[Type]],RecordCount[],6,0)&amp;"-"&amp;IDNMaps[[#This Row],[Type Count]],"")</f>
        <v>Form Fields-59</v>
      </c>
      <c r="N251" s="6" t="str">
        <f ca="1">IFERROR(VLOOKUP(IDNMaps[[#This Row],[Primary]],INDIRECT(VLOOKUP(IDNMaps[[#This Row],[Type]],RecordCount[],2,0)),VLOOKUP(IDNMaps[[#This Row],[Type]],RecordCount[],7,0),0),"")</f>
        <v>OrderItem/UpdateOrderItem/delivery</v>
      </c>
      <c r="O251" s="6" t="str">
        <f ca="1">IF(IDNMaps[[#This Row],[Name]]="","","("&amp;IDNMaps[[#This Row],[Type]]&amp;") "&amp;IDNMaps[[#This Row],[Name]])</f>
        <v>(Fields) OrderItem/UpdateOrderItem/delivery</v>
      </c>
      <c r="P251" s="6">
        <f ca="1">IFERROR(VLOOKUP(IDNMaps[[#This Row],[Primary]],INDIRECT(VLOOKUP(IDNMaps[[#This Row],[Type]],RecordCount[],2,0)),VLOOKUP(IDNMaps[[#This Row],[Type]],RecordCount[],8,0),0),"")</f>
        <v>2111159</v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2" s="6">
        <f ca="1">IF(IDNMaps[[#This Row],[Type]]="","",COUNTIF($K$1:IDNMaps[[#This Row],[Type]],IDNMaps[[#This Row],[Type]]))</f>
        <v>60</v>
      </c>
      <c r="M252" s="6" t="str">
        <f ca="1">IFERROR(VLOOKUP(IDNMaps[[#This Row],[Type]],RecordCount[],6,0)&amp;"-"&amp;IDNMaps[[#This Row],[Type Count]],"")</f>
        <v>Form Fields-60</v>
      </c>
      <c r="N252" s="6" t="str">
        <f ca="1">IFERROR(VLOOKUP(IDNMaps[[#This Row],[Primary]],INDIRECT(VLOOKUP(IDNMaps[[#This Row],[Type]],RecordCount[],2,0)),VLOOKUP(IDNMaps[[#This Row],[Type]],RecordCount[],7,0),0),"")</f>
        <v>OrderItem/UpdateOrderItem/status</v>
      </c>
      <c r="O252" s="6" t="str">
        <f ca="1">IF(IDNMaps[[#This Row],[Name]]="","","("&amp;IDNMaps[[#This Row],[Type]]&amp;") "&amp;IDNMaps[[#This Row],[Name]])</f>
        <v>(Fields) OrderItem/UpdateOrderItem/status</v>
      </c>
      <c r="P252" s="6">
        <f ca="1">IFERROR(VLOOKUP(IDNMaps[[#This Row],[Primary]],INDIRECT(VLOOKUP(IDNMaps[[#This Row],[Type]],RecordCount[],2,0)),VLOOKUP(IDNMaps[[#This Row],[Type]],RecordCount[],8,0),0),"")</f>
        <v>2111160</v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3" s="6">
        <f ca="1">IF(IDNMaps[[#This Row],[Type]]="","",COUNTIF($K$1:IDNMaps[[#This Row],[Type]],IDNMaps[[#This Row],[Type]]))</f>
        <v>61</v>
      </c>
      <c r="M253" s="6" t="str">
        <f ca="1">IFERROR(VLOOKUP(IDNMaps[[#This Row],[Type]],RecordCount[],6,0)&amp;"-"&amp;IDNMaps[[#This Row],[Type Count]],"")</f>
        <v>Form Fields-61</v>
      </c>
      <c r="N253" s="6" t="str">
        <f ca="1">IFERROR(VLOOKUP(IDNMaps[[#This Row],[Primary]],INDIRECT(VLOOKUP(IDNMaps[[#This Row],[Type]],RecordCount[],2,0)),VLOOKUP(IDNMaps[[#This Row],[Type]],RecordCount[],7,0),0),"")</f>
        <v>OrderItemServiceUser/AssignProviderToOIS/ois</v>
      </c>
      <c r="O253" s="6" t="str">
        <f ca="1">IF(IDNMaps[[#This Row],[Name]]="","","("&amp;IDNMaps[[#This Row],[Type]]&amp;") "&amp;IDNMaps[[#This Row],[Name]])</f>
        <v>(Fields) OrderItemServiceUser/AssignProviderToOIS/ois</v>
      </c>
      <c r="P253" s="6">
        <f ca="1">IFERROR(VLOOKUP(IDNMaps[[#This Row],[Primary]],INDIRECT(VLOOKUP(IDNMaps[[#This Row],[Type]],RecordCount[],2,0)),VLOOKUP(IDNMaps[[#This Row],[Type]],RecordCount[],8,0),0),"")</f>
        <v>2111161</v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4" s="6">
        <f ca="1">IF(IDNMaps[[#This Row],[Type]]="","",COUNTIF($K$1:IDNMaps[[#This Row],[Type]],IDNMaps[[#This Row],[Type]]))</f>
        <v>62</v>
      </c>
      <c r="M254" s="6" t="str">
        <f ca="1">IFERROR(VLOOKUP(IDNMaps[[#This Row],[Type]],RecordCount[],6,0)&amp;"-"&amp;IDNMaps[[#This Row],[Type Count]],"")</f>
        <v>Form Fields-62</v>
      </c>
      <c r="N254" s="6" t="str">
        <f ca="1">IFERROR(VLOOKUP(IDNMaps[[#This Row],[Primary]],INDIRECT(VLOOKUP(IDNMaps[[#This Row],[Type]],RecordCount[],2,0)),VLOOKUP(IDNMaps[[#This Row],[Type]],RecordCount[],7,0),0),"")</f>
        <v>OrderItemServiceUser/AssignProviderToOIS/user</v>
      </c>
      <c r="O254" s="6" t="str">
        <f ca="1">IF(IDNMaps[[#This Row],[Name]]="","","("&amp;IDNMaps[[#This Row],[Type]]&amp;") "&amp;IDNMaps[[#This Row],[Name]])</f>
        <v>(Fields) OrderItemServiceUser/AssignProviderToOIS/user</v>
      </c>
      <c r="P254" s="6">
        <f ca="1">IFERROR(VLOOKUP(IDNMaps[[#This Row],[Primary]],INDIRECT(VLOOKUP(IDNMaps[[#This Row],[Type]],RecordCount[],2,0)),VLOOKUP(IDNMaps[[#This Row],[Type]],RecordCount[],8,0),0),"")</f>
        <v>2111162</v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5" s="6">
        <f ca="1">IF(IDNMaps[[#This Row],[Type]]="","",COUNTIF($K$1:IDNMaps[[#This Row],[Type]],IDNMaps[[#This Row],[Type]]))</f>
        <v>63</v>
      </c>
      <c r="M255" s="6" t="str">
        <f ca="1">IFERROR(VLOOKUP(IDNMaps[[#This Row],[Type]],RecordCount[],6,0)&amp;"-"&amp;IDNMaps[[#This Row],[Type Count]],"")</f>
        <v>Form Fields-63</v>
      </c>
      <c r="N255" s="6" t="str">
        <f ca="1">IFERROR(VLOOKUP(IDNMaps[[#This Row],[Primary]],INDIRECT(VLOOKUP(IDNMaps[[#This Row],[Type]],RecordCount[],2,0)),VLOOKUP(IDNMaps[[#This Row],[Type]],RecordCount[],7,0),0),"")</f>
        <v>Receipt/NewReceiptForm/date</v>
      </c>
      <c r="O255" s="6" t="str">
        <f ca="1">IF(IDNMaps[[#This Row],[Name]]="","","("&amp;IDNMaps[[#This Row],[Type]]&amp;") "&amp;IDNMaps[[#This Row],[Name]])</f>
        <v>(Fields) Receipt/NewReceiptForm/date</v>
      </c>
      <c r="P255" s="6">
        <f ca="1">IFERROR(VLOOKUP(IDNMaps[[#This Row],[Primary]],INDIRECT(VLOOKUP(IDNMaps[[#This Row],[Type]],RecordCount[],2,0)),VLOOKUP(IDNMaps[[#This Row],[Type]],RecordCount[],8,0),0),"")</f>
        <v>2111163</v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6" s="6">
        <f ca="1">IF(IDNMaps[[#This Row],[Type]]="","",COUNTIF($K$1:IDNMaps[[#This Row],[Type]],IDNMaps[[#This Row],[Type]]))</f>
        <v>64</v>
      </c>
      <c r="M256" s="6" t="str">
        <f ca="1">IFERROR(VLOOKUP(IDNMaps[[#This Row],[Type]],RecordCount[],6,0)&amp;"-"&amp;IDNMaps[[#This Row],[Type Count]],"")</f>
        <v>Form Fields-64</v>
      </c>
      <c r="N256" s="6" t="str">
        <f ca="1">IFERROR(VLOOKUP(IDNMaps[[#This Row],[Primary]],INDIRECT(VLOOKUP(IDNMaps[[#This Row],[Type]],RecordCount[],2,0)),VLOOKUP(IDNMaps[[#This Row],[Type]],RecordCount[],7,0),0),"")</f>
        <v>Receipt/NewReceiptForm/invoice</v>
      </c>
      <c r="O256" s="6" t="str">
        <f ca="1">IF(IDNMaps[[#This Row],[Name]]="","","("&amp;IDNMaps[[#This Row],[Type]]&amp;") "&amp;IDNMaps[[#This Row],[Name]])</f>
        <v>(Fields) Receipt/NewReceiptForm/invoice</v>
      </c>
      <c r="P256" s="6">
        <f ca="1">IFERROR(VLOOKUP(IDNMaps[[#This Row],[Primary]],INDIRECT(VLOOKUP(IDNMaps[[#This Row],[Type]],RecordCount[],2,0)),VLOOKUP(IDNMaps[[#This Row],[Type]],RecordCount[],8,0),0),"")</f>
        <v>2111164</v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7" s="6">
        <f ca="1">IF(IDNMaps[[#This Row],[Type]]="","",COUNTIF($K$1:IDNMaps[[#This Row],[Type]],IDNMaps[[#This Row],[Type]]))</f>
        <v>65</v>
      </c>
      <c r="M257" s="6" t="str">
        <f ca="1">IFERROR(VLOOKUP(IDNMaps[[#This Row],[Type]],RecordCount[],6,0)&amp;"-"&amp;IDNMaps[[#This Row],[Type Count]],"")</f>
        <v>Form Fields-65</v>
      </c>
      <c r="N257" s="6" t="str">
        <f ca="1">IFERROR(VLOOKUP(IDNMaps[[#This Row],[Primary]],INDIRECT(VLOOKUP(IDNMaps[[#This Row],[Type]],RecordCount[],2,0)),VLOOKUP(IDNMaps[[#This Row],[Type]],RecordCount[],7,0),0),"")</f>
        <v>Receipt/NewReceiptForm/amount</v>
      </c>
      <c r="O257" s="6" t="str">
        <f ca="1">IF(IDNMaps[[#This Row],[Name]]="","","("&amp;IDNMaps[[#This Row],[Type]]&amp;") "&amp;IDNMaps[[#This Row],[Name]])</f>
        <v>(Fields) Receipt/NewReceiptForm/amount</v>
      </c>
      <c r="P257" s="6">
        <f ca="1">IFERROR(VLOOKUP(IDNMaps[[#This Row],[Primary]],INDIRECT(VLOOKUP(IDNMaps[[#This Row],[Type]],RecordCount[],2,0)),VLOOKUP(IDNMaps[[#This Row],[Type]],RecordCount[],8,0),0),"")</f>
        <v>2111165</v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8" s="6">
        <f ca="1">IF(IDNMaps[[#This Row],[Type]]="","",COUNTIF($K$1:IDNMaps[[#This Row],[Type]],IDNMaps[[#This Row],[Type]]))</f>
        <v>66</v>
      </c>
      <c r="M258" s="6" t="str">
        <f ca="1">IFERROR(VLOOKUP(IDNMaps[[#This Row],[Type]],RecordCount[],6,0)&amp;"-"&amp;IDNMaps[[#This Row],[Type Count]],"")</f>
        <v>Form Fields-66</v>
      </c>
      <c r="N258" s="6" t="str">
        <f ca="1">IFERROR(VLOOKUP(IDNMaps[[#This Row],[Primary]],INDIRECT(VLOOKUP(IDNMaps[[#This Row],[Type]],RecordCount[],2,0)),VLOOKUP(IDNMaps[[#This Row],[Type]],RecordCount[],7,0),0),"")</f>
        <v>Delivery/NewOrderDeliveryForm/date</v>
      </c>
      <c r="O258" s="6" t="str">
        <f ca="1">IF(IDNMaps[[#This Row],[Name]]="","","("&amp;IDNMaps[[#This Row],[Type]]&amp;") "&amp;IDNMaps[[#This Row],[Name]])</f>
        <v>(Fields) Delivery/NewOrderDeliveryForm/date</v>
      </c>
      <c r="P258" s="6">
        <f ca="1">IFERROR(VLOOKUP(IDNMaps[[#This Row],[Primary]],INDIRECT(VLOOKUP(IDNMaps[[#This Row],[Type]],RecordCount[],2,0)),VLOOKUP(IDNMaps[[#This Row],[Type]],RecordCount[],8,0),0),"")</f>
        <v>2111166</v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9" s="6">
        <f ca="1">IF(IDNMaps[[#This Row],[Type]]="","",COUNTIF($K$1:IDNMaps[[#This Row],[Type]],IDNMaps[[#This Row],[Type]]))</f>
        <v>67</v>
      </c>
      <c r="M259" s="6" t="str">
        <f ca="1">IFERROR(VLOOKUP(IDNMaps[[#This Row],[Type]],RecordCount[],6,0)&amp;"-"&amp;IDNMaps[[#This Row],[Type Count]],"")</f>
        <v>Form Fields-67</v>
      </c>
      <c r="N259" s="6" t="str">
        <f ca="1">IFERROR(VLOOKUP(IDNMaps[[#This Row],[Primary]],INDIRECT(VLOOKUP(IDNMaps[[#This Row],[Type]],RecordCount[],2,0)),VLOOKUP(IDNMaps[[#This Row],[Type]],RecordCount[],7,0),0),"")</f>
        <v>Delivery/NewOrderDeliveryForm/order</v>
      </c>
      <c r="O259" s="6" t="str">
        <f ca="1">IF(IDNMaps[[#This Row],[Name]]="","","("&amp;IDNMaps[[#This Row],[Type]]&amp;") "&amp;IDNMaps[[#This Row],[Name]])</f>
        <v>(Fields) Delivery/NewOrderDeliveryForm/order</v>
      </c>
      <c r="P259" s="6">
        <f ca="1">IFERROR(VLOOKUP(IDNMaps[[#This Row],[Primary]],INDIRECT(VLOOKUP(IDNMaps[[#This Row],[Type]],RecordCount[],2,0)),VLOOKUP(IDNMaps[[#This Row],[Type]],RecordCount[],8,0),0),"")</f>
        <v>2111167</v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0" s="6">
        <f ca="1">IF(IDNMaps[[#This Row],[Type]]="","",COUNTIF($K$1:IDNMaps[[#This Row],[Type]],IDNMaps[[#This Row],[Type]]))</f>
        <v>68</v>
      </c>
      <c r="M260" s="6" t="str">
        <f ca="1">IFERROR(VLOOKUP(IDNMaps[[#This Row],[Type]],RecordCount[],6,0)&amp;"-"&amp;IDNMaps[[#This Row],[Type Count]],"")</f>
        <v>Form Fields-68</v>
      </c>
      <c r="N260" s="6" t="str">
        <f ca="1">IFERROR(VLOOKUP(IDNMaps[[#This Row],[Primary]],INDIRECT(VLOOKUP(IDNMaps[[#This Row],[Type]],RecordCount[],2,0)),VLOOKUP(IDNMaps[[#This Row],[Type]],RecordCount[],7,0),0),"")</f>
        <v>Delivery/NewOrderDeliveryForm/oi</v>
      </c>
      <c r="O260" s="6" t="str">
        <f ca="1">IF(IDNMaps[[#This Row],[Name]]="","","("&amp;IDNMaps[[#This Row],[Type]]&amp;") "&amp;IDNMaps[[#This Row],[Name]])</f>
        <v>(Fields) Delivery/NewOrderDeliveryForm/oi</v>
      </c>
      <c r="P260" s="6">
        <f ca="1">IFERROR(VLOOKUP(IDNMaps[[#This Row],[Primary]],INDIRECT(VLOOKUP(IDNMaps[[#This Row],[Type]],RecordCount[],2,0)),VLOOKUP(IDNMaps[[#This Row],[Type]],RecordCount[],8,0),0),"")</f>
        <v>2111168</v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1" s="6">
        <f ca="1">IF(IDNMaps[[#This Row],[Type]]="","",COUNTIF($K$1:IDNMaps[[#This Row],[Type]],IDNMaps[[#This Row],[Type]]))</f>
        <v>69</v>
      </c>
      <c r="M261" s="6" t="str">
        <f ca="1">IFERROR(VLOOKUP(IDNMaps[[#This Row],[Type]],RecordCount[],6,0)&amp;"-"&amp;IDNMaps[[#This Row],[Type Count]],"")</f>
        <v>Form Fields-69</v>
      </c>
      <c r="N261" s="6" t="str">
        <f ca="1">IFERROR(VLOOKUP(IDNMaps[[#This Row],[Primary]],INDIRECT(VLOOKUP(IDNMaps[[#This Row],[Type]],RecordCount[],2,0)),VLOOKUP(IDNMaps[[#This Row],[Type]],RecordCount[],7,0),0),"")</f>
        <v>HubShift/NewHubShiftProcessForm/source_hub</v>
      </c>
      <c r="O261" s="6" t="str">
        <f ca="1">IF(IDNMaps[[#This Row],[Name]]="","","("&amp;IDNMaps[[#This Row],[Type]]&amp;") "&amp;IDNMaps[[#This Row],[Name]])</f>
        <v>(Fields) HubShift/NewHubShiftProcessForm/source_hub</v>
      </c>
      <c r="P261" s="6">
        <f ca="1">IFERROR(VLOOKUP(IDNMaps[[#This Row],[Primary]],INDIRECT(VLOOKUP(IDNMaps[[#This Row],[Type]],RecordCount[],2,0)),VLOOKUP(IDNMaps[[#This Row],[Type]],RecordCount[],8,0),0),"")</f>
        <v>2111169</v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2" s="6">
        <f ca="1">IF(IDNMaps[[#This Row],[Type]]="","",COUNTIF($K$1:IDNMaps[[#This Row],[Type]],IDNMaps[[#This Row],[Type]]))</f>
        <v>70</v>
      </c>
      <c r="M262" s="6" t="str">
        <f ca="1">IFERROR(VLOOKUP(IDNMaps[[#This Row],[Type]],RecordCount[],6,0)&amp;"-"&amp;IDNMaps[[#This Row],[Type Count]],"")</f>
        <v>Form Fields-70</v>
      </c>
      <c r="N262" s="6" t="str">
        <f ca="1">IFERROR(VLOOKUP(IDNMaps[[#This Row],[Primary]],INDIRECT(VLOOKUP(IDNMaps[[#This Row],[Type]],RecordCount[],2,0)),VLOOKUP(IDNMaps[[#This Row],[Type]],RecordCount[],7,0),0),"")</f>
        <v>HubShift/NewHubShiftProcessForm/destination_hub</v>
      </c>
      <c r="O262" s="6" t="str">
        <f ca="1">IF(IDNMaps[[#This Row],[Name]]="","","("&amp;IDNMaps[[#This Row],[Type]]&amp;") "&amp;IDNMaps[[#This Row],[Name]])</f>
        <v>(Fields) HubShift/NewHubShiftProcessForm/destination_hub</v>
      </c>
      <c r="P262" s="6">
        <f ca="1">IFERROR(VLOOKUP(IDNMaps[[#This Row],[Primary]],INDIRECT(VLOOKUP(IDNMaps[[#This Row],[Type]],RecordCount[],2,0)),VLOOKUP(IDNMaps[[#This Row],[Type]],RecordCount[],8,0),0),"")</f>
        <v>2111170</v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3" s="6">
        <f ca="1">IF(IDNMaps[[#This Row],[Type]]="","",COUNTIF($K$1:IDNMaps[[#This Row],[Type]],IDNMaps[[#This Row],[Type]]))</f>
        <v>71</v>
      </c>
      <c r="M263" s="6" t="str">
        <f ca="1">IFERROR(VLOOKUP(IDNMaps[[#This Row],[Type]],RecordCount[],6,0)&amp;"-"&amp;IDNMaps[[#This Row],[Type Count]],"")</f>
        <v>Form Fields-71</v>
      </c>
      <c r="N263" s="6" t="str">
        <f ca="1">IFERROR(VLOOKUP(IDNMaps[[#This Row],[Primary]],INDIRECT(VLOOKUP(IDNMaps[[#This Row],[Type]],RecordCount[],2,0)),VLOOKUP(IDNMaps[[#This Row],[Type]],RecordCount[],7,0),0),"")</f>
        <v>HubShift/NewHubShiftProcessForm/date</v>
      </c>
      <c r="O263" s="6" t="str">
        <f ca="1">IF(IDNMaps[[#This Row],[Name]]="","","("&amp;IDNMaps[[#This Row],[Type]]&amp;") "&amp;IDNMaps[[#This Row],[Name]])</f>
        <v>(Fields) HubShift/NewHubShiftProcessForm/date</v>
      </c>
      <c r="P263" s="6">
        <f ca="1">IFERROR(VLOOKUP(IDNMaps[[#This Row],[Primary]],INDIRECT(VLOOKUP(IDNMaps[[#This Row],[Type]],RecordCount[],2,0)),VLOOKUP(IDNMaps[[#This Row],[Type]],RecordCount[],8,0),0),"")</f>
        <v>2111171</v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4" s="6">
        <f ca="1">IF(IDNMaps[[#This Row],[Type]]="","",COUNTIF($K$1:IDNMaps[[#This Row],[Type]],IDNMaps[[#This Row],[Type]]))</f>
        <v>72</v>
      </c>
      <c r="M264" s="6" t="str">
        <f ca="1">IFERROR(VLOOKUP(IDNMaps[[#This Row],[Type]],RecordCount[],6,0)&amp;"-"&amp;IDNMaps[[#This Row],[Type Count]],"")</f>
        <v>Form Fields-72</v>
      </c>
      <c r="N264" s="6" t="str">
        <f ca="1">IFERROR(VLOOKUP(IDNMaps[[#This Row],[Primary]],INDIRECT(VLOOKUP(IDNMaps[[#This Row],[Type]],RecordCount[],2,0)),VLOOKUP(IDNMaps[[#This Row],[Type]],RecordCount[],7,0),0),"")</f>
        <v>HubShift/NewHubShiftProcessForm/status</v>
      </c>
      <c r="O264" s="6" t="str">
        <f ca="1">IF(IDNMaps[[#This Row],[Name]]="","","("&amp;IDNMaps[[#This Row],[Type]]&amp;") "&amp;IDNMaps[[#This Row],[Name]])</f>
        <v>(Fields) HubShift/NewHubShiftProcessForm/status</v>
      </c>
      <c r="P264" s="6">
        <f ca="1">IFERROR(VLOOKUP(IDNMaps[[#This Row],[Primary]],INDIRECT(VLOOKUP(IDNMaps[[#This Row],[Type]],RecordCount[],2,0)),VLOOKUP(IDNMaps[[#This Row],[Type]],RecordCount[],8,0),0),"")</f>
        <v>2111172</v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5" s="6">
        <f ca="1">IF(IDNMaps[[#This Row],[Type]]="","",COUNTIF($K$1:IDNMaps[[#This Row],[Type]],IDNMaps[[#This Row],[Type]]))</f>
        <v>73</v>
      </c>
      <c r="M265" s="6" t="str">
        <f ca="1">IFERROR(VLOOKUP(IDNMaps[[#This Row],[Type]],RecordCount[],6,0)&amp;"-"&amp;IDNMaps[[#This Row],[Type Count]],"")</f>
        <v>Form Fields-73</v>
      </c>
      <c r="N265" s="6" t="str">
        <f ca="1">IFERROR(VLOOKUP(IDNMaps[[#This Row],[Primary]],INDIRECT(VLOOKUP(IDNMaps[[#This Row],[Type]],RecordCount[],2,0)),VLOOKUP(IDNMaps[[#This Row],[Type]],RecordCount[],7,0),0),"")</f>
        <v>Employee/UpdateEmployeeDetails/name</v>
      </c>
      <c r="O265" s="6" t="str">
        <f ca="1">IF(IDNMaps[[#This Row],[Name]]="","","("&amp;IDNMaps[[#This Row],[Type]]&amp;") "&amp;IDNMaps[[#This Row],[Name]])</f>
        <v>(Fields) Employee/UpdateEmployeeDetails/name</v>
      </c>
      <c r="P265" s="6">
        <f ca="1">IFERROR(VLOOKUP(IDNMaps[[#This Row],[Primary]],INDIRECT(VLOOKUP(IDNMaps[[#This Row],[Type]],RecordCount[],2,0)),VLOOKUP(IDNMaps[[#This Row],[Type]],RecordCount[],8,0),0),"")</f>
        <v>2111173</v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6" s="6">
        <f ca="1">IF(IDNMaps[[#This Row],[Type]]="","",COUNTIF($K$1:IDNMaps[[#This Row],[Type]],IDNMaps[[#This Row],[Type]]))</f>
        <v>74</v>
      </c>
      <c r="M266" s="6" t="str">
        <f ca="1">IFERROR(VLOOKUP(IDNMaps[[#This Row],[Type]],RecordCount[],6,0)&amp;"-"&amp;IDNMaps[[#This Row],[Type Count]],"")</f>
        <v>Form Fields-74</v>
      </c>
      <c r="N266" s="6" t="str">
        <f ca="1">IFERROR(VLOOKUP(IDNMaps[[#This Row],[Primary]],INDIRECT(VLOOKUP(IDNMaps[[#This Row],[Type]],RecordCount[],2,0)),VLOOKUP(IDNMaps[[#This Row],[Type]],RecordCount[],7,0),0),"")</f>
        <v>Employee/UpdateEmployeeDetails/email</v>
      </c>
      <c r="O266" s="6" t="str">
        <f ca="1">IF(IDNMaps[[#This Row],[Name]]="","","("&amp;IDNMaps[[#This Row],[Type]]&amp;") "&amp;IDNMaps[[#This Row],[Name]])</f>
        <v>(Fields) Employee/UpdateEmployeeDetails/email</v>
      </c>
      <c r="P266" s="6">
        <f ca="1">IFERROR(VLOOKUP(IDNMaps[[#This Row],[Primary]],INDIRECT(VLOOKUP(IDNMaps[[#This Row],[Type]],RecordCount[],2,0)),VLOOKUP(IDNMaps[[#This Row],[Type]],RecordCount[],8,0),0),"")</f>
        <v>2111174</v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7" s="6">
        <f ca="1">IF(IDNMaps[[#This Row],[Type]]="","",COUNTIF($K$1:IDNMaps[[#This Row],[Type]],IDNMaps[[#This Row],[Type]]))</f>
        <v>75</v>
      </c>
      <c r="M267" s="6" t="str">
        <f ca="1">IFERROR(VLOOKUP(IDNMaps[[#This Row],[Type]],RecordCount[],6,0)&amp;"-"&amp;IDNMaps[[#This Row],[Type Count]],"")</f>
        <v>Form Fields-75</v>
      </c>
      <c r="N267" s="6" t="str">
        <f ca="1">IFERROR(VLOOKUP(IDNMaps[[#This Row],[Primary]],INDIRECT(VLOOKUP(IDNMaps[[#This Row],[Type]],RecordCount[],2,0)),VLOOKUP(IDNMaps[[#This Row],[Type]],RecordCount[],7,0),0),"")</f>
        <v>Employee/UpdateEmployeeDetails/password</v>
      </c>
      <c r="O267" s="6" t="str">
        <f ca="1">IF(IDNMaps[[#This Row],[Name]]="","","("&amp;IDNMaps[[#This Row],[Type]]&amp;") "&amp;IDNMaps[[#This Row],[Name]])</f>
        <v>(Fields) Employee/UpdateEmployeeDetails/password</v>
      </c>
      <c r="P267" s="6">
        <f ca="1">IFERROR(VLOOKUP(IDNMaps[[#This Row],[Primary]],INDIRECT(VLOOKUP(IDNMaps[[#This Row],[Type]],RecordCount[],2,0)),VLOOKUP(IDNMaps[[#This Row],[Type]],RecordCount[],8,0),0),"")</f>
        <v>2111175</v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8" s="6">
        <f ca="1">IF(IDNMaps[[#This Row],[Type]]="","",COUNTIF($K$1:IDNMaps[[#This Row],[Type]],IDNMaps[[#This Row],[Type]]))</f>
        <v>76</v>
      </c>
      <c r="M268" s="6" t="str">
        <f ca="1">IFERROR(VLOOKUP(IDNMaps[[#This Row],[Type]],RecordCount[],6,0)&amp;"-"&amp;IDNMaps[[#This Row],[Type Count]],"")</f>
        <v>Form Fields-76</v>
      </c>
      <c r="N268" s="6" t="str">
        <f ca="1">IFERROR(VLOOKUP(IDNMaps[[#This Row],[Primary]],INDIRECT(VLOOKUP(IDNMaps[[#This Row],[Type]],RecordCount[],2,0)),VLOOKUP(IDNMaps[[#This Row],[Type]],RecordCount[],7,0),0),"")</f>
        <v>Pricelist/EditPricelistForm/name</v>
      </c>
      <c r="O268" s="6" t="str">
        <f ca="1">IF(IDNMaps[[#This Row],[Name]]="","","("&amp;IDNMaps[[#This Row],[Type]]&amp;") "&amp;IDNMaps[[#This Row],[Name]])</f>
        <v>(Fields) Pricelist/EditPricelistForm/name</v>
      </c>
      <c r="P268" s="6">
        <f ca="1">IFERROR(VLOOKUP(IDNMaps[[#This Row],[Primary]],INDIRECT(VLOOKUP(IDNMaps[[#This Row],[Type]],RecordCount[],2,0)),VLOOKUP(IDNMaps[[#This Row],[Type]],RecordCount[],8,0),0),"")</f>
        <v>2111176</v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9" s="6">
        <f ca="1">IF(IDNMaps[[#This Row],[Type]]="","",COUNTIF($K$1:IDNMaps[[#This Row],[Type]],IDNMaps[[#This Row],[Type]]))</f>
        <v>77</v>
      </c>
      <c r="M269" s="6" t="str">
        <f ca="1">IFERROR(VLOOKUP(IDNMaps[[#This Row],[Type]],RecordCount[],6,0)&amp;"-"&amp;IDNMaps[[#This Row],[Type Count]],"")</f>
        <v>Form Fields-77</v>
      </c>
      <c r="N269" s="6" t="str">
        <f ca="1">IFERROR(VLOOKUP(IDNMaps[[#This Row],[Primary]],INDIRECT(VLOOKUP(IDNMaps[[#This Row],[Type]],RecordCount[],2,0)),VLOOKUP(IDNMaps[[#This Row],[Type]],RecordCount[],7,0),0),"")</f>
        <v>Pricelist/EditPricelistForm/description</v>
      </c>
      <c r="O269" s="6" t="str">
        <f ca="1">IF(IDNMaps[[#This Row],[Name]]="","","("&amp;IDNMaps[[#This Row],[Type]]&amp;") "&amp;IDNMaps[[#This Row],[Name]])</f>
        <v>(Fields) Pricelist/EditPricelistForm/description</v>
      </c>
      <c r="P269" s="6">
        <f ca="1">IFERROR(VLOOKUP(IDNMaps[[#This Row],[Primary]],INDIRECT(VLOOKUP(IDNMaps[[#This Row],[Type]],RecordCount[],2,0)),VLOOKUP(IDNMaps[[#This Row],[Type]],RecordCount[],8,0),0),"")</f>
        <v>2111177</v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0" s="6">
        <f ca="1">IF(IDNMaps[[#This Row],[Type]]="","",COUNTIF($K$1:IDNMaps[[#This Row],[Type]],IDNMaps[[#This Row],[Type]]))</f>
        <v>78</v>
      </c>
      <c r="M270" s="6" t="str">
        <f ca="1">IFERROR(VLOOKUP(IDNMaps[[#This Row],[Type]],RecordCount[],6,0)&amp;"-"&amp;IDNMaps[[#This Row],[Type Count]],"")</f>
        <v>Form Fields-78</v>
      </c>
      <c r="N270" s="6" t="str">
        <f ca="1">IFERROR(VLOOKUP(IDNMaps[[#This Row],[Primary]],INDIRECT(VLOOKUP(IDNMaps[[#This Row],[Type]],RecordCount[],2,0)),VLOOKUP(IDNMaps[[#This Row],[Type]],RecordCount[],7,0),0),"")</f>
        <v>Pricelist/EditPricelistForm/status</v>
      </c>
      <c r="O270" s="6" t="str">
        <f ca="1">IF(IDNMaps[[#This Row],[Name]]="","","("&amp;IDNMaps[[#This Row],[Type]]&amp;") "&amp;IDNMaps[[#This Row],[Name]])</f>
        <v>(Fields) Pricelist/EditPricelistForm/status</v>
      </c>
      <c r="P270" s="6">
        <f ca="1">IFERROR(VLOOKUP(IDNMaps[[#This Row],[Primary]],INDIRECT(VLOOKUP(IDNMaps[[#This Row],[Type]],RecordCount[],2,0)),VLOOKUP(IDNMaps[[#This Row],[Type]],RecordCount[],8,0),0),"")</f>
        <v>2111178</v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1" s="6">
        <f ca="1">IF(IDNMaps[[#This Row],[Type]]="","",COUNTIF($K$1:IDNMaps[[#This Row],[Type]],IDNMaps[[#This Row],[Type]]))</f>
        <v>79</v>
      </c>
      <c r="M271" s="6" t="str">
        <f ca="1">IFERROR(VLOOKUP(IDNMaps[[#This Row],[Type]],RecordCount[],6,0)&amp;"-"&amp;IDNMaps[[#This Row],[Type Count]],"")</f>
        <v>Form Fields-79</v>
      </c>
      <c r="N271" s="6" t="str">
        <f ca="1">IFERROR(VLOOKUP(IDNMaps[[#This Row],[Primary]],INDIRECT(VLOOKUP(IDNMaps[[#This Row],[Type]],RecordCount[],2,0)),VLOOKUP(IDNMaps[[#This Row],[Type]],RecordCount[],7,0),0),"")</f>
        <v>Item/EditItemForm/name</v>
      </c>
      <c r="O271" s="6" t="str">
        <f ca="1">IF(IDNMaps[[#This Row],[Name]]="","","("&amp;IDNMaps[[#This Row],[Type]]&amp;") "&amp;IDNMaps[[#This Row],[Name]])</f>
        <v>(Fields) Item/EditItemForm/name</v>
      </c>
      <c r="P271" s="6">
        <f ca="1">IFERROR(VLOOKUP(IDNMaps[[#This Row],[Primary]],INDIRECT(VLOOKUP(IDNMaps[[#This Row],[Type]],RecordCount[],2,0)),VLOOKUP(IDNMaps[[#This Row],[Type]],RecordCount[],8,0),0),"")</f>
        <v>2111179</v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2" s="6">
        <f ca="1">IF(IDNMaps[[#This Row],[Type]]="","",COUNTIF($K$1:IDNMaps[[#This Row],[Type]],IDNMaps[[#This Row],[Type]]))</f>
        <v>80</v>
      </c>
      <c r="M272" s="6" t="str">
        <f ca="1">IFERROR(VLOOKUP(IDNMaps[[#This Row],[Type]],RecordCount[],6,0)&amp;"-"&amp;IDNMaps[[#This Row],[Type Count]],"")</f>
        <v>Form Fields-80</v>
      </c>
      <c r="N272" s="6" t="str">
        <f ca="1">IFERROR(VLOOKUP(IDNMaps[[#This Row],[Primary]],INDIRECT(VLOOKUP(IDNMaps[[#This Row],[Type]],RecordCount[],2,0)),VLOOKUP(IDNMaps[[#This Row],[Type]],RecordCount[],7,0),0),"")</f>
        <v>Item/EditItemForm/status</v>
      </c>
      <c r="O272" s="6" t="str">
        <f ca="1">IF(IDNMaps[[#This Row],[Name]]="","","("&amp;IDNMaps[[#This Row],[Type]]&amp;") "&amp;IDNMaps[[#This Row],[Name]])</f>
        <v>(Fields) Item/EditItemForm/status</v>
      </c>
      <c r="P272" s="6">
        <f ca="1">IFERROR(VLOOKUP(IDNMaps[[#This Row],[Primary]],INDIRECT(VLOOKUP(IDNMaps[[#This Row],[Type]],RecordCount[],2,0)),VLOOKUP(IDNMaps[[#This Row],[Type]],RecordCount[],8,0),0),"")</f>
        <v>2111180</v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3" s="6">
        <f ca="1">IF(IDNMaps[[#This Row],[Type]]="","",COUNTIF($K$1:IDNMaps[[#This Row],[Type]],IDNMaps[[#This Row],[Type]]))</f>
        <v>81</v>
      </c>
      <c r="M273" s="6" t="str">
        <f ca="1">IFERROR(VLOOKUP(IDNMaps[[#This Row],[Type]],RecordCount[],6,0)&amp;"-"&amp;IDNMaps[[#This Row],[Type Count]],"")</f>
        <v>Form Fields-81</v>
      </c>
      <c r="N273" s="6" t="str">
        <f ca="1">IFERROR(VLOOKUP(IDNMaps[[#This Row],[Primary]],INDIRECT(VLOOKUP(IDNMaps[[#This Row],[Type]],RecordCount[],2,0)),VLOOKUP(IDNMaps[[#This Row],[Type]],RecordCount[],7,0),0),"")</f>
        <v>Item/EditItemForm/description</v>
      </c>
      <c r="O273" s="6" t="str">
        <f ca="1">IF(IDNMaps[[#This Row],[Name]]="","","("&amp;IDNMaps[[#This Row],[Type]]&amp;") "&amp;IDNMaps[[#This Row],[Name]])</f>
        <v>(Fields) Item/EditItemForm/description</v>
      </c>
      <c r="P273" s="6">
        <f ca="1">IFERROR(VLOOKUP(IDNMaps[[#This Row],[Primary]],INDIRECT(VLOOKUP(IDNMaps[[#This Row],[Type]],RecordCount[],2,0)),VLOOKUP(IDNMaps[[#This Row],[Type]],RecordCount[],8,0),0),"")</f>
        <v>2111181</v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4" s="6">
        <f ca="1">IF(IDNMaps[[#This Row],[Type]]="","",COUNTIF($K$1:IDNMaps[[#This Row],[Type]],IDNMaps[[#This Row],[Type]]))</f>
        <v>82</v>
      </c>
      <c r="M274" s="6" t="str">
        <f ca="1">IFERROR(VLOOKUP(IDNMaps[[#This Row],[Type]],RecordCount[],6,0)&amp;"-"&amp;IDNMaps[[#This Row],[Type Count]],"")</f>
        <v>Form Fields-82</v>
      </c>
      <c r="N274" s="6" t="str">
        <f ca="1">IFERROR(VLOOKUP(IDNMaps[[#This Row],[Primary]],INDIRECT(VLOOKUP(IDNMaps[[#This Row],[Type]],RecordCount[],2,0)),VLOOKUP(IDNMaps[[#This Row],[Type]],RecordCount[],7,0),0),"")</f>
        <v>Order/EditOrderForm/customer</v>
      </c>
      <c r="O274" s="6" t="str">
        <f ca="1">IF(IDNMaps[[#This Row],[Name]]="","","("&amp;IDNMaps[[#This Row],[Type]]&amp;") "&amp;IDNMaps[[#This Row],[Name]])</f>
        <v>(Fields) Order/EditOrderForm/customer</v>
      </c>
      <c r="P274" s="6">
        <f ca="1">IFERROR(VLOOKUP(IDNMaps[[#This Row],[Primary]],INDIRECT(VLOOKUP(IDNMaps[[#This Row],[Type]],RecordCount[],2,0)),VLOOKUP(IDNMaps[[#This Row],[Type]],RecordCount[],8,0),0),"")</f>
        <v>2111182</v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5" s="6">
        <f ca="1">IF(IDNMaps[[#This Row],[Type]]="","",COUNTIF($K$1:IDNMaps[[#This Row],[Type]],IDNMaps[[#This Row],[Type]]))</f>
        <v>83</v>
      </c>
      <c r="M275" s="6" t="str">
        <f ca="1">IFERROR(VLOOKUP(IDNMaps[[#This Row],[Type]],RecordCount[],6,0)&amp;"-"&amp;IDNMaps[[#This Row],[Type Count]],"")</f>
        <v>Form Fields-83</v>
      </c>
      <c r="N275" s="6" t="str">
        <f ca="1">IFERROR(VLOOKUP(IDNMaps[[#This Row],[Primary]],INDIRECT(VLOOKUP(IDNMaps[[#This Row],[Type]],RecordCount[],2,0)),VLOOKUP(IDNMaps[[#This Row],[Type]],RecordCount[],7,0),0),"")</f>
        <v>Order/EditOrderForm/date</v>
      </c>
      <c r="O275" s="6" t="str">
        <f ca="1">IF(IDNMaps[[#This Row],[Name]]="","","("&amp;IDNMaps[[#This Row],[Type]]&amp;") "&amp;IDNMaps[[#This Row],[Name]])</f>
        <v>(Fields) Order/EditOrderForm/date</v>
      </c>
      <c r="P275" s="6">
        <f ca="1">IFERROR(VLOOKUP(IDNMaps[[#This Row],[Primary]],INDIRECT(VLOOKUP(IDNMaps[[#This Row],[Type]],RecordCount[],2,0)),VLOOKUP(IDNMaps[[#This Row],[Type]],RecordCount[],8,0),0),"")</f>
        <v>2111183</v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6" s="6">
        <f ca="1">IF(IDNMaps[[#This Row],[Type]]="","",COUNTIF($K$1:IDNMaps[[#This Row],[Type]],IDNMaps[[#This Row],[Type]]))</f>
        <v>84</v>
      </c>
      <c r="M276" s="6" t="str">
        <f ca="1">IFERROR(VLOOKUP(IDNMaps[[#This Row],[Type]],RecordCount[],6,0)&amp;"-"&amp;IDNMaps[[#This Row],[Type Count]],"")</f>
        <v>Form Fields-84</v>
      </c>
      <c r="N276" s="6" t="str">
        <f ca="1">IFERROR(VLOOKUP(IDNMaps[[#This Row],[Primary]],INDIRECT(VLOOKUP(IDNMaps[[#This Row],[Type]],RecordCount[],2,0)),VLOOKUP(IDNMaps[[#This Row],[Type]],RecordCount[],7,0),0),"")</f>
        <v>Order/EditOrderForm/pl</v>
      </c>
      <c r="O276" s="6" t="str">
        <f ca="1">IF(IDNMaps[[#This Row],[Name]]="","","("&amp;IDNMaps[[#This Row],[Type]]&amp;") "&amp;IDNMaps[[#This Row],[Name]])</f>
        <v>(Fields) Order/EditOrderForm/pl</v>
      </c>
      <c r="P276" s="6">
        <f ca="1">IFERROR(VLOOKUP(IDNMaps[[#This Row],[Primary]],INDIRECT(VLOOKUP(IDNMaps[[#This Row],[Type]],RecordCount[],2,0)),VLOOKUP(IDNMaps[[#This Row],[Type]],RecordCount[],8,0),0),"")</f>
        <v>2111184</v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7" s="6">
        <f ca="1">IF(IDNMaps[[#This Row],[Type]]="","",COUNTIF($K$1:IDNMaps[[#This Row],[Type]],IDNMaps[[#This Row],[Type]]))</f>
        <v>85</v>
      </c>
      <c r="M277" s="6" t="str">
        <f ca="1">IFERROR(VLOOKUP(IDNMaps[[#This Row],[Type]],RecordCount[],6,0)&amp;"-"&amp;IDNMaps[[#This Row],[Type Count]],"")</f>
        <v>Form Fields-85</v>
      </c>
      <c r="N277" s="6" t="str">
        <f ca="1">IFERROR(VLOOKUP(IDNMaps[[#This Row],[Primary]],INDIRECT(VLOOKUP(IDNMaps[[#This Row],[Type]],RecordCount[],2,0)),VLOOKUP(IDNMaps[[#This Row],[Type]],RecordCount[],7,0),0),"")</f>
        <v>Order/EditOrderForm/hub</v>
      </c>
      <c r="O277" s="6" t="str">
        <f ca="1">IF(IDNMaps[[#This Row],[Name]]="","","("&amp;IDNMaps[[#This Row],[Type]]&amp;") "&amp;IDNMaps[[#This Row],[Name]])</f>
        <v>(Fields) Order/EditOrderForm/hub</v>
      </c>
      <c r="P277" s="6">
        <f ca="1">IFERROR(VLOOKUP(IDNMaps[[#This Row],[Primary]],INDIRECT(VLOOKUP(IDNMaps[[#This Row],[Type]],RecordCount[],2,0)),VLOOKUP(IDNMaps[[#This Row],[Type]],RecordCount[],8,0),0),"")</f>
        <v>2111185</v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8" s="6">
        <f ca="1">IF(IDNMaps[[#This Row],[Type]]="","",COUNTIF($K$1:IDNMaps[[#This Row],[Type]],IDNMaps[[#This Row],[Type]]))</f>
        <v>86</v>
      </c>
      <c r="M278" s="6" t="str">
        <f ca="1">IFERROR(VLOOKUP(IDNMaps[[#This Row],[Type]],RecordCount[],6,0)&amp;"-"&amp;IDNMaps[[#This Row],[Type Count]],"")</f>
        <v>Form Fields-86</v>
      </c>
      <c r="N278" s="6" t="str">
        <f ca="1">IFERROR(VLOOKUP(IDNMaps[[#This Row],[Primary]],INDIRECT(VLOOKUP(IDNMaps[[#This Row],[Type]],RecordCount[],2,0)),VLOOKUP(IDNMaps[[#This Row],[Type]],RecordCount[],7,0),0),"")</f>
        <v>OrderItemServiceUser/JobStartForm/start_at</v>
      </c>
      <c r="O278" s="6" t="str">
        <f ca="1">IF(IDNMaps[[#This Row],[Name]]="","","("&amp;IDNMaps[[#This Row],[Type]]&amp;") "&amp;IDNMaps[[#This Row],[Name]])</f>
        <v>(Fields) OrderItemServiceUser/JobStartForm/start_at</v>
      </c>
      <c r="P278" s="6">
        <f ca="1">IFERROR(VLOOKUP(IDNMaps[[#This Row],[Primary]],INDIRECT(VLOOKUP(IDNMaps[[#This Row],[Type]],RecordCount[],2,0)),VLOOKUP(IDNMaps[[#This Row],[Type]],RecordCount[],8,0),0),"")</f>
        <v>2111186</v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9" s="6">
        <f ca="1">IF(IDNMaps[[#This Row],[Type]]="","",COUNTIF($K$1:IDNMaps[[#This Row],[Type]],IDNMaps[[#This Row],[Type]]))</f>
        <v>87</v>
      </c>
      <c r="M279" s="6" t="str">
        <f ca="1">IFERROR(VLOOKUP(IDNMaps[[#This Row],[Type]],RecordCount[],6,0)&amp;"-"&amp;IDNMaps[[#This Row],[Type Count]],"")</f>
        <v>Form Fields-87</v>
      </c>
      <c r="N279" s="6" t="str">
        <f ca="1">IFERROR(VLOOKUP(IDNMaps[[#This Row],[Primary]],INDIRECT(VLOOKUP(IDNMaps[[#This Row],[Type]],RecordCount[],2,0)),VLOOKUP(IDNMaps[[#This Row],[Type]],RecordCount[],7,0),0),"")</f>
        <v>OrderItemServiceUser/FinishJobForm/end_at</v>
      </c>
      <c r="O279" s="6" t="str">
        <f ca="1">IF(IDNMaps[[#This Row],[Name]]="","","("&amp;IDNMaps[[#This Row],[Type]]&amp;") "&amp;IDNMaps[[#This Row],[Name]])</f>
        <v>(Fields) OrderItemServiceUser/FinishJobForm/end_at</v>
      </c>
      <c r="P279" s="6">
        <f ca="1">IFERROR(VLOOKUP(IDNMaps[[#This Row],[Primary]],INDIRECT(VLOOKUP(IDNMaps[[#This Row],[Type]],RecordCount[],2,0)),VLOOKUP(IDNMaps[[#This Row],[Type]],RecordCount[],8,0),0),"")</f>
        <v>2111187</v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66"/>
  <sheetViews>
    <sheetView workbookViewId="0">
      <selection activeCell="A14" sqref="A14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>
      <c r="A2" s="1" t="s">
        <v>21</v>
      </c>
      <c r="B2" s="1" t="s">
        <v>891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23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23</v>
      </c>
    </row>
    <row r="5" spans="1:10">
      <c r="A5" s="62" t="s">
        <v>23</v>
      </c>
      <c r="B5" s="62" t="s">
        <v>794</v>
      </c>
      <c r="C5" s="62" t="s">
        <v>23</v>
      </c>
      <c r="D5" s="62">
        <v>128</v>
      </c>
      <c r="E5" s="62" t="s">
        <v>795</v>
      </c>
      <c r="F5" s="62"/>
      <c r="G5" s="62"/>
      <c r="H5" s="62"/>
      <c r="I5" s="62"/>
      <c r="J5" s="67">
        <f>COUNTIF(TableFields[Field],Columns[[#This Row],[Column]])</f>
        <v>6</v>
      </c>
    </row>
    <row r="6" spans="1:10">
      <c r="A6" s="62" t="s">
        <v>850</v>
      </c>
      <c r="B6" s="62" t="s">
        <v>794</v>
      </c>
      <c r="C6" s="62" t="s">
        <v>850</v>
      </c>
      <c r="D6" s="62">
        <v>16</v>
      </c>
      <c r="E6" s="62" t="s">
        <v>795</v>
      </c>
      <c r="F6" s="62" t="s">
        <v>797</v>
      </c>
      <c r="G6" s="62"/>
      <c r="H6" s="62"/>
      <c r="I6" s="62"/>
      <c r="J6" s="67">
        <f>COUNTIF(TableFields[Field],Columns[[#This Row],[Column]])</f>
        <v>1</v>
      </c>
    </row>
    <row r="7" spans="1:10">
      <c r="A7" s="62" t="s">
        <v>796</v>
      </c>
      <c r="B7" s="62" t="s">
        <v>794</v>
      </c>
      <c r="C7" s="62" t="s">
        <v>796</v>
      </c>
      <c r="D7" s="62">
        <v>1024</v>
      </c>
      <c r="E7" s="62" t="s">
        <v>797</v>
      </c>
      <c r="F7" s="62"/>
      <c r="G7" s="62"/>
      <c r="H7" s="62"/>
      <c r="I7" s="62"/>
      <c r="J7" s="67">
        <f>COUNTIF(TableFields[Field],Columns[[#This Row],[Column]])</f>
        <v>2</v>
      </c>
    </row>
    <row r="8" spans="1:10">
      <c r="A8" s="62" t="s">
        <v>24</v>
      </c>
      <c r="B8" s="62" t="s">
        <v>794</v>
      </c>
      <c r="C8" s="62" t="s">
        <v>24</v>
      </c>
      <c r="D8" s="62">
        <v>1024</v>
      </c>
      <c r="E8" s="62" t="s">
        <v>797</v>
      </c>
      <c r="F8" s="62"/>
      <c r="G8" s="62"/>
      <c r="H8" s="62"/>
      <c r="I8" s="62"/>
      <c r="J8" s="67">
        <f>COUNTIF(TableFields[Field],Columns[[#This Row],[Column]])</f>
        <v>3</v>
      </c>
    </row>
    <row r="9" spans="1:10">
      <c r="A9" s="62" t="s">
        <v>798</v>
      </c>
      <c r="B9" s="62" t="s">
        <v>794</v>
      </c>
      <c r="C9" s="62" t="s">
        <v>798</v>
      </c>
      <c r="D9" s="60">
        <v>512</v>
      </c>
      <c r="E9" s="62" t="s">
        <v>797</v>
      </c>
      <c r="F9" s="60"/>
      <c r="G9" s="62"/>
      <c r="H9" s="62"/>
      <c r="I9" s="62"/>
      <c r="J9" s="67">
        <f>COUNTIF(TableFields[Field],Columns[[#This Row],[Column]])</f>
        <v>1</v>
      </c>
    </row>
    <row r="10" spans="1:10">
      <c r="A10" s="62" t="s">
        <v>799</v>
      </c>
      <c r="B10" s="62" t="s">
        <v>794</v>
      </c>
      <c r="C10" s="62" t="s">
        <v>799</v>
      </c>
      <c r="D10" s="62">
        <v>64</v>
      </c>
      <c r="E10" s="62" t="s">
        <v>797</v>
      </c>
      <c r="F10" s="62"/>
      <c r="G10" s="62"/>
      <c r="H10" s="62"/>
      <c r="I10" s="62"/>
      <c r="J10" s="67">
        <f>COUNTIF(TableFields[Field],Columns[[#This Row],[Column]])</f>
        <v>2</v>
      </c>
    </row>
    <row r="11" spans="1:10">
      <c r="A11" s="62" t="s">
        <v>800</v>
      </c>
      <c r="B11" s="62" t="s">
        <v>794</v>
      </c>
      <c r="C11" s="62" t="s">
        <v>800</v>
      </c>
      <c r="D11" s="62">
        <v>256</v>
      </c>
      <c r="E11" s="62" t="s">
        <v>797</v>
      </c>
      <c r="F11" s="62"/>
      <c r="G11" s="62"/>
      <c r="H11" s="62"/>
      <c r="I11" s="62"/>
      <c r="J11" s="67">
        <f>COUNTIF(TableFields[Field],Columns[[#This Row],[Column]])</f>
        <v>1</v>
      </c>
    </row>
    <row r="12" spans="1:10">
      <c r="A12" s="62" t="s">
        <v>801</v>
      </c>
      <c r="B12" s="62" t="s">
        <v>794</v>
      </c>
      <c r="C12" s="62" t="s">
        <v>801</v>
      </c>
      <c r="D12" s="62">
        <v>512</v>
      </c>
      <c r="E12" s="62" t="s">
        <v>797</v>
      </c>
      <c r="F12" s="62"/>
      <c r="G12" s="62"/>
      <c r="H12" s="62"/>
      <c r="I12" s="62"/>
      <c r="J12" s="67">
        <f>COUNTIF(TableFields[Field],Columns[[#This Row],[Column]])</f>
        <v>1</v>
      </c>
    </row>
    <row r="13" spans="1:10">
      <c r="A13" s="62" t="s">
        <v>802</v>
      </c>
      <c r="B13" s="62" t="s">
        <v>803</v>
      </c>
      <c r="C13" s="62" t="s">
        <v>804</v>
      </c>
      <c r="D13" s="62" t="s">
        <v>805</v>
      </c>
      <c r="E13" s="62" t="s">
        <v>797</v>
      </c>
      <c r="F13" s="62" t="s">
        <v>806</v>
      </c>
      <c r="G13" s="60"/>
      <c r="H13" s="60"/>
      <c r="I13" s="60"/>
      <c r="J13" s="66">
        <f>COUNTIF(TableFields[Field],Columns[[#This Row],[Column]])</f>
        <v>16</v>
      </c>
    </row>
    <row r="14" spans="1:10">
      <c r="A14" s="62" t="s">
        <v>2074</v>
      </c>
      <c r="B14" s="62" t="s">
        <v>2075</v>
      </c>
      <c r="C14" s="62" t="s">
        <v>2074</v>
      </c>
      <c r="D14" s="62"/>
      <c r="E14" s="62" t="s">
        <v>2076</v>
      </c>
      <c r="F14" s="62"/>
      <c r="G14" s="60"/>
      <c r="H14" s="60"/>
      <c r="I14" s="60"/>
      <c r="J14" s="66">
        <f>COUNTIF(TableFields[Field],Columns[[#This Row],[Column]])</f>
        <v>1</v>
      </c>
    </row>
    <row r="15" spans="1:10">
      <c r="A15" s="62" t="s">
        <v>827</v>
      </c>
      <c r="B15" s="62" t="s">
        <v>827</v>
      </c>
      <c r="C15" s="62" t="s">
        <v>827</v>
      </c>
      <c r="D15" s="62"/>
      <c r="E15" s="62" t="s">
        <v>797</v>
      </c>
      <c r="F15" s="62"/>
      <c r="G15" s="60"/>
      <c r="H15" s="60"/>
      <c r="I15" s="60"/>
      <c r="J15" s="66">
        <f>COUNTIF(TableFields[Field],Columns[[#This Row],[Column]])</f>
        <v>5</v>
      </c>
    </row>
    <row r="16" spans="1:10">
      <c r="A16" s="62" t="s">
        <v>826</v>
      </c>
      <c r="B16" s="62" t="s">
        <v>857</v>
      </c>
      <c r="C16" s="62" t="s">
        <v>827</v>
      </c>
      <c r="D16" s="62"/>
      <c r="E16" s="62" t="s">
        <v>797</v>
      </c>
      <c r="F16" s="62" t="s">
        <v>859</v>
      </c>
      <c r="G16" s="60"/>
      <c r="H16" s="60"/>
      <c r="I16" s="60"/>
      <c r="J16" s="66">
        <f>COUNTIF(TableFields[Field],Columns[[#This Row],[Column]])</f>
        <v>0</v>
      </c>
    </row>
    <row r="17" spans="1:10">
      <c r="A17" s="62" t="s">
        <v>851</v>
      </c>
      <c r="B17" s="62" t="s">
        <v>827</v>
      </c>
      <c r="C17" s="62" t="s">
        <v>852</v>
      </c>
      <c r="D17" s="62"/>
      <c r="E17" s="62" t="s">
        <v>797</v>
      </c>
      <c r="F17" s="60"/>
      <c r="G17" s="60"/>
      <c r="H17" s="60"/>
      <c r="I17" s="60"/>
      <c r="J17" s="66">
        <f>COUNTIF(TableFields[Field],Columns[[#This Row],[Column]])</f>
        <v>1</v>
      </c>
    </row>
    <row r="18" spans="1:10">
      <c r="A18" s="62" t="s">
        <v>847</v>
      </c>
      <c r="B18" s="62" t="s">
        <v>848</v>
      </c>
      <c r="C18" s="62" t="s">
        <v>847</v>
      </c>
      <c r="D18" s="62" t="s">
        <v>892</v>
      </c>
      <c r="E18" s="62" t="s">
        <v>797</v>
      </c>
      <c r="F18" s="62" t="s">
        <v>849</v>
      </c>
      <c r="G18" s="60"/>
      <c r="H18" s="60"/>
      <c r="I18" s="60"/>
      <c r="J18" s="66">
        <f>COUNTIF(TableFields[Field],Columns[[#This Row],[Column]])</f>
        <v>2</v>
      </c>
    </row>
    <row r="19" spans="1:10">
      <c r="A19" s="62" t="s">
        <v>871</v>
      </c>
      <c r="B19" s="62" t="s">
        <v>848</v>
      </c>
      <c r="C19" s="62" t="s">
        <v>871</v>
      </c>
      <c r="D19" s="62" t="s">
        <v>892</v>
      </c>
      <c r="E19" s="62" t="s">
        <v>797</v>
      </c>
      <c r="F19" s="62" t="s">
        <v>849</v>
      </c>
      <c r="G19" s="60"/>
      <c r="H19" s="60"/>
      <c r="I19" s="60"/>
      <c r="J19" s="66">
        <f>COUNTIF(TableFields[Field],Columns[[#This Row],[Column]])</f>
        <v>1</v>
      </c>
    </row>
    <row r="20" spans="1:10">
      <c r="A20" s="62" t="s">
        <v>858</v>
      </c>
      <c r="B20" s="62" t="s">
        <v>870</v>
      </c>
      <c r="C20" s="62" t="s">
        <v>858</v>
      </c>
      <c r="D20" s="62"/>
      <c r="E20" s="62" t="s">
        <v>797</v>
      </c>
      <c r="F20" s="62" t="s">
        <v>849</v>
      </c>
      <c r="G20" s="60"/>
      <c r="H20" s="60"/>
      <c r="I20" s="60"/>
      <c r="J20" s="66">
        <f>COUNTIF(TableFields[Field],Columns[[#This Row],[Column]])</f>
        <v>1</v>
      </c>
    </row>
    <row r="21" spans="1:10">
      <c r="A21" s="62" t="s">
        <v>1000</v>
      </c>
      <c r="B21" s="62" t="s">
        <v>870</v>
      </c>
      <c r="C21" s="62" t="s">
        <v>853</v>
      </c>
      <c r="D21" s="62"/>
      <c r="E21" s="62" t="s">
        <v>795</v>
      </c>
      <c r="F21" s="62" t="s">
        <v>797</v>
      </c>
      <c r="G21" s="60"/>
      <c r="H21" s="60"/>
      <c r="I21" s="60"/>
      <c r="J21" s="66">
        <f>COUNTIF(TableFields[Field],Columns[[#This Row],[Column]])</f>
        <v>1</v>
      </c>
    </row>
    <row r="22" spans="1:10">
      <c r="A22" s="62" t="s">
        <v>862</v>
      </c>
      <c r="B22" s="62" t="s">
        <v>870</v>
      </c>
      <c r="C22" s="62" t="s">
        <v>863</v>
      </c>
      <c r="D22" s="62"/>
      <c r="E22" s="62"/>
      <c r="F22" s="62" t="s">
        <v>849</v>
      </c>
      <c r="G22" s="60"/>
      <c r="H22" s="60"/>
      <c r="I22" s="60"/>
      <c r="J22" s="66">
        <f>COUNTIF(TableFields[Field],Columns[[#This Row],[Column]])</f>
        <v>1</v>
      </c>
    </row>
    <row r="23" spans="1:10">
      <c r="A23" s="62" t="s">
        <v>864</v>
      </c>
      <c r="B23" s="62" t="s">
        <v>870</v>
      </c>
      <c r="C23" s="62" t="s">
        <v>865</v>
      </c>
      <c r="D23" s="62"/>
      <c r="E23" s="62"/>
      <c r="F23" s="62" t="s">
        <v>849</v>
      </c>
      <c r="G23" s="60"/>
      <c r="H23" s="60"/>
      <c r="I23" s="60"/>
      <c r="J23" s="66">
        <f>COUNTIF(TableFields[Field],Columns[[#This Row],[Column]])</f>
        <v>1</v>
      </c>
    </row>
    <row r="24" spans="1:10">
      <c r="A24" s="62" t="s">
        <v>867</v>
      </c>
      <c r="B24" s="62" t="s">
        <v>870</v>
      </c>
      <c r="C24" s="62" t="s">
        <v>868</v>
      </c>
      <c r="D24" s="62"/>
      <c r="E24" s="62"/>
      <c r="F24" s="62" t="s">
        <v>849</v>
      </c>
      <c r="G24" s="60"/>
      <c r="H24" s="60"/>
      <c r="I24" s="60"/>
      <c r="J24" s="66">
        <f>COUNTIF(TableFields[Field],Columns[[#This Row],[Column]])</f>
        <v>1</v>
      </c>
    </row>
    <row r="25" spans="1:10">
      <c r="A25" s="62" t="s">
        <v>866</v>
      </c>
      <c r="B25" s="62" t="s">
        <v>870</v>
      </c>
      <c r="C25" s="62" t="s">
        <v>869</v>
      </c>
      <c r="D25" s="62"/>
      <c r="E25" s="62"/>
      <c r="F25" s="62" t="s">
        <v>849</v>
      </c>
      <c r="G25" s="60"/>
      <c r="H25" s="60"/>
      <c r="I25" s="60"/>
      <c r="J25" s="66">
        <f>COUNTIF(TableFields[Field],Columns[[#This Row],[Column]])</f>
        <v>1</v>
      </c>
    </row>
    <row r="26" spans="1:10">
      <c r="A26" s="62" t="s">
        <v>1018</v>
      </c>
      <c r="B26" s="62" t="s">
        <v>803</v>
      </c>
      <c r="C26" s="62" t="s">
        <v>804</v>
      </c>
      <c r="D26" s="62" t="s">
        <v>880</v>
      </c>
      <c r="E26" s="62" t="s">
        <v>797</v>
      </c>
      <c r="F26" s="62" t="s">
        <v>879</v>
      </c>
      <c r="G26" s="60"/>
      <c r="H26" s="60"/>
      <c r="I26" s="60"/>
      <c r="J26" s="66">
        <f>COUNTIF(TableFields[Field],Columns[[#This Row],[Column]])</f>
        <v>1</v>
      </c>
    </row>
    <row r="27" spans="1:10">
      <c r="A27" s="62" t="s">
        <v>881</v>
      </c>
      <c r="B27" s="62" t="s">
        <v>803</v>
      </c>
      <c r="C27" s="62" t="s">
        <v>882</v>
      </c>
      <c r="D27" s="62" t="s">
        <v>883</v>
      </c>
      <c r="E27" s="62" t="s">
        <v>797</v>
      </c>
      <c r="F27" s="62" t="s">
        <v>884</v>
      </c>
      <c r="G27" s="60"/>
      <c r="H27" s="60"/>
      <c r="I27" s="60"/>
      <c r="J27" s="66">
        <f>COUNTIF(TableFields[Field],Columns[[#This Row],[Column]])</f>
        <v>0</v>
      </c>
    </row>
    <row r="28" spans="1:10">
      <c r="A28" s="62" t="s">
        <v>872</v>
      </c>
      <c r="B28" s="62" t="s">
        <v>808</v>
      </c>
      <c r="C28" s="62" t="s">
        <v>874</v>
      </c>
      <c r="D28" s="62" t="s">
        <v>759</v>
      </c>
      <c r="E28" s="62"/>
      <c r="F28" s="62"/>
      <c r="G28" s="60"/>
      <c r="H28" s="60"/>
      <c r="I28" s="60"/>
      <c r="J28" s="66">
        <f>COUNTIF(TableFields[Field],Columns[[#This Row],[Column]])</f>
        <v>1</v>
      </c>
    </row>
    <row r="29" spans="1:10">
      <c r="A29" s="62" t="s">
        <v>873</v>
      </c>
      <c r="B29" s="62" t="s">
        <v>808</v>
      </c>
      <c r="C29" s="62" t="s">
        <v>875</v>
      </c>
      <c r="D29" s="62" t="s">
        <v>759</v>
      </c>
      <c r="E29" s="62"/>
      <c r="F29" s="62"/>
      <c r="G29" s="60"/>
      <c r="H29" s="60"/>
      <c r="I29" s="60"/>
      <c r="J29" s="66">
        <f>COUNTIF(TableFields[Field],Columns[[#This Row],[Column]])</f>
        <v>1</v>
      </c>
    </row>
    <row r="30" spans="1:10">
      <c r="A30" s="62" t="s">
        <v>860</v>
      </c>
      <c r="B30" s="62" t="s">
        <v>808</v>
      </c>
      <c r="C30" s="62" t="s">
        <v>861</v>
      </c>
      <c r="D30" s="62" t="s">
        <v>75</v>
      </c>
      <c r="E30" s="62"/>
      <c r="F30" s="62"/>
      <c r="G30" s="60"/>
      <c r="H30" s="60"/>
      <c r="I30" s="60"/>
      <c r="J30" s="66">
        <f>COUNTIF(TableFields[Field],Columns[[#This Row],[Column]])</f>
        <v>1</v>
      </c>
    </row>
    <row r="31" spans="1:10">
      <c r="A31" s="62" t="s">
        <v>854</v>
      </c>
      <c r="B31" s="62" t="s">
        <v>808</v>
      </c>
      <c r="C31" s="62" t="s">
        <v>853</v>
      </c>
      <c r="D31" s="62" t="s">
        <v>769</v>
      </c>
      <c r="E31" s="62"/>
      <c r="F31" s="62"/>
      <c r="G31" s="60"/>
      <c r="H31" s="60"/>
      <c r="I31" s="60"/>
      <c r="J31" s="66">
        <f>COUNTIF(TableFields[Field],Columns[[#This Row],[Column]])</f>
        <v>0</v>
      </c>
    </row>
    <row r="32" spans="1:10">
      <c r="A32" s="62" t="s">
        <v>855</v>
      </c>
      <c r="B32" s="62" t="s">
        <v>808</v>
      </c>
      <c r="C32" s="62" t="s">
        <v>856</v>
      </c>
      <c r="D32" s="62" t="s">
        <v>771</v>
      </c>
      <c r="E32" s="62"/>
      <c r="F32" s="62"/>
      <c r="G32" s="60"/>
      <c r="H32" s="60"/>
      <c r="I32" s="60"/>
      <c r="J32" s="66">
        <f>COUNTIF(TableFields[Field],Columns[[#This Row],[Column]])</f>
        <v>0</v>
      </c>
    </row>
    <row r="33" spans="1:10">
      <c r="A33" s="62" t="s">
        <v>824</v>
      </c>
      <c r="B33" s="62" t="s">
        <v>808</v>
      </c>
      <c r="C33" s="62" t="s">
        <v>64</v>
      </c>
      <c r="D33" s="62" t="s">
        <v>75</v>
      </c>
      <c r="E33" s="62"/>
      <c r="F33" s="62"/>
      <c r="G33" s="62"/>
      <c r="H33" s="62"/>
      <c r="I33" s="62"/>
      <c r="J33" s="67">
        <f>COUNTIF(TableFields[Field],Columns[[#This Row],[Column]])</f>
        <v>4</v>
      </c>
    </row>
    <row r="34" spans="1:10">
      <c r="A34" s="62" t="s">
        <v>825</v>
      </c>
      <c r="B34" s="62" t="s">
        <v>811</v>
      </c>
      <c r="C34" s="62" t="s">
        <v>64</v>
      </c>
      <c r="D34" s="62" t="s">
        <v>75</v>
      </c>
      <c r="E34" s="62"/>
      <c r="F34" s="62"/>
      <c r="G34" s="62"/>
      <c r="H34" s="62"/>
      <c r="I34" s="62"/>
      <c r="J34" s="67">
        <f>COUNTIF(TableFields[Field],Columns[[#This Row],[Column]])</f>
        <v>2</v>
      </c>
    </row>
    <row r="35" spans="1:10">
      <c r="A35" s="62" t="s">
        <v>828</v>
      </c>
      <c r="B35" s="62" t="s">
        <v>808</v>
      </c>
      <c r="C35" s="62" t="s">
        <v>830</v>
      </c>
      <c r="D35" s="62" t="s">
        <v>75</v>
      </c>
      <c r="E35" s="62"/>
      <c r="F35" s="62"/>
      <c r="G35" s="62"/>
      <c r="H35" s="62"/>
      <c r="I35" s="62"/>
      <c r="J35" s="67">
        <f>COUNTIF(TableFields[Field],Columns[[#This Row],[Column]])</f>
        <v>2</v>
      </c>
    </row>
    <row r="36" spans="1:10">
      <c r="A36" s="62" t="s">
        <v>829</v>
      </c>
      <c r="B36" s="62" t="s">
        <v>811</v>
      </c>
      <c r="C36" s="62" t="s">
        <v>830</v>
      </c>
      <c r="D36" s="62" t="s">
        <v>75</v>
      </c>
      <c r="E36" s="62"/>
      <c r="F36" s="62"/>
      <c r="G36" s="62"/>
      <c r="H36" s="62"/>
      <c r="I36" s="62"/>
      <c r="J36" s="67">
        <f>COUNTIF(TableFields[Field],Columns[[#This Row],[Column]])</f>
        <v>1</v>
      </c>
    </row>
    <row r="37" spans="1:10">
      <c r="A37" s="62" t="s">
        <v>807</v>
      </c>
      <c r="B37" s="62" t="s">
        <v>808</v>
      </c>
      <c r="C37" s="62" t="s">
        <v>809</v>
      </c>
      <c r="D37" s="62" t="s">
        <v>759</v>
      </c>
      <c r="E37" s="60"/>
      <c r="F37" s="60"/>
      <c r="G37" s="60"/>
      <c r="H37" s="60"/>
      <c r="I37" s="60"/>
      <c r="J37" s="66">
        <f>COUNTIF(TableFields[Field],Columns[[#This Row],[Column]])</f>
        <v>4</v>
      </c>
    </row>
    <row r="38" spans="1:10">
      <c r="A38" s="62" t="s">
        <v>810</v>
      </c>
      <c r="B38" s="62" t="s">
        <v>811</v>
      </c>
      <c r="C38" s="62" t="s">
        <v>809</v>
      </c>
      <c r="D38" s="62" t="s">
        <v>759</v>
      </c>
      <c r="E38" s="62"/>
      <c r="F38" s="62"/>
      <c r="G38" s="62"/>
      <c r="H38" s="62"/>
      <c r="I38" s="62"/>
      <c r="J38" s="67">
        <f>COUNTIF(TableFields[Field],Columns[[#This Row],[Column]])</f>
        <v>3</v>
      </c>
    </row>
    <row r="39" spans="1:10">
      <c r="A39" s="62" t="s">
        <v>812</v>
      </c>
      <c r="B39" s="62" t="s">
        <v>808</v>
      </c>
      <c r="C39" s="62" t="s">
        <v>814</v>
      </c>
      <c r="D39" s="62" t="s">
        <v>760</v>
      </c>
      <c r="E39" s="60"/>
      <c r="F39" s="60"/>
      <c r="G39" s="60"/>
      <c r="H39" s="60"/>
      <c r="I39" s="60"/>
      <c r="J39" s="66">
        <f>COUNTIF(TableFields[Field],Columns[[#This Row],[Column]])</f>
        <v>1</v>
      </c>
    </row>
    <row r="40" spans="1:10">
      <c r="A40" s="62" t="s">
        <v>813</v>
      </c>
      <c r="B40" s="62" t="s">
        <v>811</v>
      </c>
      <c r="C40" s="62" t="s">
        <v>814</v>
      </c>
      <c r="D40" s="62" t="s">
        <v>760</v>
      </c>
      <c r="E40" s="62"/>
      <c r="F40" s="62"/>
      <c r="G40" s="62"/>
      <c r="H40" s="62"/>
      <c r="I40" s="62"/>
      <c r="J40" s="67">
        <f>COUNTIF(TableFields[Field],Columns[[#This Row],[Column]])</f>
        <v>3</v>
      </c>
    </row>
    <row r="41" spans="1:10">
      <c r="A41" s="62" t="s">
        <v>815</v>
      </c>
      <c r="B41" s="62" t="s">
        <v>808</v>
      </c>
      <c r="C41" s="62" t="s">
        <v>817</v>
      </c>
      <c r="D41" s="62" t="s">
        <v>761</v>
      </c>
      <c r="E41" s="60"/>
      <c r="F41" s="60"/>
      <c r="G41" s="60"/>
      <c r="H41" s="60"/>
      <c r="I41" s="60"/>
      <c r="J41" s="66">
        <f>COUNTIF(TableFields[Field],Columns[[#This Row],[Column]])</f>
        <v>2</v>
      </c>
    </row>
    <row r="42" spans="1:10">
      <c r="A42" s="62" t="s">
        <v>816</v>
      </c>
      <c r="B42" s="62" t="s">
        <v>811</v>
      </c>
      <c r="C42" s="62" t="s">
        <v>817</v>
      </c>
      <c r="D42" s="62" t="s">
        <v>761</v>
      </c>
      <c r="E42" s="62"/>
      <c r="F42" s="62"/>
      <c r="G42" s="62"/>
      <c r="H42" s="62"/>
      <c r="I42" s="62"/>
      <c r="J42" s="67">
        <f>COUNTIF(TableFields[Field],Columns[[#This Row],[Column]])</f>
        <v>1</v>
      </c>
    </row>
    <row r="43" spans="1:10">
      <c r="A43" s="62" t="s">
        <v>818</v>
      </c>
      <c r="B43" s="62" t="s">
        <v>808</v>
      </c>
      <c r="C43" s="62" t="s">
        <v>820</v>
      </c>
      <c r="D43" s="62" t="s">
        <v>763</v>
      </c>
      <c r="E43" s="60"/>
      <c r="F43" s="60"/>
      <c r="G43" s="60"/>
      <c r="H43" s="60"/>
      <c r="I43" s="60"/>
      <c r="J43" s="66">
        <f>COUNTIF(TableFields[Field],Columns[[#This Row],[Column]])</f>
        <v>1</v>
      </c>
    </row>
    <row r="44" spans="1:10">
      <c r="A44" s="62" t="s">
        <v>819</v>
      </c>
      <c r="B44" s="62" t="s">
        <v>811</v>
      </c>
      <c r="C44" s="62" t="s">
        <v>820</v>
      </c>
      <c r="D44" s="62" t="s">
        <v>763</v>
      </c>
      <c r="E44" s="62"/>
      <c r="F44" s="62"/>
      <c r="G44" s="62"/>
      <c r="H44" s="62"/>
      <c r="I44" s="62"/>
      <c r="J44" s="67">
        <f>COUNTIF(TableFields[Field],Columns[[#This Row],[Column]])</f>
        <v>1</v>
      </c>
    </row>
    <row r="45" spans="1:10">
      <c r="A45" s="62" t="s">
        <v>821</v>
      </c>
      <c r="B45" s="62" t="s">
        <v>808</v>
      </c>
      <c r="C45" s="62" t="s">
        <v>823</v>
      </c>
      <c r="D45" s="62" t="s">
        <v>762</v>
      </c>
      <c r="E45" s="60"/>
      <c r="F45" s="60"/>
      <c r="G45" s="60"/>
      <c r="H45" s="60"/>
      <c r="I45" s="60"/>
      <c r="J45" s="66">
        <f>COUNTIF(TableFields[Field],Columns[[#This Row],[Column]])</f>
        <v>0</v>
      </c>
    </row>
    <row r="46" spans="1:10">
      <c r="A46" s="62" t="s">
        <v>822</v>
      </c>
      <c r="B46" s="62" t="s">
        <v>811</v>
      </c>
      <c r="C46" s="62" t="s">
        <v>823</v>
      </c>
      <c r="D46" s="62" t="s">
        <v>762</v>
      </c>
      <c r="E46" s="60"/>
      <c r="F46" s="60"/>
      <c r="G46" s="60"/>
      <c r="H46" s="60"/>
      <c r="I46" s="60"/>
      <c r="J46" s="66">
        <f>COUNTIF(TableFields[Field],Columns[[#This Row],[Column]])</f>
        <v>1</v>
      </c>
    </row>
    <row r="47" spans="1:10">
      <c r="A47" s="62" t="s">
        <v>834</v>
      </c>
      <c r="B47" s="62" t="s">
        <v>808</v>
      </c>
      <c r="C47" s="62" t="s">
        <v>95</v>
      </c>
      <c r="D47" s="62" t="s">
        <v>770</v>
      </c>
      <c r="E47" s="60"/>
      <c r="F47" s="60"/>
      <c r="G47" s="60"/>
      <c r="H47" s="60"/>
      <c r="I47" s="60"/>
      <c r="J47" s="66">
        <f>COUNTIF(TableFields[Field],Columns[[#This Row],[Column]])</f>
        <v>1</v>
      </c>
    </row>
    <row r="48" spans="1:10">
      <c r="A48" s="62" t="s">
        <v>835</v>
      </c>
      <c r="B48" s="62" t="s">
        <v>811</v>
      </c>
      <c r="C48" s="62" t="s">
        <v>95</v>
      </c>
      <c r="D48" s="62" t="s">
        <v>770</v>
      </c>
      <c r="E48" s="60"/>
      <c r="F48" s="60"/>
      <c r="G48" s="60"/>
      <c r="H48" s="60"/>
      <c r="I48" s="60"/>
      <c r="J48" s="66">
        <f>COUNTIF(TableFields[Field],Columns[[#This Row],[Column]])</f>
        <v>0</v>
      </c>
    </row>
    <row r="49" spans="1:10">
      <c r="A49" s="62" t="s">
        <v>832</v>
      </c>
      <c r="B49" s="62" t="s">
        <v>808</v>
      </c>
      <c r="C49" s="62" t="s">
        <v>833</v>
      </c>
      <c r="D49" s="62" t="s">
        <v>768</v>
      </c>
      <c r="E49" s="62"/>
      <c r="F49" s="62"/>
      <c r="G49" s="62"/>
      <c r="H49" s="62"/>
      <c r="I49" s="62"/>
      <c r="J49" s="67">
        <f>COUNTIF(TableFields[Field],Columns[[#This Row],[Column]])</f>
        <v>1</v>
      </c>
    </row>
    <row r="50" spans="1:10">
      <c r="A50" s="62" t="s">
        <v>831</v>
      </c>
      <c r="B50" s="62" t="s">
        <v>811</v>
      </c>
      <c r="C50" s="62" t="s">
        <v>833</v>
      </c>
      <c r="D50" s="62" t="s">
        <v>768</v>
      </c>
      <c r="E50" s="62"/>
      <c r="F50" s="62"/>
      <c r="G50" s="62"/>
      <c r="H50" s="62"/>
      <c r="I50" s="62"/>
      <c r="J50" s="67">
        <f>COUNTIF(TableFields[Field],Columns[[#This Row],[Column]])</f>
        <v>2</v>
      </c>
    </row>
    <row r="51" spans="1:10">
      <c r="A51" s="62" t="s">
        <v>836</v>
      </c>
      <c r="B51" s="62" t="s">
        <v>808</v>
      </c>
      <c r="C51" s="62" t="s">
        <v>838</v>
      </c>
      <c r="D51" s="62" t="s">
        <v>769</v>
      </c>
      <c r="E51" s="62"/>
      <c r="F51" s="62"/>
      <c r="G51" s="62"/>
      <c r="H51" s="62"/>
      <c r="I51" s="62"/>
      <c r="J51" s="67">
        <f>COUNTIF(TableFields[Field],Columns[[#This Row],[Column]])</f>
        <v>0</v>
      </c>
    </row>
    <row r="52" spans="1:10">
      <c r="A52" s="62" t="s">
        <v>837</v>
      </c>
      <c r="B52" s="62" t="s">
        <v>811</v>
      </c>
      <c r="C52" s="62" t="s">
        <v>838</v>
      </c>
      <c r="D52" s="62" t="s">
        <v>769</v>
      </c>
      <c r="E52" s="62"/>
      <c r="F52" s="62"/>
      <c r="G52" s="62"/>
      <c r="H52" s="62"/>
      <c r="I52" s="62"/>
      <c r="J52" s="67">
        <f>COUNTIF(TableFields[Field],Columns[[#This Row],[Column]])</f>
        <v>3</v>
      </c>
    </row>
    <row r="53" spans="1:10">
      <c r="A53" s="62" t="s">
        <v>839</v>
      </c>
      <c r="B53" s="62" t="s">
        <v>808</v>
      </c>
      <c r="C53" s="62" t="s">
        <v>841</v>
      </c>
      <c r="D53" s="62" t="s">
        <v>771</v>
      </c>
      <c r="E53" s="62"/>
      <c r="F53" s="62"/>
      <c r="G53" s="62"/>
      <c r="H53" s="62"/>
      <c r="I53" s="62"/>
      <c r="J53" s="67">
        <f>COUNTIF(TableFields[Field],Columns[[#This Row],[Column]])</f>
        <v>1</v>
      </c>
    </row>
    <row r="54" spans="1:10">
      <c r="A54" s="62" t="s">
        <v>840</v>
      </c>
      <c r="B54" s="62" t="s">
        <v>811</v>
      </c>
      <c r="C54" s="62" t="s">
        <v>841</v>
      </c>
      <c r="D54" s="62" t="s">
        <v>771</v>
      </c>
      <c r="E54" s="62"/>
      <c r="F54" s="62"/>
      <c r="G54" s="62"/>
      <c r="H54" s="62"/>
      <c r="I54" s="62"/>
      <c r="J54" s="67">
        <f>COUNTIF(TableFields[Field],Columns[[#This Row],[Column]])</f>
        <v>1</v>
      </c>
    </row>
    <row r="55" spans="1:10">
      <c r="A55" s="62" t="s">
        <v>844</v>
      </c>
      <c r="B55" s="62" t="s">
        <v>808</v>
      </c>
      <c r="C55" s="62" t="s">
        <v>846</v>
      </c>
      <c r="D55" s="62" t="s">
        <v>842</v>
      </c>
      <c r="E55" s="62"/>
      <c r="F55" s="62"/>
      <c r="G55" s="62"/>
      <c r="H55" s="62"/>
      <c r="I55" s="62"/>
      <c r="J55" s="67">
        <f>COUNTIF(TableFields[Field],Columns[[#This Row],[Column]])</f>
        <v>1</v>
      </c>
    </row>
    <row r="56" spans="1:10">
      <c r="A56" s="62" t="s">
        <v>845</v>
      </c>
      <c r="B56" s="62" t="s">
        <v>811</v>
      </c>
      <c r="C56" s="62" t="s">
        <v>846</v>
      </c>
      <c r="D56" s="62" t="s">
        <v>842</v>
      </c>
      <c r="E56" s="62"/>
      <c r="F56" s="62"/>
      <c r="G56" s="62"/>
      <c r="H56" s="62"/>
      <c r="I56" s="62"/>
      <c r="J56" s="67">
        <f>COUNTIF(TableFields[Field],Columns[[#This Row],[Column]])</f>
        <v>1</v>
      </c>
    </row>
    <row r="57" spans="1:10">
      <c r="A57" s="62" t="s">
        <v>1016</v>
      </c>
      <c r="B57" s="62" t="s">
        <v>808</v>
      </c>
      <c r="C57" s="62" t="s">
        <v>1015</v>
      </c>
      <c r="D57" s="62" t="s">
        <v>1015</v>
      </c>
      <c r="E57" s="62"/>
      <c r="F57" s="62"/>
      <c r="G57" s="62"/>
      <c r="H57" s="62"/>
      <c r="I57" s="62"/>
      <c r="J57" s="67">
        <f>COUNTIF(TableFields[Field],Columns[[#This Row],[Column]])</f>
        <v>2</v>
      </c>
    </row>
    <row r="58" spans="1:10">
      <c r="A58" s="62" t="s">
        <v>1017</v>
      </c>
      <c r="B58" s="62" t="s">
        <v>811</v>
      </c>
      <c r="C58" s="62" t="s">
        <v>1015</v>
      </c>
      <c r="D58" s="62" t="s">
        <v>1015</v>
      </c>
      <c r="E58" s="62"/>
      <c r="F58" s="62"/>
      <c r="G58" s="62"/>
      <c r="H58" s="62"/>
      <c r="I58" s="62"/>
      <c r="J58" s="67">
        <f>COUNTIF(TableFields[Field],Columns[[#This Row],[Column]])</f>
        <v>1</v>
      </c>
    </row>
    <row r="59" spans="1:10">
      <c r="A59" s="62" t="s">
        <v>1001</v>
      </c>
      <c r="B59" s="62" t="s">
        <v>808</v>
      </c>
      <c r="C59" s="62" t="s">
        <v>852</v>
      </c>
      <c r="D59" s="62" t="s">
        <v>852</v>
      </c>
      <c r="E59" s="62"/>
      <c r="F59" s="62"/>
      <c r="G59" s="62"/>
      <c r="H59" s="62"/>
      <c r="I59" s="62"/>
      <c r="J59" s="67">
        <f>COUNTIF(TableFields[Field],Columns[[#This Row],[Column]])</f>
        <v>0</v>
      </c>
    </row>
    <row r="60" spans="1:10">
      <c r="A60" s="62" t="s">
        <v>1002</v>
      </c>
      <c r="B60" s="62" t="s">
        <v>811</v>
      </c>
      <c r="C60" s="62" t="s">
        <v>852</v>
      </c>
      <c r="D60" s="62" t="s">
        <v>852</v>
      </c>
      <c r="E60" s="62"/>
      <c r="F60" s="62"/>
      <c r="G60" s="62"/>
      <c r="H60" s="62"/>
      <c r="I60" s="62"/>
      <c r="J60" s="67">
        <f>COUNTIF(TableFields[Field],Columns[[#This Row],[Column]])</f>
        <v>1</v>
      </c>
    </row>
    <row r="61" spans="1:10">
      <c r="A61" s="62" t="s">
        <v>876</v>
      </c>
      <c r="B61" s="62" t="s">
        <v>808</v>
      </c>
      <c r="C61" s="62" t="s">
        <v>878</v>
      </c>
      <c r="D61" s="62" t="s">
        <v>774</v>
      </c>
      <c r="E61" s="60"/>
      <c r="F61" s="60"/>
      <c r="G61" s="60"/>
      <c r="H61" s="60"/>
      <c r="I61" s="60"/>
      <c r="J61" s="66">
        <f>COUNTIF(TableFields[Field],Columns[[#This Row],[Column]])</f>
        <v>0</v>
      </c>
    </row>
    <row r="62" spans="1:10">
      <c r="A62" s="62" t="s">
        <v>877</v>
      </c>
      <c r="B62" s="62" t="s">
        <v>811</v>
      </c>
      <c r="C62" s="62" t="s">
        <v>878</v>
      </c>
      <c r="D62" s="62" t="s">
        <v>774</v>
      </c>
      <c r="E62" s="62"/>
      <c r="F62" s="62"/>
      <c r="G62" s="62"/>
      <c r="H62" s="62"/>
      <c r="I62" s="62"/>
      <c r="J62" s="67">
        <f>COUNTIF(TableFields[Field],Columns[[#This Row],[Column]])</f>
        <v>1</v>
      </c>
    </row>
    <row r="63" spans="1:10">
      <c r="A63" s="62" t="s">
        <v>885</v>
      </c>
      <c r="B63" s="62" t="s">
        <v>803</v>
      </c>
      <c r="C63" s="62" t="s">
        <v>882</v>
      </c>
      <c r="D63" s="62" t="s">
        <v>1689</v>
      </c>
      <c r="E63" s="62" t="s">
        <v>797</v>
      </c>
      <c r="F63" s="62" t="s">
        <v>884</v>
      </c>
      <c r="G63" s="62"/>
      <c r="H63" s="62"/>
      <c r="I63" s="62"/>
      <c r="J63" s="67">
        <f>COUNTIF(TableFields[Field],Columns[[#This Row],[Column]])</f>
        <v>1</v>
      </c>
    </row>
    <row r="64" spans="1:10">
      <c r="A64" s="62" t="s">
        <v>886</v>
      </c>
      <c r="B64" s="62" t="s">
        <v>803</v>
      </c>
      <c r="C64" s="62" t="s">
        <v>882</v>
      </c>
      <c r="D64" s="62" t="s">
        <v>2000</v>
      </c>
      <c r="E64" s="62" t="s">
        <v>797</v>
      </c>
      <c r="F64" s="62" t="s">
        <v>884</v>
      </c>
      <c r="G64" s="62"/>
      <c r="H64" s="62"/>
      <c r="I64" s="62"/>
      <c r="J64" s="67">
        <f>COUNTIF(TableFields[Field],Columns[[#This Row],[Column]])</f>
        <v>1</v>
      </c>
    </row>
    <row r="65" spans="1:10">
      <c r="A65" s="62" t="s">
        <v>887</v>
      </c>
      <c r="B65" s="62" t="s">
        <v>803</v>
      </c>
      <c r="C65" s="62" t="s">
        <v>882</v>
      </c>
      <c r="D65" s="62" t="s">
        <v>972</v>
      </c>
      <c r="E65" s="62" t="s">
        <v>797</v>
      </c>
      <c r="F65" s="62" t="s">
        <v>884</v>
      </c>
      <c r="G65" s="62"/>
      <c r="H65" s="62"/>
      <c r="I65" s="62"/>
      <c r="J65" s="67">
        <f>COUNTIF(TableFields[Field],Columns[[#This Row],[Column]])</f>
        <v>1</v>
      </c>
    </row>
    <row r="66" spans="1:10">
      <c r="A66" s="62" t="s">
        <v>888</v>
      </c>
      <c r="B66" s="62" t="s">
        <v>803</v>
      </c>
      <c r="C66" s="62" t="s">
        <v>882</v>
      </c>
      <c r="D66" s="62" t="s">
        <v>889</v>
      </c>
      <c r="E66" s="62" t="s">
        <v>797</v>
      </c>
      <c r="F66" s="62" t="s">
        <v>890</v>
      </c>
      <c r="G66" s="62"/>
      <c r="H66" s="62"/>
      <c r="I66" s="62"/>
      <c r="J66" s="67">
        <f>COUNTIF(TableFields[Field],Columns[[#This Row],[Column]])</f>
        <v>1</v>
      </c>
    </row>
  </sheetData>
  <conditionalFormatting sqref="A2:A66">
    <cfRule type="duplicateValues" dxfId="456" priority="80"/>
  </conditionalFormatting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6"/>
  <sheetViews>
    <sheetView tabSelected="1" topLeftCell="A64" workbookViewId="0">
      <selection activeCell="B74" sqref="B7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759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759</v>
      </c>
      <c r="B3" s="2" t="s">
        <v>23</v>
      </c>
      <c r="C3" s="62" t="str">
        <f>VLOOKUP([Field],Columns[],2,0)&amp;"("</f>
        <v>string(</v>
      </c>
      <c r="D3" s="62" t="str">
        <f>IF(VLOOKUP([Field],Columns[],3,0)&lt;&gt;"","'"&amp;VLOOKUP([Field],Columns[],3,0)&amp;"'","")</f>
        <v>'name'</v>
      </c>
      <c r="E3" s="63" t="str">
        <f>IF(VLOOKUP([Field],Columns[],4,0)&lt;&gt;0,", "&amp;IF(ISERR(SEARCH(",",VLOOKUP([Field],Columns[],4,0))),"'"&amp;VLOOKUP([Field],Columns[],4,0)&amp;"'",VLOOKUP([Field],Columns[],4,0))&amp;")",")")</f>
        <v>, '128')</v>
      </c>
      <c r="F3" s="62" t="str">
        <f>IF(VLOOKUP([Field],Columns[],5,0)=0,"","-&gt;"&amp;VLOOKUP([Field],Columns[],5,0))</f>
        <v>-&gt;index()</v>
      </c>
      <c r="G3" s="62" t="str">
        <f>IF(VLOOKUP([Field],Columns[],6,0)=0,"","-&gt;"&amp;VLOOKUP([Field],Columns[],6,0))</f>
        <v/>
      </c>
      <c r="H3" s="62" t="str">
        <f>IF(VLOOKUP([Field],Columns[],7,0)=0,"","-&gt;"&amp;VLOOKUP([Field],Columns[],7,0))</f>
        <v/>
      </c>
      <c r="I3" s="62" t="str">
        <f>IF(VLOOKUP([Field],Columns[],8,0)=0,"","-&gt;"&amp;VLOOKUP([Field],Columns[],8,0))</f>
        <v/>
      </c>
      <c r="J3" s="62" t="str">
        <f>IF(VLOOKUP([Field],Columns[],9,0)=0,"","-&gt;"&amp;VLOOKUP([Field],Columns[],9,0))</f>
        <v/>
      </c>
      <c r="K3" s="62" t="str">
        <f>"$table-&gt;"&amp;[Type]&amp;[Name]&amp;[Arg2]&amp;[Method1]&amp;[Method2]&amp;[Method3]&amp;[Method4]&amp;[Method5]&amp;";"</f>
        <v>$table-&gt;string('name', '128')-&gt;index();</v>
      </c>
    </row>
    <row r="4" spans="1:11">
      <c r="A4" s="1" t="s">
        <v>759</v>
      </c>
      <c r="B4" s="62" t="s">
        <v>796</v>
      </c>
      <c r="C4" s="62" t="str">
        <f>VLOOKUP([Field],Columns[],2,0)&amp;"("</f>
        <v>string(</v>
      </c>
      <c r="D4" s="62" t="str">
        <f>IF(VLOOKUP([Field],Columns[],3,0)&lt;&gt;"","'"&amp;VLOOKUP([Field],Columns[],3,0)&amp;"'","")</f>
        <v>'address'</v>
      </c>
      <c r="E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4" s="62" t="str">
        <f>IF(VLOOKUP([Field],Columns[],5,0)=0,"","-&gt;"&amp;VLOOKUP([Field],Columns[],5,0))</f>
        <v>-&gt;nullable()</v>
      </c>
      <c r="G4" s="62" t="str">
        <f>IF(VLOOKUP([Field],Columns[],6,0)=0,"","-&gt;"&amp;VLOOKUP([Field],Columns[],6,0))</f>
        <v/>
      </c>
      <c r="H4" s="62" t="str">
        <f>IF(VLOOKUP([Field],Columns[],7,0)=0,"","-&gt;"&amp;VLOOKUP([Field],Columns[],7,0))</f>
        <v/>
      </c>
      <c r="I4" s="62" t="str">
        <f>IF(VLOOKUP([Field],Columns[],8,0)=0,"","-&gt;"&amp;VLOOKUP([Field],Columns[],8,0))</f>
        <v/>
      </c>
      <c r="J4" s="62" t="str">
        <f>IF(VLOOKUP([Field],Columns[],9,0)=0,"","-&gt;"&amp;VLOOKUP([Field],Columns[],9,0))</f>
        <v/>
      </c>
      <c r="K4" s="62" t="str">
        <f>"$table-&gt;"&amp;[Type]&amp;[Name]&amp;[Arg2]&amp;[Method1]&amp;[Method2]&amp;[Method3]&amp;[Method4]&amp;[Method5]&amp;";"</f>
        <v>$table-&gt;string('address', '1024')-&gt;nullable();</v>
      </c>
    </row>
    <row r="5" spans="1:11">
      <c r="A5" s="1" t="s">
        <v>759</v>
      </c>
      <c r="B5" s="62" t="s">
        <v>798</v>
      </c>
      <c r="C5" s="62" t="str">
        <f>VLOOKUP([Field],Columns[],2,0)&amp;"("</f>
        <v>string(</v>
      </c>
      <c r="D5" s="62" t="str">
        <f>IF(VLOOKUP([Field],Columns[],3,0)&lt;&gt;"","'"&amp;VLOOKUP([Field],Columns[],3,0)&amp;"'","")</f>
        <v>'image'</v>
      </c>
      <c r="E5" s="63" t="str">
        <f>IF(VLOOKUP([Field],Columns[],4,0)&lt;&gt;0,", "&amp;IF(ISERR(SEARCH(",",VLOOKUP([Field],Columns[],4,0))),"'"&amp;VLOOKUP([Field],Columns[],4,0)&amp;"'",VLOOKUP([Field],Columns[],4,0))&amp;")",")")</f>
        <v>, '512')</v>
      </c>
      <c r="F5" s="62" t="str">
        <f>IF(VLOOKUP([Field],Columns[],5,0)=0,"","-&gt;"&amp;VLOOKUP([Field],Columns[],5,0))</f>
        <v>-&gt;nullable()</v>
      </c>
      <c r="G5" s="62" t="str">
        <f>IF(VLOOKUP([Field],Columns[],6,0)=0,"","-&gt;"&amp;VLOOKUP([Field],Columns[],6,0))</f>
        <v/>
      </c>
      <c r="H5" s="62" t="str">
        <f>IF(VLOOKUP([Field],Columns[],7,0)=0,"","-&gt;"&amp;VLOOKUP([Field],Columns[],7,0))</f>
        <v/>
      </c>
      <c r="I5" s="62" t="str">
        <f>IF(VLOOKUP([Field],Columns[],8,0)=0,"","-&gt;"&amp;VLOOKUP([Field],Columns[],8,0))</f>
        <v/>
      </c>
      <c r="J5" s="62" t="str">
        <f>IF(VLOOKUP([Field],Columns[],9,0)=0,"","-&gt;"&amp;VLOOKUP([Field],Columns[],9,0))</f>
        <v/>
      </c>
      <c r="K5" s="62" t="str">
        <f>"$table-&gt;"&amp;[Type]&amp;[Name]&amp;[Arg2]&amp;[Method1]&amp;[Method2]&amp;[Method3]&amp;[Method4]&amp;[Method5]&amp;";"</f>
        <v>$table-&gt;string('image', '512')-&gt;nullable();</v>
      </c>
    </row>
    <row r="6" spans="1:11">
      <c r="A6" s="1" t="s">
        <v>759</v>
      </c>
      <c r="B6" s="62" t="s">
        <v>799</v>
      </c>
      <c r="C6" s="62" t="str">
        <f>VLOOKUP([Field],Columns[],2,0)&amp;"("</f>
        <v>string(</v>
      </c>
      <c r="D6" s="62" t="str">
        <f>IF(VLOOKUP([Field],Columns[],3,0)&lt;&gt;"","'"&amp;VLOOKUP([Field],Columns[],3,0)&amp;"'","")</f>
        <v>'phone'</v>
      </c>
      <c r="E6" s="63" t="str">
        <f>IF(VLOOKUP([Field],Columns[],4,0)&lt;&gt;0,", "&amp;IF(ISERR(SEARCH(",",VLOOKUP([Field],Columns[],4,0))),"'"&amp;VLOOKUP([Field],Columns[],4,0)&amp;"'",VLOOKUP([Field],Columns[],4,0))&amp;")",")")</f>
        <v>, '64')</v>
      </c>
      <c r="F6" s="62" t="str">
        <f>IF(VLOOKUP([Field],Columns[],5,0)=0,"","-&gt;"&amp;VLOOKUP([Field],Columns[],5,0))</f>
        <v>-&gt;nullable()</v>
      </c>
      <c r="G6" s="62" t="str">
        <f>IF(VLOOKUP([Field],Columns[],6,0)=0,"","-&gt;"&amp;VLOOKUP([Field],Columns[],6,0))</f>
        <v/>
      </c>
      <c r="H6" s="62" t="str">
        <f>IF(VLOOKUP([Field],Columns[],7,0)=0,"","-&gt;"&amp;VLOOKUP([Field],Columns[],7,0))</f>
        <v/>
      </c>
      <c r="I6" s="62" t="str">
        <f>IF(VLOOKUP([Field],Columns[],8,0)=0,"","-&gt;"&amp;VLOOKUP([Field],Columns[],8,0))</f>
        <v/>
      </c>
      <c r="J6" s="62" t="str">
        <f>IF(VLOOKUP([Field],Columns[],9,0)=0,"","-&gt;"&amp;VLOOKUP([Field],Columns[],9,0))</f>
        <v/>
      </c>
      <c r="K6" s="62" t="str">
        <f>"$table-&gt;"&amp;[Type]&amp;[Name]&amp;[Arg2]&amp;[Method1]&amp;[Method2]&amp;[Method3]&amp;[Method4]&amp;[Method5]&amp;";"</f>
        <v>$table-&gt;string('phone', '64')-&gt;nullable();</v>
      </c>
    </row>
    <row r="7" spans="1:11">
      <c r="A7" s="1" t="s">
        <v>759</v>
      </c>
      <c r="B7" s="62" t="s">
        <v>800</v>
      </c>
      <c r="C7" s="62" t="str">
        <f>VLOOKUP([Field],Columns[],2,0)&amp;"("</f>
        <v>string(</v>
      </c>
      <c r="D7" s="62" t="str">
        <f>IF(VLOOKUP([Field],Columns[],3,0)&lt;&gt;"","'"&amp;VLOOKUP([Field],Columns[],3,0)&amp;"'","")</f>
        <v>'email'</v>
      </c>
      <c r="E7" s="63" t="str">
        <f>IF(VLOOKUP([Field],Columns[],4,0)&lt;&gt;0,", "&amp;IF(ISERR(SEARCH(",",VLOOKUP([Field],Columns[],4,0))),"'"&amp;VLOOKUP([Field],Columns[],4,0)&amp;"'",VLOOKUP([Field],Columns[],4,0))&amp;")",")")</f>
        <v>, '256')</v>
      </c>
      <c r="F7" s="62" t="str">
        <f>IF(VLOOKUP([Field],Columns[],5,0)=0,"","-&gt;"&amp;VLOOKUP([Field],Columns[],5,0))</f>
        <v>-&gt;nullable()</v>
      </c>
      <c r="G7" s="62" t="str">
        <f>IF(VLOOKUP([Field],Columns[],6,0)=0,"","-&gt;"&amp;VLOOKUP([Field],Columns[],6,0))</f>
        <v/>
      </c>
      <c r="H7" s="62" t="str">
        <f>IF(VLOOKUP([Field],Columns[],7,0)=0,"","-&gt;"&amp;VLOOKUP([Field],Columns[],7,0))</f>
        <v/>
      </c>
      <c r="I7" s="62" t="str">
        <f>IF(VLOOKUP([Field],Columns[],8,0)=0,"","-&gt;"&amp;VLOOKUP([Field],Columns[],8,0))</f>
        <v/>
      </c>
      <c r="J7" s="62" t="str">
        <f>IF(VLOOKUP([Field],Columns[],9,0)=0,"","-&gt;"&amp;VLOOKUP([Field],Columns[],9,0))</f>
        <v/>
      </c>
      <c r="K7" s="62" t="str">
        <f>"$table-&gt;"&amp;[Type]&amp;[Name]&amp;[Arg2]&amp;[Method1]&amp;[Method2]&amp;[Method3]&amp;[Method4]&amp;[Method5]&amp;";"</f>
        <v>$table-&gt;string('email', '256')-&gt;nullable();</v>
      </c>
    </row>
    <row r="8" spans="1:11">
      <c r="A8" s="1" t="s">
        <v>759</v>
      </c>
      <c r="B8" s="62" t="s">
        <v>801</v>
      </c>
      <c r="C8" s="62" t="str">
        <f>VLOOKUP([Field],Columns[],2,0)&amp;"("</f>
        <v>string(</v>
      </c>
      <c r="D8" s="62" t="str">
        <f>IF(VLOOKUP([Field],Columns[],3,0)&lt;&gt;"","'"&amp;VLOOKUP([Field],Columns[],3,0)&amp;"'","")</f>
        <v>'website'</v>
      </c>
      <c r="E8" s="63" t="str">
        <f>IF(VLOOKUP([Field],Columns[],4,0)&lt;&gt;0,", "&amp;IF(ISERR(SEARCH(",",VLOOKUP([Field],Columns[],4,0))),"'"&amp;VLOOKUP([Field],Columns[],4,0)&amp;"'",VLOOKUP([Field],Columns[],4,0))&amp;")",")")</f>
        <v>, '512')</v>
      </c>
      <c r="F8" s="62" t="str">
        <f>IF(VLOOKUP([Field],Columns[],5,0)=0,"","-&gt;"&amp;VLOOKUP([Field],Columns[],5,0))</f>
        <v>-&gt;nullable()</v>
      </c>
      <c r="G8" s="62" t="str">
        <f>IF(VLOOKUP([Field],Columns[],6,0)=0,"","-&gt;"&amp;VLOOKUP([Field],Columns[],6,0))</f>
        <v/>
      </c>
      <c r="H8" s="62" t="str">
        <f>IF(VLOOKUP([Field],Columns[],7,0)=0,"","-&gt;"&amp;VLOOKUP([Field],Columns[],7,0))</f>
        <v/>
      </c>
      <c r="I8" s="62" t="str">
        <f>IF(VLOOKUP([Field],Columns[],8,0)=0,"","-&gt;"&amp;VLOOKUP([Field],Columns[],8,0))</f>
        <v/>
      </c>
      <c r="J8" s="62" t="str">
        <f>IF(VLOOKUP([Field],Columns[],9,0)=0,"","-&gt;"&amp;VLOOKUP([Field],Columns[],9,0))</f>
        <v/>
      </c>
      <c r="K8" s="62" t="str">
        <f>"$table-&gt;"&amp;[Type]&amp;[Name]&amp;[Arg2]&amp;[Method1]&amp;[Method2]&amp;[Method3]&amp;[Method4]&amp;[Method5]&amp;";"</f>
        <v>$table-&gt;string('website', '512')-&gt;nullable();</v>
      </c>
    </row>
    <row r="9" spans="1:11">
      <c r="A9" s="1" t="s">
        <v>759</v>
      </c>
      <c r="B9" s="62" t="s">
        <v>802</v>
      </c>
      <c r="C9" s="62" t="str">
        <f>VLOOKUP([Field],Columns[],2,0)&amp;"("</f>
        <v>enum(</v>
      </c>
      <c r="D9" s="62" t="str">
        <f>IF(VLOOKUP([Field],Columns[],3,0)&lt;&gt;"","'"&amp;VLOOKUP([Field],Columns[],3,0)&amp;"'","")</f>
        <v>'status'</v>
      </c>
      <c r="E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" s="62" t="str">
        <f>IF(VLOOKUP([Field],Columns[],5,0)=0,"","-&gt;"&amp;VLOOKUP([Field],Columns[],5,0))</f>
        <v>-&gt;nullable()</v>
      </c>
      <c r="G9" s="62" t="str">
        <f>IF(VLOOKUP([Field],Columns[],6,0)=0,"","-&gt;"&amp;VLOOKUP([Field],Columns[],6,0))</f>
        <v>-&gt;default('Active')</v>
      </c>
      <c r="H9" s="62" t="str">
        <f>IF(VLOOKUP([Field],Columns[],7,0)=0,"","-&gt;"&amp;VLOOKUP([Field],Columns[],7,0))</f>
        <v/>
      </c>
      <c r="I9" s="62" t="str">
        <f>IF(VLOOKUP([Field],Columns[],8,0)=0,"","-&gt;"&amp;VLOOKUP([Field],Columns[],8,0))</f>
        <v/>
      </c>
      <c r="J9" s="62" t="str">
        <f>IF(VLOOKUP([Field],Columns[],9,0)=0,"","-&gt;"&amp;VLOOKUP([Field],Columns[],9,0))</f>
        <v/>
      </c>
      <c r="K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" spans="1:11">
      <c r="A10" s="1" t="s">
        <v>759</v>
      </c>
      <c r="B10" s="62" t="s">
        <v>288</v>
      </c>
      <c r="C10" s="62" t="str">
        <f>VLOOKUP([Field],Columns[],2,0)&amp;"("</f>
        <v>audit(</v>
      </c>
      <c r="D10" s="62" t="str">
        <f>IF(VLOOKUP([Field],Columns[],3,0)&lt;&gt;"","'"&amp;VLOOKUP([Field],Columns[],3,0)&amp;"'","")</f>
        <v/>
      </c>
      <c r="E10" s="63" t="str">
        <f>IF(VLOOKUP([Field],Columns[],4,0)&lt;&gt;0,", "&amp;IF(ISERR(SEARCH(",",VLOOKUP([Field],Columns[],4,0))),"'"&amp;VLOOKUP([Field],Columns[],4,0)&amp;"'",VLOOKUP([Field],Columns[],4,0))&amp;")",")")</f>
        <v>)</v>
      </c>
      <c r="F10" s="62" t="str">
        <f>IF(VLOOKUP([Field],Columns[],5,0)=0,"","-&gt;"&amp;VLOOKUP([Field],Columns[],5,0))</f>
        <v/>
      </c>
      <c r="G10" s="62" t="str">
        <f>IF(VLOOKUP([Field],Columns[],6,0)=0,"","-&gt;"&amp;VLOOKUP([Field],Columns[],6,0))</f>
        <v/>
      </c>
      <c r="H10" s="62" t="str">
        <f>IF(VLOOKUP([Field],Columns[],7,0)=0,"","-&gt;"&amp;VLOOKUP([Field],Columns[],7,0))</f>
        <v/>
      </c>
      <c r="I10" s="62" t="str">
        <f>IF(VLOOKUP([Field],Columns[],8,0)=0,"","-&gt;"&amp;VLOOKUP([Field],Columns[],8,0))</f>
        <v/>
      </c>
      <c r="J10" s="62" t="str">
        <f>IF(VLOOKUP([Field],Columns[],9,0)=0,"","-&gt;"&amp;VLOOKUP([Field],Columns[],9,0))</f>
        <v/>
      </c>
      <c r="K10" s="62" t="str">
        <f>"$table-&gt;"&amp;[Type]&amp;[Name]&amp;[Arg2]&amp;[Method1]&amp;[Method2]&amp;[Method3]&amp;[Method4]&amp;[Method5]&amp;";"</f>
        <v>$table-&gt;audit();</v>
      </c>
    </row>
    <row r="11" spans="1:11">
      <c r="A11" s="2" t="s">
        <v>760</v>
      </c>
      <c r="B11" s="62" t="s">
        <v>21</v>
      </c>
      <c r="C11" s="62" t="str">
        <f>VLOOKUP([Field],Columns[],2,0)&amp;"("</f>
        <v>bigIncrements(</v>
      </c>
      <c r="D11" s="62" t="str">
        <f>IF(VLOOKUP([Field],Columns[],3,0)&lt;&gt;"","'"&amp;VLOOKUP([Field],Columns[],3,0)&amp;"'","")</f>
        <v>'id'</v>
      </c>
      <c r="E11" s="63" t="str">
        <f>IF(VLOOKUP([Field],Columns[],4,0)&lt;&gt;0,", "&amp;IF(ISERR(SEARCH(",",VLOOKUP([Field],Columns[],4,0))),"'"&amp;VLOOKUP([Field],Columns[],4,0)&amp;"'",VLOOKUP([Field],Columns[],4,0))&amp;")",")")</f>
        <v>)</v>
      </c>
      <c r="F11" s="62" t="str">
        <f>IF(VLOOKUP([Field],Columns[],5,0)=0,"","-&gt;"&amp;VLOOKUP([Field],Columns[],5,0))</f>
        <v/>
      </c>
      <c r="G11" s="62" t="str">
        <f>IF(VLOOKUP([Field],Columns[],6,0)=0,"","-&gt;"&amp;VLOOKUP([Field],Columns[],6,0))</f>
        <v/>
      </c>
      <c r="H11" s="62" t="str">
        <f>IF(VLOOKUP([Field],Columns[],7,0)=0,"","-&gt;"&amp;VLOOKUP([Field],Columns[],7,0))</f>
        <v/>
      </c>
      <c r="I11" s="62" t="str">
        <f>IF(VLOOKUP([Field],Columns[],8,0)=0,"","-&gt;"&amp;VLOOKUP([Field],Columns[],8,0))</f>
        <v/>
      </c>
      <c r="J11" s="62" t="str">
        <f>IF(VLOOKUP([Field],Columns[],9,0)=0,"","-&gt;"&amp;VLOOKUP([Field],Columns[],9,0))</f>
        <v/>
      </c>
      <c r="K11" s="62" t="str">
        <f>"$table-&gt;"&amp;[Type]&amp;[Name]&amp;[Arg2]&amp;[Method1]&amp;[Method2]&amp;[Method3]&amp;[Method4]&amp;[Method5]&amp;";"</f>
        <v>$table-&gt;bigIncrements('id');</v>
      </c>
    </row>
    <row r="12" spans="1:11">
      <c r="A12" s="2" t="s">
        <v>760</v>
      </c>
      <c r="B12" s="62" t="s">
        <v>23</v>
      </c>
      <c r="C12" s="62" t="str">
        <f>VLOOKUP([Field],Columns[],2,0)&amp;"("</f>
        <v>string(</v>
      </c>
      <c r="D12" s="62" t="str">
        <f>IF(VLOOKUP([Field],Columns[],3,0)&lt;&gt;"","'"&amp;VLOOKUP([Field],Columns[],3,0)&amp;"'","")</f>
        <v>'name'</v>
      </c>
      <c r="E12" s="63" t="str">
        <f>IF(VLOOKUP([Field],Columns[],4,0)&lt;&gt;0,", "&amp;IF(ISERR(SEARCH(",",VLOOKUP([Field],Columns[],4,0))),"'"&amp;VLOOKUP([Field],Columns[],4,0)&amp;"'",VLOOKUP([Field],Columns[],4,0))&amp;")",")")</f>
        <v>, '128')</v>
      </c>
      <c r="F12" s="62" t="str">
        <f>IF(VLOOKUP([Field],Columns[],5,0)=0,"","-&gt;"&amp;VLOOKUP([Field],Columns[],5,0))</f>
        <v>-&gt;index()</v>
      </c>
      <c r="G12" s="62" t="str">
        <f>IF(VLOOKUP([Field],Columns[],6,0)=0,"","-&gt;"&amp;VLOOKUP([Field],Columns[],6,0))</f>
        <v/>
      </c>
      <c r="H12" s="62" t="str">
        <f>IF(VLOOKUP([Field],Columns[],7,0)=0,"","-&gt;"&amp;VLOOKUP([Field],Columns[],7,0))</f>
        <v/>
      </c>
      <c r="I12" s="62" t="str">
        <f>IF(VLOOKUP([Field],Columns[],8,0)=0,"","-&gt;"&amp;VLOOKUP([Field],Columns[],8,0))</f>
        <v/>
      </c>
      <c r="J12" s="62" t="str">
        <f>IF(VLOOKUP([Field],Columns[],9,0)=0,"","-&gt;"&amp;VLOOKUP([Field],Columns[],9,0))</f>
        <v/>
      </c>
      <c r="K12" s="62" t="str">
        <f>"$table-&gt;"&amp;[Type]&amp;[Name]&amp;[Arg2]&amp;[Method1]&amp;[Method2]&amp;[Method3]&amp;[Method4]&amp;[Method5]&amp;";"</f>
        <v>$table-&gt;string('name', '128')-&gt;index();</v>
      </c>
    </row>
    <row r="13" spans="1:11">
      <c r="A13" s="2" t="s">
        <v>760</v>
      </c>
      <c r="B13" s="62" t="s">
        <v>24</v>
      </c>
      <c r="C13" s="62" t="str">
        <f>VLOOKUP([Field],Columns[],2,0)&amp;"("</f>
        <v>string(</v>
      </c>
      <c r="D13" s="62" t="str">
        <f>IF(VLOOKUP([Field],Columns[],3,0)&lt;&gt;"","'"&amp;VLOOKUP([Field],Columns[],3,0)&amp;"'","")</f>
        <v>'description'</v>
      </c>
      <c r="E1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3" s="62" t="str">
        <f>IF(VLOOKUP([Field],Columns[],5,0)=0,"","-&gt;"&amp;VLOOKUP([Field],Columns[],5,0))</f>
        <v>-&gt;nullable()</v>
      </c>
      <c r="G13" s="62" t="str">
        <f>IF(VLOOKUP([Field],Columns[],6,0)=0,"","-&gt;"&amp;VLOOKUP([Field],Columns[],6,0))</f>
        <v/>
      </c>
      <c r="H13" s="62" t="str">
        <f>IF(VLOOKUP([Field],Columns[],7,0)=0,"","-&gt;"&amp;VLOOKUP([Field],Columns[],7,0))</f>
        <v/>
      </c>
      <c r="I13" s="62" t="str">
        <f>IF(VLOOKUP([Field],Columns[],8,0)=0,"","-&gt;"&amp;VLOOKUP([Field],Columns[],8,0))</f>
        <v/>
      </c>
      <c r="J13" s="62" t="str">
        <f>IF(VLOOKUP([Field],Columns[],9,0)=0,"","-&gt;"&amp;VLOOKUP([Field],Columns[],9,0))</f>
        <v/>
      </c>
      <c r="K13" s="62" t="str">
        <f>"$table-&gt;"&amp;[Type]&amp;[Name]&amp;[Arg2]&amp;[Method1]&amp;[Method2]&amp;[Method3]&amp;[Method4]&amp;[Method5]&amp;";"</f>
        <v>$table-&gt;string('description', '1024')-&gt;nullable();</v>
      </c>
    </row>
    <row r="14" spans="1:11">
      <c r="A14" s="2" t="s">
        <v>760</v>
      </c>
      <c r="B14" s="62" t="s">
        <v>802</v>
      </c>
      <c r="C14" s="62" t="str">
        <f>VLOOKUP([Field],Columns[],2,0)&amp;"("</f>
        <v>enum(</v>
      </c>
      <c r="D14" s="62" t="str">
        <f>IF(VLOOKUP([Field],Columns[],3,0)&lt;&gt;"","'"&amp;VLOOKUP([Field],Columns[],3,0)&amp;"'","")</f>
        <v>'status'</v>
      </c>
      <c r="E1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" s="62" t="str">
        <f>IF(VLOOKUP([Field],Columns[],5,0)=0,"","-&gt;"&amp;VLOOKUP([Field],Columns[],5,0))</f>
        <v>-&gt;nullable()</v>
      </c>
      <c r="G14" s="62" t="str">
        <f>IF(VLOOKUP([Field],Columns[],6,0)=0,"","-&gt;"&amp;VLOOKUP([Field],Columns[],6,0))</f>
        <v>-&gt;default('Active')</v>
      </c>
      <c r="H14" s="62" t="str">
        <f>IF(VLOOKUP([Field],Columns[],7,0)=0,"","-&gt;"&amp;VLOOKUP([Field],Columns[],7,0))</f>
        <v/>
      </c>
      <c r="I14" s="62" t="str">
        <f>IF(VLOOKUP([Field],Columns[],8,0)=0,"","-&gt;"&amp;VLOOKUP([Field],Columns[],8,0))</f>
        <v/>
      </c>
      <c r="J14" s="62" t="str">
        <f>IF(VLOOKUP([Field],Columns[],9,0)=0,"","-&gt;"&amp;VLOOKUP([Field],Columns[],9,0))</f>
        <v/>
      </c>
      <c r="K1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" spans="1:11">
      <c r="A15" s="2" t="s">
        <v>760</v>
      </c>
      <c r="B15" s="62" t="s">
        <v>288</v>
      </c>
      <c r="C15" s="62" t="str">
        <f>VLOOKUP([Field],Columns[],2,0)&amp;"("</f>
        <v>audit(</v>
      </c>
      <c r="D15" s="62" t="str">
        <f>IF(VLOOKUP([Field],Columns[],3,0)&lt;&gt;"","'"&amp;VLOOKUP([Field],Columns[],3,0)&amp;"'","")</f>
        <v/>
      </c>
      <c r="E15" s="63" t="str">
        <f>IF(VLOOKUP([Field],Columns[],4,0)&lt;&gt;0,", "&amp;IF(ISERR(SEARCH(",",VLOOKUP([Field],Columns[],4,0))),"'"&amp;VLOOKUP([Field],Columns[],4,0)&amp;"'",VLOOKUP([Field],Columns[],4,0))&amp;")",")")</f>
        <v>)</v>
      </c>
      <c r="F15" s="62" t="str">
        <f>IF(VLOOKUP([Field],Columns[],5,0)=0,"","-&gt;"&amp;VLOOKUP([Field],Columns[],5,0))</f>
        <v/>
      </c>
      <c r="G15" s="62" t="str">
        <f>IF(VLOOKUP([Field],Columns[],6,0)=0,"","-&gt;"&amp;VLOOKUP([Field],Columns[],6,0))</f>
        <v/>
      </c>
      <c r="H15" s="62" t="str">
        <f>IF(VLOOKUP([Field],Columns[],7,0)=0,"","-&gt;"&amp;VLOOKUP([Field],Columns[],7,0))</f>
        <v/>
      </c>
      <c r="I15" s="62" t="str">
        <f>IF(VLOOKUP([Field],Columns[],8,0)=0,"","-&gt;"&amp;VLOOKUP([Field],Columns[],8,0))</f>
        <v/>
      </c>
      <c r="J15" s="62" t="str">
        <f>IF(VLOOKUP([Field],Columns[],9,0)=0,"","-&gt;"&amp;VLOOKUP([Field],Columns[],9,0))</f>
        <v/>
      </c>
      <c r="K15" s="62" t="str">
        <f>"$table-&gt;"&amp;[Type]&amp;[Name]&amp;[Arg2]&amp;[Method1]&amp;[Method2]&amp;[Method3]&amp;[Method4]&amp;[Method5]&amp;";"</f>
        <v>$table-&gt;audit();</v>
      </c>
    </row>
    <row r="16" spans="1:11">
      <c r="A16" s="2" t="s">
        <v>761</v>
      </c>
      <c r="B16" s="62" t="s">
        <v>21</v>
      </c>
      <c r="C16" s="62" t="str">
        <f>VLOOKUP([Field],Columns[],2,0)&amp;"("</f>
        <v>bigIncrements(</v>
      </c>
      <c r="D16" s="62" t="str">
        <f>IF(VLOOKUP([Field],Columns[],3,0)&lt;&gt;"","'"&amp;VLOOKUP([Field],Columns[],3,0)&amp;"'","")</f>
        <v>'id'</v>
      </c>
      <c r="E16" s="63" t="str">
        <f>IF(VLOOKUP([Field],Columns[],4,0)&lt;&gt;0,", "&amp;IF(ISERR(SEARCH(",",VLOOKUP([Field],Columns[],4,0))),"'"&amp;VLOOKUP([Field],Columns[],4,0)&amp;"'",VLOOKUP([Field],Columns[],4,0))&amp;")",")")</f>
        <v>)</v>
      </c>
      <c r="F16" s="62" t="str">
        <f>IF(VLOOKUP([Field],Columns[],5,0)=0,"","-&gt;"&amp;VLOOKUP([Field],Columns[],5,0))</f>
        <v/>
      </c>
      <c r="G16" s="62" t="str">
        <f>IF(VLOOKUP([Field],Columns[],6,0)=0,"","-&gt;"&amp;VLOOKUP([Field],Columns[],6,0))</f>
        <v/>
      </c>
      <c r="H16" s="62" t="str">
        <f>IF(VLOOKUP([Field],Columns[],7,0)=0,"","-&gt;"&amp;VLOOKUP([Field],Columns[],7,0))</f>
        <v/>
      </c>
      <c r="I16" s="62" t="str">
        <f>IF(VLOOKUP([Field],Columns[],8,0)=0,"","-&gt;"&amp;VLOOKUP([Field],Columns[],8,0))</f>
        <v/>
      </c>
      <c r="J16" s="62" t="str">
        <f>IF(VLOOKUP([Field],Columns[],9,0)=0,"","-&gt;"&amp;VLOOKUP([Field],Columns[],9,0))</f>
        <v/>
      </c>
      <c r="K16" s="62" t="str">
        <f>"$table-&gt;"&amp;[Type]&amp;[Name]&amp;[Arg2]&amp;[Method1]&amp;[Method2]&amp;[Method3]&amp;[Method4]&amp;[Method5]&amp;";"</f>
        <v>$table-&gt;bigIncrements('id');</v>
      </c>
    </row>
    <row r="17" spans="1:11">
      <c r="A17" s="2" t="s">
        <v>761</v>
      </c>
      <c r="B17" s="62" t="s">
        <v>23</v>
      </c>
      <c r="C17" s="62" t="str">
        <f>VLOOKUP([Field],Columns[],2,0)&amp;"("</f>
        <v>string(</v>
      </c>
      <c r="D17" s="62" t="str">
        <f>IF(VLOOKUP([Field],Columns[],3,0)&lt;&gt;"","'"&amp;VLOOKUP([Field],Columns[],3,0)&amp;"'","")</f>
        <v>'name'</v>
      </c>
      <c r="E17" s="63" t="str">
        <f>IF(VLOOKUP([Field],Columns[],4,0)&lt;&gt;0,", "&amp;IF(ISERR(SEARCH(",",VLOOKUP([Field],Columns[],4,0))),"'"&amp;VLOOKUP([Field],Columns[],4,0)&amp;"'",VLOOKUP([Field],Columns[],4,0))&amp;")",")")</f>
        <v>, '128')</v>
      </c>
      <c r="F17" s="62" t="str">
        <f>IF(VLOOKUP([Field],Columns[],5,0)=0,"","-&gt;"&amp;VLOOKUP([Field],Columns[],5,0))</f>
        <v>-&gt;index()</v>
      </c>
      <c r="G17" s="62" t="str">
        <f>IF(VLOOKUP([Field],Columns[],6,0)=0,"","-&gt;"&amp;VLOOKUP([Field],Columns[],6,0))</f>
        <v/>
      </c>
      <c r="H17" s="62" t="str">
        <f>IF(VLOOKUP([Field],Columns[],7,0)=0,"","-&gt;"&amp;VLOOKUP([Field],Columns[],7,0))</f>
        <v/>
      </c>
      <c r="I17" s="62" t="str">
        <f>IF(VLOOKUP([Field],Columns[],8,0)=0,"","-&gt;"&amp;VLOOKUP([Field],Columns[],8,0))</f>
        <v/>
      </c>
      <c r="J17" s="62" t="str">
        <f>IF(VLOOKUP([Field],Columns[],9,0)=0,"","-&gt;"&amp;VLOOKUP([Field],Columns[],9,0))</f>
        <v/>
      </c>
      <c r="K17" s="62" t="str">
        <f>"$table-&gt;"&amp;[Type]&amp;[Name]&amp;[Arg2]&amp;[Method1]&amp;[Method2]&amp;[Method3]&amp;[Method4]&amp;[Method5]&amp;";"</f>
        <v>$table-&gt;string('name', '128')-&gt;index();</v>
      </c>
    </row>
    <row r="18" spans="1:11">
      <c r="A18" s="2" t="s">
        <v>761</v>
      </c>
      <c r="B18" s="62" t="s">
        <v>24</v>
      </c>
      <c r="C18" s="62" t="str">
        <f>VLOOKUP([Field],Columns[],2,0)&amp;"("</f>
        <v>string(</v>
      </c>
      <c r="D18" s="62" t="str">
        <f>IF(VLOOKUP([Field],Columns[],3,0)&lt;&gt;"","'"&amp;VLOOKUP([Field],Columns[],3,0)&amp;"'","")</f>
        <v>'description'</v>
      </c>
      <c r="E18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8" s="62" t="str">
        <f>IF(VLOOKUP([Field],Columns[],5,0)=0,"","-&gt;"&amp;VLOOKUP([Field],Columns[],5,0))</f>
        <v>-&gt;nullable()</v>
      </c>
      <c r="G18" s="62" t="str">
        <f>IF(VLOOKUP([Field],Columns[],6,0)=0,"","-&gt;"&amp;VLOOKUP([Field],Columns[],6,0))</f>
        <v/>
      </c>
      <c r="H18" s="62" t="str">
        <f>IF(VLOOKUP([Field],Columns[],7,0)=0,"","-&gt;"&amp;VLOOKUP([Field],Columns[],7,0))</f>
        <v/>
      </c>
      <c r="I18" s="62" t="str">
        <f>IF(VLOOKUP([Field],Columns[],8,0)=0,"","-&gt;"&amp;VLOOKUP([Field],Columns[],8,0))</f>
        <v/>
      </c>
      <c r="J18" s="62" t="str">
        <f>IF(VLOOKUP([Field],Columns[],9,0)=0,"","-&gt;"&amp;VLOOKUP([Field],Columns[],9,0))</f>
        <v/>
      </c>
      <c r="K18" s="62" t="str">
        <f>"$table-&gt;"&amp;[Type]&amp;[Name]&amp;[Arg2]&amp;[Method1]&amp;[Method2]&amp;[Method3]&amp;[Method4]&amp;[Method5]&amp;";"</f>
        <v>$table-&gt;string('description', '1024')-&gt;nullable();</v>
      </c>
    </row>
    <row r="19" spans="1:11">
      <c r="A19" s="2" t="s">
        <v>761</v>
      </c>
      <c r="B19" s="62" t="s">
        <v>802</v>
      </c>
      <c r="C19" s="62" t="str">
        <f>VLOOKUP([Field],Columns[],2,0)&amp;"("</f>
        <v>enum(</v>
      </c>
      <c r="D19" s="62" t="str">
        <f>IF(VLOOKUP([Field],Columns[],3,0)&lt;&gt;"","'"&amp;VLOOKUP([Field],Columns[],3,0)&amp;"'","")</f>
        <v>'status'</v>
      </c>
      <c r="E1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" s="62" t="str">
        <f>IF(VLOOKUP([Field],Columns[],5,0)=0,"","-&gt;"&amp;VLOOKUP([Field],Columns[],5,0))</f>
        <v>-&gt;nullable()</v>
      </c>
      <c r="G19" s="62" t="str">
        <f>IF(VLOOKUP([Field],Columns[],6,0)=0,"","-&gt;"&amp;VLOOKUP([Field],Columns[],6,0))</f>
        <v>-&gt;default('Active')</v>
      </c>
      <c r="H19" s="62" t="str">
        <f>IF(VLOOKUP([Field],Columns[],7,0)=0,"","-&gt;"&amp;VLOOKUP([Field],Columns[],7,0))</f>
        <v/>
      </c>
      <c r="I19" s="62" t="str">
        <f>IF(VLOOKUP([Field],Columns[],8,0)=0,"","-&gt;"&amp;VLOOKUP([Field],Columns[],8,0))</f>
        <v/>
      </c>
      <c r="J19" s="62" t="str">
        <f>IF(VLOOKUP([Field],Columns[],9,0)=0,"","-&gt;"&amp;VLOOKUP([Field],Columns[],9,0))</f>
        <v/>
      </c>
      <c r="K1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" spans="1:11">
      <c r="A20" s="2" t="s">
        <v>761</v>
      </c>
      <c r="B20" s="62" t="s">
        <v>288</v>
      </c>
      <c r="C20" s="62" t="str">
        <f>VLOOKUP([Field],Columns[],2,0)&amp;"("</f>
        <v>audit(</v>
      </c>
      <c r="D20" s="62" t="str">
        <f>IF(VLOOKUP([Field],Columns[],3,0)&lt;&gt;"","'"&amp;VLOOKUP([Field],Columns[],3,0)&amp;"'","")</f>
        <v/>
      </c>
      <c r="E20" s="63" t="str">
        <f>IF(VLOOKUP([Field],Columns[],4,0)&lt;&gt;0,", "&amp;IF(ISERR(SEARCH(",",VLOOKUP([Field],Columns[],4,0))),"'"&amp;VLOOKUP([Field],Columns[],4,0)&amp;"'",VLOOKUP([Field],Columns[],4,0))&amp;")",")")</f>
        <v>)</v>
      </c>
      <c r="F20" s="62" t="str">
        <f>IF(VLOOKUP([Field],Columns[],5,0)=0,"","-&gt;"&amp;VLOOKUP([Field],Columns[],5,0))</f>
        <v/>
      </c>
      <c r="G20" s="62" t="str">
        <f>IF(VLOOKUP([Field],Columns[],6,0)=0,"","-&gt;"&amp;VLOOKUP([Field],Columns[],6,0))</f>
        <v/>
      </c>
      <c r="H20" s="62" t="str">
        <f>IF(VLOOKUP([Field],Columns[],7,0)=0,"","-&gt;"&amp;VLOOKUP([Field],Columns[],7,0))</f>
        <v/>
      </c>
      <c r="I20" s="62" t="str">
        <f>IF(VLOOKUP([Field],Columns[],8,0)=0,"","-&gt;"&amp;VLOOKUP([Field],Columns[],8,0))</f>
        <v/>
      </c>
      <c r="J20" s="62" t="str">
        <f>IF(VLOOKUP([Field],Columns[],9,0)=0,"","-&gt;"&amp;VLOOKUP([Field],Columns[],9,0))</f>
        <v/>
      </c>
      <c r="K20" s="62" t="str">
        <f>"$table-&gt;"&amp;[Type]&amp;[Name]&amp;[Arg2]&amp;[Method1]&amp;[Method2]&amp;[Method3]&amp;[Method4]&amp;[Method5]&amp;";"</f>
        <v>$table-&gt;audit();</v>
      </c>
    </row>
    <row r="21" spans="1:11">
      <c r="A21" s="2" t="s">
        <v>762</v>
      </c>
      <c r="B21" s="62" t="s">
        <v>21</v>
      </c>
      <c r="C21" s="62" t="str">
        <f>VLOOKUP([Field],Columns[],2,0)&amp;"("</f>
        <v>bigIncrements(</v>
      </c>
      <c r="D21" s="62" t="str">
        <f>IF(VLOOKUP([Field],Columns[],3,0)&lt;&gt;"","'"&amp;VLOOKUP([Field],Columns[],3,0)&amp;"'","")</f>
        <v>'id'</v>
      </c>
      <c r="E21" s="63" t="str">
        <f>IF(VLOOKUP([Field],Columns[],4,0)&lt;&gt;0,", "&amp;IF(ISERR(SEARCH(",",VLOOKUP([Field],Columns[],4,0))),"'"&amp;VLOOKUP([Field],Columns[],4,0)&amp;"'",VLOOKUP([Field],Columns[],4,0))&amp;")",")")</f>
        <v>)</v>
      </c>
      <c r="F21" s="62" t="str">
        <f>IF(VLOOKUP([Field],Columns[],5,0)=0,"","-&gt;"&amp;VLOOKUP([Field],Columns[],5,0))</f>
        <v/>
      </c>
      <c r="G21" s="62" t="str">
        <f>IF(VLOOKUP([Field],Columns[],6,0)=0,"","-&gt;"&amp;VLOOKUP([Field],Columns[],6,0))</f>
        <v/>
      </c>
      <c r="H21" s="62" t="str">
        <f>IF(VLOOKUP([Field],Columns[],7,0)=0,"","-&gt;"&amp;VLOOKUP([Field],Columns[],7,0))</f>
        <v/>
      </c>
      <c r="I21" s="62" t="str">
        <f>IF(VLOOKUP([Field],Columns[],8,0)=0,"","-&gt;"&amp;VLOOKUP([Field],Columns[],8,0))</f>
        <v/>
      </c>
      <c r="J21" s="62" t="str">
        <f>IF(VLOOKUP([Field],Columns[],9,0)=0,"","-&gt;"&amp;VLOOKUP([Field],Columns[],9,0))</f>
        <v/>
      </c>
      <c r="K21" s="62" t="str">
        <f>"$table-&gt;"&amp;[Type]&amp;[Name]&amp;[Arg2]&amp;[Method1]&amp;[Method2]&amp;[Method3]&amp;[Method4]&amp;[Method5]&amp;";"</f>
        <v>$table-&gt;bigIncrements('id');</v>
      </c>
    </row>
    <row r="22" spans="1:11">
      <c r="A22" s="2" t="s">
        <v>762</v>
      </c>
      <c r="B22" s="62" t="s">
        <v>23</v>
      </c>
      <c r="C22" s="62" t="str">
        <f>VLOOKUP([Field],Columns[],2,0)&amp;"("</f>
        <v>string(</v>
      </c>
      <c r="D22" s="62" t="str">
        <f>IF(VLOOKUP([Field],Columns[],3,0)&lt;&gt;"","'"&amp;VLOOKUP([Field],Columns[],3,0)&amp;"'","")</f>
        <v>'name'</v>
      </c>
      <c r="E22" s="63" t="str">
        <f>IF(VLOOKUP([Field],Columns[],4,0)&lt;&gt;0,", "&amp;IF(ISERR(SEARCH(",",VLOOKUP([Field],Columns[],4,0))),"'"&amp;VLOOKUP([Field],Columns[],4,0)&amp;"'",VLOOKUP([Field],Columns[],4,0))&amp;")",")")</f>
        <v>, '128')</v>
      </c>
      <c r="F22" s="62" t="str">
        <f>IF(VLOOKUP([Field],Columns[],5,0)=0,"","-&gt;"&amp;VLOOKUP([Field],Columns[],5,0))</f>
        <v>-&gt;index()</v>
      </c>
      <c r="G22" s="62" t="str">
        <f>IF(VLOOKUP([Field],Columns[],6,0)=0,"","-&gt;"&amp;VLOOKUP([Field],Columns[],6,0))</f>
        <v/>
      </c>
      <c r="H22" s="62" t="str">
        <f>IF(VLOOKUP([Field],Columns[],7,0)=0,"","-&gt;"&amp;VLOOKUP([Field],Columns[],7,0))</f>
        <v/>
      </c>
      <c r="I22" s="62" t="str">
        <f>IF(VLOOKUP([Field],Columns[],8,0)=0,"","-&gt;"&amp;VLOOKUP([Field],Columns[],8,0))</f>
        <v/>
      </c>
      <c r="J22" s="62" t="str">
        <f>IF(VLOOKUP([Field],Columns[],9,0)=0,"","-&gt;"&amp;VLOOKUP([Field],Columns[],9,0))</f>
        <v/>
      </c>
      <c r="K22" s="62" t="str">
        <f>"$table-&gt;"&amp;[Type]&amp;[Name]&amp;[Arg2]&amp;[Method1]&amp;[Method2]&amp;[Method3]&amp;[Method4]&amp;[Method5]&amp;";"</f>
        <v>$table-&gt;string('name', '128')-&gt;index();</v>
      </c>
    </row>
    <row r="23" spans="1:11">
      <c r="A23" s="2" t="s">
        <v>762</v>
      </c>
      <c r="B23" s="62" t="s">
        <v>816</v>
      </c>
      <c r="C23" s="62" t="str">
        <f>VLOOKUP([Field],Columns[],2,0)&amp;"("</f>
        <v>foreignCascade(</v>
      </c>
      <c r="D23" s="62" t="str">
        <f>IF(VLOOKUP([Field],Columns[],3,0)&lt;&gt;"","'"&amp;VLOOKUP([Field],Columns[],3,0)&amp;"'","")</f>
        <v>'item'</v>
      </c>
      <c r="E23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23" s="62" t="str">
        <f>IF(VLOOKUP([Field],Columns[],5,0)=0,"","-&gt;"&amp;VLOOKUP([Field],Columns[],5,0))</f>
        <v/>
      </c>
      <c r="G23" s="62" t="str">
        <f>IF(VLOOKUP([Field],Columns[],6,0)=0,"","-&gt;"&amp;VLOOKUP([Field],Columns[],6,0))</f>
        <v/>
      </c>
      <c r="H23" s="62" t="str">
        <f>IF(VLOOKUP([Field],Columns[],7,0)=0,"","-&gt;"&amp;VLOOKUP([Field],Columns[],7,0))</f>
        <v/>
      </c>
      <c r="I23" s="62" t="str">
        <f>IF(VLOOKUP([Field],Columns[],8,0)=0,"","-&gt;"&amp;VLOOKUP([Field],Columns[],8,0))</f>
        <v/>
      </c>
      <c r="J23" s="62" t="str">
        <f>IF(VLOOKUP([Field],Columns[],9,0)=0,"","-&gt;"&amp;VLOOKUP([Field],Columns[],9,0))</f>
        <v/>
      </c>
      <c r="K23" s="62" t="str">
        <f>"$table-&gt;"&amp;[Type]&amp;[Name]&amp;[Arg2]&amp;[Method1]&amp;[Method2]&amp;[Method3]&amp;[Method4]&amp;[Method5]&amp;";"</f>
        <v>$table-&gt;foreignCascade('item', 'items');</v>
      </c>
    </row>
    <row r="24" spans="1:11">
      <c r="A24" s="2" t="s">
        <v>762</v>
      </c>
      <c r="B24" s="62" t="s">
        <v>813</v>
      </c>
      <c r="C24" s="62" t="str">
        <f>VLOOKUP([Field],Columns[],2,0)&amp;"("</f>
        <v>foreignCascade(</v>
      </c>
      <c r="D24" s="62" t="str">
        <f>IF(VLOOKUP([Field],Columns[],3,0)&lt;&gt;"","'"&amp;VLOOKUP([Field],Columns[],3,0)&amp;"'","")</f>
        <v>'service'</v>
      </c>
      <c r="E24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4" s="62" t="str">
        <f>IF(VLOOKUP([Field],Columns[],5,0)=0,"","-&gt;"&amp;VLOOKUP([Field],Columns[],5,0))</f>
        <v/>
      </c>
      <c r="G24" s="62" t="str">
        <f>IF(VLOOKUP([Field],Columns[],6,0)=0,"","-&gt;"&amp;VLOOKUP([Field],Columns[],6,0))</f>
        <v/>
      </c>
      <c r="H24" s="62" t="str">
        <f>IF(VLOOKUP([Field],Columns[],7,0)=0,"","-&gt;"&amp;VLOOKUP([Field],Columns[],7,0))</f>
        <v/>
      </c>
      <c r="I24" s="62" t="str">
        <f>IF(VLOOKUP([Field],Columns[],8,0)=0,"","-&gt;"&amp;VLOOKUP([Field],Columns[],8,0))</f>
        <v/>
      </c>
      <c r="J24" s="62" t="str">
        <f>IF(VLOOKUP([Field],Columns[],9,0)=0,"","-&gt;"&amp;VLOOKUP([Field],Columns[],9,0))</f>
        <v/>
      </c>
      <c r="K24" s="62" t="str">
        <f>"$table-&gt;"&amp;[Type]&amp;[Name]&amp;[Arg2]&amp;[Method1]&amp;[Method2]&amp;[Method3]&amp;[Method4]&amp;[Method5]&amp;";"</f>
        <v>$table-&gt;foreignCascade('service', 'services');</v>
      </c>
    </row>
    <row r="25" spans="1:11">
      <c r="A25" s="2" t="s">
        <v>762</v>
      </c>
      <c r="B25" s="2" t="s">
        <v>802</v>
      </c>
      <c r="C25" s="2" t="str">
        <f>VLOOKUP([Field],Columns[],2,0)&amp;"("</f>
        <v>enum(</v>
      </c>
      <c r="D25" s="2" t="str">
        <f>IF(VLOOKUP([Field],Columns[],3,0)&lt;&gt;"","'"&amp;VLOOKUP([Field],Columns[],3,0)&amp;"'","")</f>
        <v>'status'</v>
      </c>
      <c r="E25" s="9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5" s="2" t="str">
        <f>IF(VLOOKUP([Field],Columns[],5,0)=0,"","-&gt;"&amp;VLOOKUP([Field],Columns[],5,0))</f>
        <v>-&gt;nullable()</v>
      </c>
      <c r="G25" s="2" t="str">
        <f>IF(VLOOKUP([Field],Columns[],6,0)=0,"","-&gt;"&amp;VLOOKUP([Field],Columns[],6,0))</f>
        <v>-&gt;default('Active')</v>
      </c>
      <c r="H25" s="2" t="str">
        <f>IF(VLOOKUP([Field],Columns[],7,0)=0,"","-&gt;"&amp;VLOOKUP([Field],Columns[],7,0))</f>
        <v/>
      </c>
      <c r="I25" s="2" t="str">
        <f>IF(VLOOKUP([Field],Columns[],8,0)=0,"","-&gt;"&amp;VLOOKUP([Field],Columns[],8,0))</f>
        <v/>
      </c>
      <c r="J25" s="2" t="str">
        <f>IF(VLOOKUP([Field],Columns[],9,0)=0,"","-&gt;"&amp;VLOOKUP([Field],Columns[],9,0))</f>
        <v/>
      </c>
      <c r="K25" s="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6" spans="1:11">
      <c r="A26" s="2" t="s">
        <v>762</v>
      </c>
      <c r="B26" s="62" t="s">
        <v>288</v>
      </c>
      <c r="C26" s="62" t="str">
        <f>VLOOKUP([Field],Columns[],2,0)&amp;"("</f>
        <v>audit(</v>
      </c>
      <c r="D26" s="62" t="str">
        <f>IF(VLOOKUP([Field],Columns[],3,0)&lt;&gt;"","'"&amp;VLOOKUP([Field],Columns[],3,0)&amp;"'","")</f>
        <v/>
      </c>
      <c r="E26" s="63" t="str">
        <f>IF(VLOOKUP([Field],Columns[],4,0)&lt;&gt;0,", "&amp;IF(ISERR(SEARCH(",",VLOOKUP([Field],Columns[],4,0))),"'"&amp;VLOOKUP([Field],Columns[],4,0)&amp;"'",VLOOKUP([Field],Columns[],4,0))&amp;")",")")</f>
        <v>)</v>
      </c>
      <c r="F26" s="62" t="str">
        <f>IF(VLOOKUP([Field],Columns[],5,0)=0,"","-&gt;"&amp;VLOOKUP([Field],Columns[],5,0))</f>
        <v/>
      </c>
      <c r="G26" s="62" t="str">
        <f>IF(VLOOKUP([Field],Columns[],6,0)=0,"","-&gt;"&amp;VLOOKUP([Field],Columns[],6,0))</f>
        <v/>
      </c>
      <c r="H26" s="62" t="str">
        <f>IF(VLOOKUP([Field],Columns[],7,0)=0,"","-&gt;"&amp;VLOOKUP([Field],Columns[],7,0))</f>
        <v/>
      </c>
      <c r="I26" s="62" t="str">
        <f>IF(VLOOKUP([Field],Columns[],8,0)=0,"","-&gt;"&amp;VLOOKUP([Field],Columns[],8,0))</f>
        <v/>
      </c>
      <c r="J26" s="62" t="str">
        <f>IF(VLOOKUP([Field],Columns[],9,0)=0,"","-&gt;"&amp;VLOOKUP([Field],Columns[],9,0))</f>
        <v/>
      </c>
      <c r="K26" s="62" t="str">
        <f>"$table-&gt;"&amp;[Type]&amp;[Name]&amp;[Arg2]&amp;[Method1]&amp;[Method2]&amp;[Method3]&amp;[Method4]&amp;[Method5]&amp;";"</f>
        <v>$table-&gt;audit();</v>
      </c>
    </row>
    <row r="27" spans="1:11">
      <c r="A27" s="2" t="s">
        <v>765</v>
      </c>
      <c r="B27" s="62" t="s">
        <v>21</v>
      </c>
      <c r="C27" s="62" t="str">
        <f>VLOOKUP([Field],Columns[],2,0)&amp;"("</f>
        <v>bigIncrements(</v>
      </c>
      <c r="D27" s="62" t="str">
        <f>IF(VLOOKUP([Field],Columns[],3,0)&lt;&gt;"","'"&amp;VLOOKUP([Field],Columns[],3,0)&amp;"'","")</f>
        <v>'id'</v>
      </c>
      <c r="E27" s="63" t="str">
        <f>IF(VLOOKUP([Field],Columns[],4,0)&lt;&gt;0,", "&amp;IF(ISERR(SEARCH(",",VLOOKUP([Field],Columns[],4,0))),"'"&amp;VLOOKUP([Field],Columns[],4,0)&amp;"'",VLOOKUP([Field],Columns[],4,0))&amp;")",")")</f>
        <v>)</v>
      </c>
      <c r="F27" s="62" t="str">
        <f>IF(VLOOKUP([Field],Columns[],5,0)=0,"","-&gt;"&amp;VLOOKUP([Field],Columns[],5,0))</f>
        <v/>
      </c>
      <c r="G27" s="62" t="str">
        <f>IF(VLOOKUP([Field],Columns[],6,0)=0,"","-&gt;"&amp;VLOOKUP([Field],Columns[],6,0))</f>
        <v/>
      </c>
      <c r="H27" s="62" t="str">
        <f>IF(VLOOKUP([Field],Columns[],7,0)=0,"","-&gt;"&amp;VLOOKUP([Field],Columns[],7,0))</f>
        <v/>
      </c>
      <c r="I27" s="62" t="str">
        <f>IF(VLOOKUP([Field],Columns[],8,0)=0,"","-&gt;"&amp;VLOOKUP([Field],Columns[],8,0))</f>
        <v/>
      </c>
      <c r="J27" s="62" t="str">
        <f>IF(VLOOKUP([Field],Columns[],9,0)=0,"","-&gt;"&amp;VLOOKUP([Field],Columns[],9,0))</f>
        <v/>
      </c>
      <c r="K27" s="62" t="str">
        <f>"$table-&gt;"&amp;[Type]&amp;[Name]&amp;[Arg2]&amp;[Method1]&amp;[Method2]&amp;[Method3]&amp;[Method4]&amp;[Method5]&amp;";"</f>
        <v>$table-&gt;bigIncrements('id');</v>
      </c>
    </row>
    <row r="28" spans="1:11">
      <c r="A28" s="2" t="s">
        <v>765</v>
      </c>
      <c r="B28" s="62" t="s">
        <v>825</v>
      </c>
      <c r="C28" s="62" t="str">
        <f>VLOOKUP([Field],Columns[],2,0)&amp;"("</f>
        <v>foreignCascade(</v>
      </c>
      <c r="D28" s="62" t="str">
        <f>IF(VLOOKUP([Field],Columns[],3,0)&lt;&gt;"","'"&amp;VLOOKUP([Field],Columns[],3,0)&amp;"'","")</f>
        <v>'user'</v>
      </c>
      <c r="E2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28" s="62" t="str">
        <f>IF(VLOOKUP([Field],Columns[],5,0)=0,"","-&gt;"&amp;VLOOKUP([Field],Columns[],5,0))</f>
        <v/>
      </c>
      <c r="G28" s="62" t="str">
        <f>IF(VLOOKUP([Field],Columns[],6,0)=0,"","-&gt;"&amp;VLOOKUP([Field],Columns[],6,0))</f>
        <v/>
      </c>
      <c r="H28" s="62" t="str">
        <f>IF(VLOOKUP([Field],Columns[],7,0)=0,"","-&gt;"&amp;VLOOKUP([Field],Columns[],7,0))</f>
        <v/>
      </c>
      <c r="I28" s="62" t="str">
        <f>IF(VLOOKUP([Field],Columns[],8,0)=0,"","-&gt;"&amp;VLOOKUP([Field],Columns[],8,0))</f>
        <v/>
      </c>
      <c r="J28" s="62" t="str">
        <f>IF(VLOOKUP([Field],Columns[],9,0)=0,"","-&gt;"&amp;VLOOKUP([Field],Columns[],9,0))</f>
        <v/>
      </c>
      <c r="K28" s="62" t="str">
        <f>"$table-&gt;"&amp;[Type]&amp;[Name]&amp;[Arg2]&amp;[Method1]&amp;[Method2]&amp;[Method3]&amp;[Method4]&amp;[Method5]&amp;";"</f>
        <v>$table-&gt;foreignCascade('user', 'users');</v>
      </c>
    </row>
    <row r="29" spans="1:11">
      <c r="A29" s="2" t="s">
        <v>765</v>
      </c>
      <c r="B29" s="62" t="s">
        <v>813</v>
      </c>
      <c r="C29" s="62" t="str">
        <f>VLOOKUP([Field],Columns[],2,0)&amp;"("</f>
        <v>foreignCascade(</v>
      </c>
      <c r="D29" s="62" t="str">
        <f>IF(VLOOKUP([Field],Columns[],3,0)&lt;&gt;"","'"&amp;VLOOKUP([Field],Columns[],3,0)&amp;"'","")</f>
        <v>'service'</v>
      </c>
      <c r="E29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9" s="62" t="str">
        <f>IF(VLOOKUP([Field],Columns[],5,0)=0,"","-&gt;"&amp;VLOOKUP([Field],Columns[],5,0))</f>
        <v/>
      </c>
      <c r="G29" s="62" t="str">
        <f>IF(VLOOKUP([Field],Columns[],6,0)=0,"","-&gt;"&amp;VLOOKUP([Field],Columns[],6,0))</f>
        <v/>
      </c>
      <c r="H29" s="62" t="str">
        <f>IF(VLOOKUP([Field],Columns[],7,0)=0,"","-&gt;"&amp;VLOOKUP([Field],Columns[],7,0))</f>
        <v/>
      </c>
      <c r="I29" s="62" t="str">
        <f>IF(VLOOKUP([Field],Columns[],8,0)=0,"","-&gt;"&amp;VLOOKUP([Field],Columns[],8,0))</f>
        <v/>
      </c>
      <c r="J29" s="62" t="str">
        <f>IF(VLOOKUP([Field],Columns[],9,0)=0,"","-&gt;"&amp;VLOOKUP([Field],Columns[],9,0))</f>
        <v/>
      </c>
      <c r="K29" s="62" t="str">
        <f>"$table-&gt;"&amp;[Type]&amp;[Name]&amp;[Arg2]&amp;[Method1]&amp;[Method2]&amp;[Method3]&amp;[Method4]&amp;[Method5]&amp;";"</f>
        <v>$table-&gt;foreignCascade('service', 'services');</v>
      </c>
    </row>
    <row r="30" spans="1:11">
      <c r="A30" s="2" t="s">
        <v>765</v>
      </c>
      <c r="B30" s="62" t="s">
        <v>288</v>
      </c>
      <c r="C30" s="62" t="str">
        <f>VLOOKUP([Field],Columns[],2,0)&amp;"("</f>
        <v>audit(</v>
      </c>
      <c r="D30" s="62" t="str">
        <f>IF(VLOOKUP([Field],Columns[],3,0)&lt;&gt;"","'"&amp;VLOOKUP([Field],Columns[],3,0)&amp;"'","")</f>
        <v/>
      </c>
      <c r="E30" s="63" t="str">
        <f>IF(VLOOKUP([Field],Columns[],4,0)&lt;&gt;0,", "&amp;IF(ISERR(SEARCH(",",VLOOKUP([Field],Columns[],4,0))),"'"&amp;VLOOKUP([Field],Columns[],4,0)&amp;"'",VLOOKUP([Field],Columns[],4,0))&amp;")",")")</f>
        <v>)</v>
      </c>
      <c r="F30" s="62" t="str">
        <f>IF(VLOOKUP([Field],Columns[],5,0)=0,"","-&gt;"&amp;VLOOKUP([Field],Columns[],5,0))</f>
        <v/>
      </c>
      <c r="G30" s="62" t="str">
        <f>IF(VLOOKUP([Field],Columns[],6,0)=0,"","-&gt;"&amp;VLOOKUP([Field],Columns[],6,0))</f>
        <v/>
      </c>
      <c r="H30" s="62" t="str">
        <f>IF(VLOOKUP([Field],Columns[],7,0)=0,"","-&gt;"&amp;VLOOKUP([Field],Columns[],7,0))</f>
        <v/>
      </c>
      <c r="I30" s="62" t="str">
        <f>IF(VLOOKUP([Field],Columns[],8,0)=0,"","-&gt;"&amp;VLOOKUP([Field],Columns[],8,0))</f>
        <v/>
      </c>
      <c r="J30" s="62" t="str">
        <f>IF(VLOOKUP([Field],Columns[],9,0)=0,"","-&gt;"&amp;VLOOKUP([Field],Columns[],9,0))</f>
        <v/>
      </c>
      <c r="K30" s="62" t="str">
        <f>"$table-&gt;"&amp;[Type]&amp;[Name]&amp;[Arg2]&amp;[Method1]&amp;[Method2]&amp;[Method3]&amp;[Method4]&amp;[Method5]&amp;";"</f>
        <v>$table-&gt;audit();</v>
      </c>
    </row>
    <row r="31" spans="1:11">
      <c r="A31" s="60" t="s">
        <v>1148</v>
      </c>
      <c r="B31" s="60" t="s">
        <v>21</v>
      </c>
      <c r="C31" s="62" t="str">
        <f>VLOOKUP([Field],Columns[],2,0)&amp;"("</f>
        <v>bigIncrements(</v>
      </c>
      <c r="D31" s="62" t="str">
        <f>IF(VLOOKUP([Field],Columns[],3,0)&lt;&gt;"","'"&amp;VLOOKUP([Field],Columns[],3,0)&amp;"'","")</f>
        <v>'id'</v>
      </c>
      <c r="E31" s="63" t="str">
        <f>IF(VLOOKUP([Field],Columns[],4,0)&lt;&gt;0,", "&amp;IF(ISERR(SEARCH(",",VLOOKUP([Field],Columns[],4,0))),"'"&amp;VLOOKUP([Field],Columns[],4,0)&amp;"'",VLOOKUP([Field],Columns[],4,0))&amp;")",")")</f>
        <v>)</v>
      </c>
      <c r="F31" s="62" t="str">
        <f>IF(VLOOKUP([Field],Columns[],5,0)=0,"","-&gt;"&amp;VLOOKUP([Field],Columns[],5,0))</f>
        <v/>
      </c>
      <c r="G31" s="62" t="str">
        <f>IF(VLOOKUP([Field],Columns[],6,0)=0,"","-&gt;"&amp;VLOOKUP([Field],Columns[],6,0))</f>
        <v/>
      </c>
      <c r="H31" s="62" t="str">
        <f>IF(VLOOKUP([Field],Columns[],7,0)=0,"","-&gt;"&amp;VLOOKUP([Field],Columns[],7,0))</f>
        <v/>
      </c>
      <c r="I31" s="62" t="str">
        <f>IF(VLOOKUP([Field],Columns[],8,0)=0,"","-&gt;"&amp;VLOOKUP([Field],Columns[],8,0))</f>
        <v/>
      </c>
      <c r="J31" s="62" t="str">
        <f>IF(VLOOKUP([Field],Columns[],9,0)=0,"","-&gt;"&amp;VLOOKUP([Field],Columns[],9,0))</f>
        <v/>
      </c>
      <c r="K31" s="62" t="str">
        <f>"$table-&gt;"&amp;[Type]&amp;[Name]&amp;[Arg2]&amp;[Method1]&amp;[Method2]&amp;[Method3]&amp;[Method4]&amp;[Method5]&amp;";"</f>
        <v>$table-&gt;bigIncrements('id');</v>
      </c>
    </row>
    <row r="32" spans="1:11">
      <c r="A32" s="60" t="s">
        <v>1148</v>
      </c>
      <c r="B32" s="60" t="s">
        <v>829</v>
      </c>
      <c r="C32" s="62" t="str">
        <f>VLOOKUP([Field],Columns[],2,0)&amp;"("</f>
        <v>foreignCascade(</v>
      </c>
      <c r="D32" s="62" t="str">
        <f>IF(VLOOKUP([Field],Columns[],3,0)&lt;&gt;"","'"&amp;VLOOKUP([Field],Columns[],3,0)&amp;"'","")</f>
        <v>'customer'</v>
      </c>
      <c r="E3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2" s="62" t="str">
        <f>IF(VLOOKUP([Field],Columns[],5,0)=0,"","-&gt;"&amp;VLOOKUP([Field],Columns[],5,0))</f>
        <v/>
      </c>
      <c r="G32" s="62" t="str">
        <f>IF(VLOOKUP([Field],Columns[],6,0)=0,"","-&gt;"&amp;VLOOKUP([Field],Columns[],6,0))</f>
        <v/>
      </c>
      <c r="H32" s="62" t="str">
        <f>IF(VLOOKUP([Field],Columns[],7,0)=0,"","-&gt;"&amp;VLOOKUP([Field],Columns[],7,0))</f>
        <v/>
      </c>
      <c r="I32" s="62" t="str">
        <f>IF(VLOOKUP([Field],Columns[],8,0)=0,"","-&gt;"&amp;VLOOKUP([Field],Columns[],8,0))</f>
        <v/>
      </c>
      <c r="J32" s="62" t="str">
        <f>IF(VLOOKUP([Field],Columns[],9,0)=0,"","-&gt;"&amp;VLOOKUP([Field],Columns[],9,0))</f>
        <v/>
      </c>
      <c r="K32" s="62" t="str">
        <f>"$table-&gt;"&amp;[Type]&amp;[Name]&amp;[Arg2]&amp;[Method1]&amp;[Method2]&amp;[Method3]&amp;[Method4]&amp;[Method5]&amp;";"</f>
        <v>$table-&gt;foreignCascade('customer', 'users');</v>
      </c>
    </row>
    <row r="33" spans="1:11">
      <c r="A33" s="60" t="s">
        <v>1148</v>
      </c>
      <c r="B33" s="60" t="s">
        <v>796</v>
      </c>
      <c r="C33" s="62" t="str">
        <f>VLOOKUP([Field],Columns[],2,0)&amp;"("</f>
        <v>string(</v>
      </c>
      <c r="D33" s="62" t="str">
        <f>IF(VLOOKUP([Field],Columns[],3,0)&lt;&gt;"","'"&amp;VLOOKUP([Field],Columns[],3,0)&amp;"'","")</f>
        <v>'address'</v>
      </c>
      <c r="E3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33" s="62" t="str">
        <f>IF(VLOOKUP([Field],Columns[],5,0)=0,"","-&gt;"&amp;VLOOKUP([Field],Columns[],5,0))</f>
        <v>-&gt;nullable()</v>
      </c>
      <c r="G33" s="62" t="str">
        <f>IF(VLOOKUP([Field],Columns[],6,0)=0,"","-&gt;"&amp;VLOOKUP([Field],Columns[],6,0))</f>
        <v/>
      </c>
      <c r="H33" s="62" t="str">
        <f>IF(VLOOKUP([Field],Columns[],7,0)=0,"","-&gt;"&amp;VLOOKUP([Field],Columns[],7,0))</f>
        <v/>
      </c>
      <c r="I33" s="62" t="str">
        <f>IF(VLOOKUP([Field],Columns[],8,0)=0,"","-&gt;"&amp;VLOOKUP([Field],Columns[],8,0))</f>
        <v/>
      </c>
      <c r="J33" s="62" t="str">
        <f>IF(VLOOKUP([Field],Columns[],9,0)=0,"","-&gt;"&amp;VLOOKUP([Field],Columns[],9,0))</f>
        <v/>
      </c>
      <c r="K33" s="62" t="str">
        <f>"$table-&gt;"&amp;[Type]&amp;[Name]&amp;[Arg2]&amp;[Method1]&amp;[Method2]&amp;[Method3]&amp;[Method4]&amp;[Method5]&amp;";"</f>
        <v>$table-&gt;string('address', '1024')-&gt;nullable();</v>
      </c>
    </row>
    <row r="34" spans="1:11">
      <c r="A34" s="60" t="s">
        <v>1148</v>
      </c>
      <c r="B34" s="60" t="s">
        <v>799</v>
      </c>
      <c r="C34" s="62" t="str">
        <f>VLOOKUP([Field],Columns[],2,0)&amp;"("</f>
        <v>string(</v>
      </c>
      <c r="D34" s="62" t="str">
        <f>IF(VLOOKUP([Field],Columns[],3,0)&lt;&gt;"","'"&amp;VLOOKUP([Field],Columns[],3,0)&amp;"'","")</f>
        <v>'phone'</v>
      </c>
      <c r="E34" s="63" t="str">
        <f>IF(VLOOKUP([Field],Columns[],4,0)&lt;&gt;0,", "&amp;IF(ISERR(SEARCH(",",VLOOKUP([Field],Columns[],4,0))),"'"&amp;VLOOKUP([Field],Columns[],4,0)&amp;"'",VLOOKUP([Field],Columns[],4,0))&amp;")",")")</f>
        <v>, '64')</v>
      </c>
      <c r="F34" s="62" t="str">
        <f>IF(VLOOKUP([Field],Columns[],5,0)=0,"","-&gt;"&amp;VLOOKUP([Field],Columns[],5,0))</f>
        <v>-&gt;nullable()</v>
      </c>
      <c r="G34" s="62" t="str">
        <f>IF(VLOOKUP([Field],Columns[],6,0)=0,"","-&gt;"&amp;VLOOKUP([Field],Columns[],6,0))</f>
        <v/>
      </c>
      <c r="H34" s="62" t="str">
        <f>IF(VLOOKUP([Field],Columns[],7,0)=0,"","-&gt;"&amp;VLOOKUP([Field],Columns[],7,0))</f>
        <v/>
      </c>
      <c r="I34" s="62" t="str">
        <f>IF(VLOOKUP([Field],Columns[],8,0)=0,"","-&gt;"&amp;VLOOKUP([Field],Columns[],8,0))</f>
        <v/>
      </c>
      <c r="J34" s="62" t="str">
        <f>IF(VLOOKUP([Field],Columns[],9,0)=0,"","-&gt;"&amp;VLOOKUP([Field],Columns[],9,0))</f>
        <v/>
      </c>
      <c r="K34" s="62" t="str">
        <f>"$table-&gt;"&amp;[Type]&amp;[Name]&amp;[Arg2]&amp;[Method1]&amp;[Method2]&amp;[Method3]&amp;[Method4]&amp;[Method5]&amp;";"</f>
        <v>$table-&gt;string('phone', '64')-&gt;nullable();</v>
      </c>
    </row>
    <row r="35" spans="1:11">
      <c r="A35" s="60" t="s">
        <v>1148</v>
      </c>
      <c r="B35" s="60" t="s">
        <v>288</v>
      </c>
      <c r="C35" s="62" t="str">
        <f>VLOOKUP([Field],Columns[],2,0)&amp;"("</f>
        <v>audit(</v>
      </c>
      <c r="D35" s="62" t="str">
        <f>IF(VLOOKUP([Field],Columns[],3,0)&lt;&gt;"","'"&amp;VLOOKUP([Field],Columns[],3,0)&amp;"'","")</f>
        <v/>
      </c>
      <c r="E35" s="63" t="str">
        <f>IF(VLOOKUP([Field],Columns[],4,0)&lt;&gt;0,", "&amp;IF(ISERR(SEARCH(",",VLOOKUP([Field],Columns[],4,0))),"'"&amp;VLOOKUP([Field],Columns[],4,0)&amp;"'",VLOOKUP([Field],Columns[],4,0))&amp;")",")")</f>
        <v>)</v>
      </c>
      <c r="F35" s="62" t="str">
        <f>IF(VLOOKUP([Field],Columns[],5,0)=0,"","-&gt;"&amp;VLOOKUP([Field],Columns[],5,0))</f>
        <v/>
      </c>
      <c r="G35" s="62" t="str">
        <f>IF(VLOOKUP([Field],Columns[],6,0)=0,"","-&gt;"&amp;VLOOKUP([Field],Columns[],6,0))</f>
        <v/>
      </c>
      <c r="H35" s="62" t="str">
        <f>IF(VLOOKUP([Field],Columns[],7,0)=0,"","-&gt;"&amp;VLOOKUP([Field],Columns[],7,0))</f>
        <v/>
      </c>
      <c r="I35" s="62" t="str">
        <f>IF(VLOOKUP([Field],Columns[],8,0)=0,"","-&gt;"&amp;VLOOKUP([Field],Columns[],8,0))</f>
        <v/>
      </c>
      <c r="J35" s="62" t="str">
        <f>IF(VLOOKUP([Field],Columns[],9,0)=0,"","-&gt;"&amp;VLOOKUP([Field],Columns[],9,0))</f>
        <v/>
      </c>
      <c r="K35" s="62" t="str">
        <f>"$table-&gt;"&amp;[Type]&amp;[Name]&amp;[Arg2]&amp;[Method1]&amp;[Method2]&amp;[Method3]&amp;[Method4]&amp;[Method5]&amp;";"</f>
        <v>$table-&gt;audit();</v>
      </c>
    </row>
    <row r="36" spans="1:11">
      <c r="A36" s="2" t="s">
        <v>766</v>
      </c>
      <c r="B36" s="62" t="s">
        <v>21</v>
      </c>
      <c r="C36" s="62" t="str">
        <f>VLOOKUP([Field],Columns[],2,0)&amp;"("</f>
        <v>bigIncrements(</v>
      </c>
      <c r="D36" s="62" t="str">
        <f>IF(VLOOKUP([Field],Columns[],3,0)&lt;&gt;"","'"&amp;VLOOKUP([Field],Columns[],3,0)&amp;"'","")</f>
        <v>'id'</v>
      </c>
      <c r="E36" s="63" t="str">
        <f>IF(VLOOKUP([Field],Columns[],4,0)&lt;&gt;0,", "&amp;IF(ISERR(SEARCH(",",VLOOKUP([Field],Columns[],4,0))),"'"&amp;VLOOKUP([Field],Columns[],4,0)&amp;"'",VLOOKUP([Field],Columns[],4,0))&amp;")",")")</f>
        <v>)</v>
      </c>
      <c r="F36" s="62" t="str">
        <f>IF(VLOOKUP([Field],Columns[],5,0)=0,"","-&gt;"&amp;VLOOKUP([Field],Columns[],5,0))</f>
        <v/>
      </c>
      <c r="G36" s="62" t="str">
        <f>IF(VLOOKUP([Field],Columns[],6,0)=0,"","-&gt;"&amp;VLOOKUP([Field],Columns[],6,0))</f>
        <v/>
      </c>
      <c r="H36" s="62" t="str">
        <f>IF(VLOOKUP([Field],Columns[],7,0)=0,"","-&gt;"&amp;VLOOKUP([Field],Columns[],7,0))</f>
        <v/>
      </c>
      <c r="I36" s="62" t="str">
        <f>IF(VLOOKUP([Field],Columns[],8,0)=0,"","-&gt;"&amp;VLOOKUP([Field],Columns[],8,0))</f>
        <v/>
      </c>
      <c r="J36" s="62" t="str">
        <f>IF(VLOOKUP([Field],Columns[],9,0)=0,"","-&gt;"&amp;VLOOKUP([Field],Columns[],9,0))</f>
        <v/>
      </c>
      <c r="K36" s="62" t="str">
        <f>"$table-&gt;"&amp;[Type]&amp;[Name]&amp;[Arg2]&amp;[Method1]&amp;[Method2]&amp;[Method3]&amp;[Method4]&amp;[Method5]&amp;";"</f>
        <v>$table-&gt;bigIncrements('id');</v>
      </c>
    </row>
    <row r="37" spans="1:11">
      <c r="A37" s="2" t="s">
        <v>766</v>
      </c>
      <c r="B37" s="62" t="s">
        <v>810</v>
      </c>
      <c r="C37" s="62" t="str">
        <f>VLOOKUP([Field],Columns[],2,0)&amp;"("</f>
        <v>foreignCascade(</v>
      </c>
      <c r="D37" s="62" t="str">
        <f>IF(VLOOKUP([Field],Columns[],3,0)&lt;&gt;"","'"&amp;VLOOKUP([Field],Columns[],3,0)&amp;"'","")</f>
        <v>'hub'</v>
      </c>
      <c r="E3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37" s="62" t="str">
        <f>IF(VLOOKUP([Field],Columns[],5,0)=0,"","-&gt;"&amp;VLOOKUP([Field],Columns[],5,0))</f>
        <v/>
      </c>
      <c r="G37" s="62" t="str">
        <f>IF(VLOOKUP([Field],Columns[],6,0)=0,"","-&gt;"&amp;VLOOKUP([Field],Columns[],6,0))</f>
        <v/>
      </c>
      <c r="H37" s="62" t="str">
        <f>IF(VLOOKUP([Field],Columns[],7,0)=0,"","-&gt;"&amp;VLOOKUP([Field],Columns[],7,0))</f>
        <v/>
      </c>
      <c r="I37" s="62" t="str">
        <f>IF(VLOOKUP([Field],Columns[],8,0)=0,"","-&gt;"&amp;VLOOKUP([Field],Columns[],8,0))</f>
        <v/>
      </c>
      <c r="J37" s="62" t="str">
        <f>IF(VLOOKUP([Field],Columns[],9,0)=0,"","-&gt;"&amp;VLOOKUP([Field],Columns[],9,0))</f>
        <v/>
      </c>
      <c r="K37" s="62" t="str">
        <f>"$table-&gt;"&amp;[Type]&amp;[Name]&amp;[Arg2]&amp;[Method1]&amp;[Method2]&amp;[Method3]&amp;[Method4]&amp;[Method5]&amp;";"</f>
        <v>$table-&gt;foreignCascade('hub', 'hubs');</v>
      </c>
    </row>
    <row r="38" spans="1:11">
      <c r="A38" s="2" t="s">
        <v>766</v>
      </c>
      <c r="B38" s="62" t="s">
        <v>825</v>
      </c>
      <c r="C38" s="62" t="str">
        <f>VLOOKUP([Field],Columns[],2,0)&amp;"("</f>
        <v>foreignCascade(</v>
      </c>
      <c r="D38" s="62" t="str">
        <f>IF(VLOOKUP([Field],Columns[],3,0)&lt;&gt;"","'"&amp;VLOOKUP([Field],Columns[],3,0)&amp;"'","")</f>
        <v>'user'</v>
      </c>
      <c r="E3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8" s="62" t="str">
        <f>IF(VLOOKUP([Field],Columns[],5,0)=0,"","-&gt;"&amp;VLOOKUP([Field],Columns[],5,0))</f>
        <v/>
      </c>
      <c r="G38" s="62" t="str">
        <f>IF(VLOOKUP([Field],Columns[],6,0)=0,"","-&gt;"&amp;VLOOKUP([Field],Columns[],6,0))</f>
        <v/>
      </c>
      <c r="H38" s="62" t="str">
        <f>IF(VLOOKUP([Field],Columns[],7,0)=0,"","-&gt;"&amp;VLOOKUP([Field],Columns[],7,0))</f>
        <v/>
      </c>
      <c r="I38" s="62" t="str">
        <f>IF(VLOOKUP([Field],Columns[],8,0)=0,"","-&gt;"&amp;VLOOKUP([Field],Columns[],8,0))</f>
        <v/>
      </c>
      <c r="J38" s="62" t="str">
        <f>IF(VLOOKUP([Field],Columns[],9,0)=0,"","-&gt;"&amp;VLOOKUP([Field],Columns[],9,0))</f>
        <v/>
      </c>
      <c r="K38" s="62" t="str">
        <f>"$table-&gt;"&amp;[Type]&amp;[Name]&amp;[Arg2]&amp;[Method1]&amp;[Method2]&amp;[Method3]&amp;[Method4]&amp;[Method5]&amp;";"</f>
        <v>$table-&gt;foreignCascade('user', 'users');</v>
      </c>
    </row>
    <row r="39" spans="1:11">
      <c r="A39" s="2" t="s">
        <v>766</v>
      </c>
      <c r="B39" s="62" t="s">
        <v>288</v>
      </c>
      <c r="C39" s="62" t="str">
        <f>VLOOKUP([Field],Columns[],2,0)&amp;"("</f>
        <v>audit(</v>
      </c>
      <c r="D39" s="62" t="str">
        <f>IF(VLOOKUP([Field],Columns[],3,0)&lt;&gt;"","'"&amp;VLOOKUP([Field],Columns[],3,0)&amp;"'","")</f>
        <v/>
      </c>
      <c r="E39" s="63" t="str">
        <f>IF(VLOOKUP([Field],Columns[],4,0)&lt;&gt;0,", "&amp;IF(ISERR(SEARCH(",",VLOOKUP([Field],Columns[],4,0))),"'"&amp;VLOOKUP([Field],Columns[],4,0)&amp;"'",VLOOKUP([Field],Columns[],4,0))&amp;")",")")</f>
        <v>)</v>
      </c>
      <c r="F39" s="62" t="str">
        <f>IF(VLOOKUP([Field],Columns[],5,0)=0,"","-&gt;"&amp;VLOOKUP([Field],Columns[],5,0))</f>
        <v/>
      </c>
      <c r="G39" s="62" t="str">
        <f>IF(VLOOKUP([Field],Columns[],6,0)=0,"","-&gt;"&amp;VLOOKUP([Field],Columns[],6,0))</f>
        <v/>
      </c>
      <c r="H39" s="62" t="str">
        <f>IF(VLOOKUP([Field],Columns[],7,0)=0,"","-&gt;"&amp;VLOOKUP([Field],Columns[],7,0))</f>
        <v/>
      </c>
      <c r="I39" s="62" t="str">
        <f>IF(VLOOKUP([Field],Columns[],8,0)=0,"","-&gt;"&amp;VLOOKUP([Field],Columns[],8,0))</f>
        <v/>
      </c>
      <c r="J39" s="62" t="str">
        <f>IF(VLOOKUP([Field],Columns[],9,0)=0,"","-&gt;"&amp;VLOOKUP([Field],Columns[],9,0))</f>
        <v/>
      </c>
      <c r="K39" s="62" t="str">
        <f>"$table-&gt;"&amp;[Type]&amp;[Name]&amp;[Arg2]&amp;[Method1]&amp;[Method2]&amp;[Method3]&amp;[Method4]&amp;[Method5]&amp;";"</f>
        <v>$table-&gt;audit();</v>
      </c>
    </row>
    <row r="40" spans="1:11">
      <c r="A40" s="2" t="s">
        <v>1015</v>
      </c>
      <c r="B40" s="62" t="s">
        <v>21</v>
      </c>
      <c r="C40" s="62" t="str">
        <f>VLOOKUP([Field],Columns[],2,0)&amp;"("</f>
        <v>bigIncrements(</v>
      </c>
      <c r="D40" s="62" t="str">
        <f>IF(VLOOKUP([Field],Columns[],3,0)&lt;&gt;"","'"&amp;VLOOKUP([Field],Columns[],3,0)&amp;"'","")</f>
        <v>'id'</v>
      </c>
      <c r="E40" s="63" t="str">
        <f>IF(VLOOKUP([Field],Columns[],4,0)&lt;&gt;0,", "&amp;IF(ISERR(SEARCH(",",VLOOKUP([Field],Columns[],4,0))),"'"&amp;VLOOKUP([Field],Columns[],4,0)&amp;"'",VLOOKUP([Field],Columns[],4,0))&amp;")",")")</f>
        <v>)</v>
      </c>
      <c r="F40" s="62" t="str">
        <f>IF(VLOOKUP([Field],Columns[],5,0)=0,"","-&gt;"&amp;VLOOKUP([Field],Columns[],5,0))</f>
        <v/>
      </c>
      <c r="G40" s="62" t="str">
        <f>IF(VLOOKUP([Field],Columns[],6,0)=0,"","-&gt;"&amp;VLOOKUP([Field],Columns[],6,0))</f>
        <v/>
      </c>
      <c r="H40" s="62" t="str">
        <f>IF(VLOOKUP([Field],Columns[],7,0)=0,"","-&gt;"&amp;VLOOKUP([Field],Columns[],7,0))</f>
        <v/>
      </c>
      <c r="I40" s="62" t="str">
        <f>IF(VLOOKUP([Field],Columns[],8,0)=0,"","-&gt;"&amp;VLOOKUP([Field],Columns[],8,0))</f>
        <v/>
      </c>
      <c r="J40" s="62" t="str">
        <f>IF(VLOOKUP([Field],Columns[],9,0)=0,"","-&gt;"&amp;VLOOKUP([Field],Columns[],9,0))</f>
        <v/>
      </c>
      <c r="K40" s="62" t="str">
        <f>"$table-&gt;"&amp;[Type]&amp;[Name]&amp;[Arg2]&amp;[Method1]&amp;[Method2]&amp;[Method3]&amp;[Method4]&amp;[Method5]&amp;";"</f>
        <v>$table-&gt;bigIncrements('id');</v>
      </c>
    </row>
    <row r="41" spans="1:11">
      <c r="A41" s="2" t="s">
        <v>1015</v>
      </c>
      <c r="B41" s="62" t="s">
        <v>810</v>
      </c>
      <c r="C41" s="62" t="str">
        <f>VLOOKUP([Field],Columns[],2,0)&amp;"("</f>
        <v>foreignCascade(</v>
      </c>
      <c r="D41" s="62" t="str">
        <f>IF(VLOOKUP([Field],Columns[],3,0)&lt;&gt;"","'"&amp;VLOOKUP([Field],Columns[],3,0)&amp;"'","")</f>
        <v>'hub'</v>
      </c>
      <c r="E4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1" s="62" t="str">
        <f>IF(VLOOKUP([Field],Columns[],5,0)=0,"","-&gt;"&amp;VLOOKUP([Field],Columns[],5,0))</f>
        <v/>
      </c>
      <c r="G41" s="62" t="str">
        <f>IF(VLOOKUP([Field],Columns[],6,0)=0,"","-&gt;"&amp;VLOOKUP([Field],Columns[],6,0))</f>
        <v/>
      </c>
      <c r="H41" s="62" t="str">
        <f>IF(VLOOKUP([Field],Columns[],7,0)=0,"","-&gt;"&amp;VLOOKUP([Field],Columns[],7,0))</f>
        <v/>
      </c>
      <c r="I41" s="62" t="str">
        <f>IF(VLOOKUP([Field],Columns[],8,0)=0,"","-&gt;"&amp;VLOOKUP([Field],Columns[],8,0))</f>
        <v/>
      </c>
      <c r="J41" s="62" t="str">
        <f>IF(VLOOKUP([Field],Columns[],9,0)=0,"","-&gt;"&amp;VLOOKUP([Field],Columns[],9,0))</f>
        <v/>
      </c>
      <c r="K41" s="62" t="str">
        <f>"$table-&gt;"&amp;[Type]&amp;[Name]&amp;[Arg2]&amp;[Method1]&amp;[Method2]&amp;[Method3]&amp;[Method4]&amp;[Method5]&amp;";"</f>
        <v>$table-&gt;foreignCascade('hub', 'hubs');</v>
      </c>
    </row>
    <row r="42" spans="1:11">
      <c r="A42" s="2" t="s">
        <v>1015</v>
      </c>
      <c r="B42" s="62" t="s">
        <v>23</v>
      </c>
      <c r="C42" s="62" t="str">
        <f>VLOOKUP([Field],Columns[],2,0)&amp;"("</f>
        <v>string(</v>
      </c>
      <c r="D42" s="62" t="str">
        <f>IF(VLOOKUP([Field],Columns[],3,0)&lt;&gt;"","'"&amp;VLOOKUP([Field],Columns[],3,0)&amp;"'","")</f>
        <v>'name'</v>
      </c>
      <c r="E42" s="63" t="str">
        <f>IF(VLOOKUP([Field],Columns[],4,0)&lt;&gt;0,", "&amp;IF(ISERR(SEARCH(",",VLOOKUP([Field],Columns[],4,0))),"'"&amp;VLOOKUP([Field],Columns[],4,0)&amp;"'",VLOOKUP([Field],Columns[],4,0))&amp;")",")")</f>
        <v>, '128')</v>
      </c>
      <c r="F42" s="62" t="str">
        <f>IF(VLOOKUP([Field],Columns[],5,0)=0,"","-&gt;"&amp;VLOOKUP([Field],Columns[],5,0))</f>
        <v>-&gt;index()</v>
      </c>
      <c r="G42" s="62" t="str">
        <f>IF(VLOOKUP([Field],Columns[],6,0)=0,"","-&gt;"&amp;VLOOKUP([Field],Columns[],6,0))</f>
        <v/>
      </c>
      <c r="H42" s="62" t="str">
        <f>IF(VLOOKUP([Field],Columns[],7,0)=0,"","-&gt;"&amp;VLOOKUP([Field],Columns[],7,0))</f>
        <v/>
      </c>
      <c r="I42" s="62" t="str">
        <f>IF(VLOOKUP([Field],Columns[],8,0)=0,"","-&gt;"&amp;VLOOKUP([Field],Columns[],8,0))</f>
        <v/>
      </c>
      <c r="J42" s="62" t="str">
        <f>IF(VLOOKUP([Field],Columns[],9,0)=0,"","-&gt;"&amp;VLOOKUP([Field],Columns[],9,0))</f>
        <v/>
      </c>
      <c r="K42" s="62" t="str">
        <f>"$table-&gt;"&amp;[Type]&amp;[Name]&amp;[Arg2]&amp;[Method1]&amp;[Method2]&amp;[Method3]&amp;[Method4]&amp;[Method5]&amp;";"</f>
        <v>$table-&gt;string('name', '128')-&gt;index();</v>
      </c>
    </row>
    <row r="43" spans="1:11">
      <c r="A43" s="2" t="s">
        <v>1015</v>
      </c>
      <c r="B43" s="62" t="s">
        <v>1018</v>
      </c>
      <c r="C43" s="62" t="str">
        <f>VLOOKUP([Field],Columns[],2,0)&amp;"("</f>
        <v>enum(</v>
      </c>
      <c r="D43" s="62" t="str">
        <f>IF(VLOOKUP([Field],Columns[],3,0)&lt;&gt;"","'"&amp;VLOOKUP([Field],Columns[],3,0)&amp;"'","")</f>
        <v>'status'</v>
      </c>
      <c r="E43" s="63" t="str">
        <f>IF(VLOOKUP([Field],Columns[],4,0)&lt;&gt;0,", "&amp;IF(ISERR(SEARCH(",",VLOOKUP([Field],Columns[],4,0))),"'"&amp;VLOOKUP([Field],Columns[],4,0)&amp;"'",VLOOKUP([Field],Columns[],4,0))&amp;")",")")</f>
        <v>, ['Vacant','Occupied','Inactive'])</v>
      </c>
      <c r="F43" s="62" t="str">
        <f>IF(VLOOKUP([Field],Columns[],5,0)=0,"","-&gt;"&amp;VLOOKUP([Field],Columns[],5,0))</f>
        <v>-&gt;nullable()</v>
      </c>
      <c r="G43" s="62" t="str">
        <f>IF(VLOOKUP([Field],Columns[],6,0)=0,"","-&gt;"&amp;VLOOKUP([Field],Columns[],6,0))</f>
        <v>-&gt;default('Vacant')</v>
      </c>
      <c r="H43" s="62" t="str">
        <f>IF(VLOOKUP([Field],Columns[],7,0)=0,"","-&gt;"&amp;VLOOKUP([Field],Columns[],7,0))</f>
        <v/>
      </c>
      <c r="I43" s="62" t="str">
        <f>IF(VLOOKUP([Field],Columns[],8,0)=0,"","-&gt;"&amp;VLOOKUP([Field],Columns[],8,0))</f>
        <v/>
      </c>
      <c r="J43" s="62" t="str">
        <f>IF(VLOOKUP([Field],Columns[],9,0)=0,"","-&gt;"&amp;VLOOKUP([Field],Columns[],9,0))</f>
        <v/>
      </c>
      <c r="K43" s="62" t="str">
        <f>"$table-&gt;"&amp;[Type]&amp;[Name]&amp;[Arg2]&amp;[Method1]&amp;[Method2]&amp;[Method3]&amp;[Method4]&amp;[Method5]&amp;";"</f>
        <v>$table-&gt;enum('status', ['Vacant','Occupied','Inactive'])-&gt;nullable()-&gt;default('Vacant');</v>
      </c>
    </row>
    <row r="44" spans="1:11">
      <c r="A44" s="2" t="s">
        <v>1015</v>
      </c>
      <c r="B44" s="62" t="s">
        <v>288</v>
      </c>
      <c r="C44" s="62" t="str">
        <f>VLOOKUP([Field],Columns[],2,0)&amp;"("</f>
        <v>audit(</v>
      </c>
      <c r="D44" s="62" t="str">
        <f>IF(VLOOKUP([Field],Columns[],3,0)&lt;&gt;"","'"&amp;VLOOKUP([Field],Columns[],3,0)&amp;"'","")</f>
        <v/>
      </c>
      <c r="E44" s="63" t="str">
        <f>IF(VLOOKUP([Field],Columns[],4,0)&lt;&gt;0,", "&amp;IF(ISERR(SEARCH(",",VLOOKUP([Field],Columns[],4,0))),"'"&amp;VLOOKUP([Field],Columns[],4,0)&amp;"'",VLOOKUP([Field],Columns[],4,0))&amp;")",")")</f>
        <v>)</v>
      </c>
      <c r="F44" s="62" t="str">
        <f>IF(VLOOKUP([Field],Columns[],5,0)=0,"","-&gt;"&amp;VLOOKUP([Field],Columns[],5,0))</f>
        <v/>
      </c>
      <c r="G44" s="62" t="str">
        <f>IF(VLOOKUP([Field],Columns[],6,0)=0,"","-&gt;"&amp;VLOOKUP([Field],Columns[],6,0))</f>
        <v/>
      </c>
      <c r="H44" s="62" t="str">
        <f>IF(VLOOKUP([Field],Columns[],7,0)=0,"","-&gt;"&amp;VLOOKUP([Field],Columns[],7,0))</f>
        <v/>
      </c>
      <c r="I44" s="62" t="str">
        <f>IF(VLOOKUP([Field],Columns[],8,0)=0,"","-&gt;"&amp;VLOOKUP([Field],Columns[],8,0))</f>
        <v/>
      </c>
      <c r="J44" s="62" t="str">
        <f>IF(VLOOKUP([Field],Columns[],9,0)=0,"","-&gt;"&amp;VLOOKUP([Field],Columns[],9,0))</f>
        <v/>
      </c>
      <c r="K44" s="62" t="str">
        <f>"$table-&gt;"&amp;[Type]&amp;[Name]&amp;[Arg2]&amp;[Method1]&amp;[Method2]&amp;[Method3]&amp;[Method4]&amp;[Method5]&amp;";"</f>
        <v>$table-&gt;audit();</v>
      </c>
    </row>
    <row r="45" spans="1:11">
      <c r="A45" s="2" t="s">
        <v>1019</v>
      </c>
      <c r="B45" s="62" t="s">
        <v>21</v>
      </c>
      <c r="C45" s="62" t="str">
        <f>VLOOKUP([Field],Columns[],2,0)&amp;"("</f>
        <v>bigIncrements(</v>
      </c>
      <c r="D45" s="62" t="str">
        <f>IF(VLOOKUP([Field],Columns[],3,0)&lt;&gt;"","'"&amp;VLOOKUP([Field],Columns[],3,0)&amp;"'","")</f>
        <v>'id'</v>
      </c>
      <c r="E45" s="63" t="str">
        <f>IF(VLOOKUP([Field],Columns[],4,0)&lt;&gt;0,", "&amp;IF(ISERR(SEARCH(",",VLOOKUP([Field],Columns[],4,0))),"'"&amp;VLOOKUP([Field],Columns[],4,0)&amp;"'",VLOOKUP([Field],Columns[],4,0))&amp;")",")")</f>
        <v>)</v>
      </c>
      <c r="F45" s="62" t="str">
        <f>IF(VLOOKUP([Field],Columns[],5,0)=0,"","-&gt;"&amp;VLOOKUP([Field],Columns[],5,0))</f>
        <v/>
      </c>
      <c r="G45" s="62" t="str">
        <f>IF(VLOOKUP([Field],Columns[],6,0)=0,"","-&gt;"&amp;VLOOKUP([Field],Columns[],6,0))</f>
        <v/>
      </c>
      <c r="H45" s="62" t="str">
        <f>IF(VLOOKUP([Field],Columns[],7,0)=0,"","-&gt;"&amp;VLOOKUP([Field],Columns[],7,0))</f>
        <v/>
      </c>
      <c r="I45" s="62" t="str">
        <f>IF(VLOOKUP([Field],Columns[],8,0)=0,"","-&gt;"&amp;VLOOKUP([Field],Columns[],8,0))</f>
        <v/>
      </c>
      <c r="J45" s="62" t="str">
        <f>IF(VLOOKUP([Field],Columns[],9,0)=0,"","-&gt;"&amp;VLOOKUP([Field],Columns[],9,0))</f>
        <v/>
      </c>
      <c r="K45" s="62" t="str">
        <f>"$table-&gt;"&amp;[Type]&amp;[Name]&amp;[Arg2]&amp;[Method1]&amp;[Method2]&amp;[Method3]&amp;[Method4]&amp;[Method5]&amp;";"</f>
        <v>$table-&gt;bigIncrements('id');</v>
      </c>
    </row>
    <row r="46" spans="1:11">
      <c r="A46" s="2" t="s">
        <v>1019</v>
      </c>
      <c r="B46" s="62" t="s">
        <v>810</v>
      </c>
      <c r="C46" s="62" t="str">
        <f>VLOOKUP([Field],Columns[],2,0)&amp;"("</f>
        <v>foreignCascade(</v>
      </c>
      <c r="D46" s="62" t="str">
        <f>IF(VLOOKUP([Field],Columns[],3,0)&lt;&gt;"","'"&amp;VLOOKUP([Field],Columns[],3,0)&amp;"'","")</f>
        <v>'hub'</v>
      </c>
      <c r="E4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6" s="62" t="str">
        <f>IF(VLOOKUP([Field],Columns[],5,0)=0,"","-&gt;"&amp;VLOOKUP([Field],Columns[],5,0))</f>
        <v/>
      </c>
      <c r="G46" s="62" t="str">
        <f>IF(VLOOKUP([Field],Columns[],6,0)=0,"","-&gt;"&amp;VLOOKUP([Field],Columns[],6,0))</f>
        <v/>
      </c>
      <c r="H46" s="62" t="str">
        <f>IF(VLOOKUP([Field],Columns[],7,0)=0,"","-&gt;"&amp;VLOOKUP([Field],Columns[],7,0))</f>
        <v/>
      </c>
      <c r="I46" s="62" t="str">
        <f>IF(VLOOKUP([Field],Columns[],8,0)=0,"","-&gt;"&amp;VLOOKUP([Field],Columns[],8,0))</f>
        <v/>
      </c>
      <c r="J46" s="62" t="str">
        <f>IF(VLOOKUP([Field],Columns[],9,0)=0,"","-&gt;"&amp;VLOOKUP([Field],Columns[],9,0))</f>
        <v/>
      </c>
      <c r="K46" s="62" t="str">
        <f>"$table-&gt;"&amp;[Type]&amp;[Name]&amp;[Arg2]&amp;[Method1]&amp;[Method2]&amp;[Method3]&amp;[Method4]&amp;[Method5]&amp;";"</f>
        <v>$table-&gt;foreignCascade('hub', 'hubs');</v>
      </c>
    </row>
    <row r="47" spans="1:11">
      <c r="A47" s="2" t="s">
        <v>1019</v>
      </c>
      <c r="B47" s="62" t="s">
        <v>1017</v>
      </c>
      <c r="C47" s="62" t="str">
        <f>VLOOKUP([Field],Columns[],2,0)&amp;"("</f>
        <v>foreignCascade(</v>
      </c>
      <c r="D47" s="62" t="str">
        <f>IF(VLOOKUP([Field],Columns[],3,0)&lt;&gt;"","'"&amp;VLOOKUP([Field],Columns[],3,0)&amp;"'","")</f>
        <v>'shelf'</v>
      </c>
      <c r="E47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47" s="62" t="str">
        <f>IF(VLOOKUP([Field],Columns[],5,0)=0,"","-&gt;"&amp;VLOOKUP([Field],Columns[],5,0))</f>
        <v/>
      </c>
      <c r="G47" s="62" t="str">
        <f>IF(VLOOKUP([Field],Columns[],6,0)=0,"","-&gt;"&amp;VLOOKUP([Field],Columns[],6,0))</f>
        <v/>
      </c>
      <c r="H47" s="62" t="str">
        <f>IF(VLOOKUP([Field],Columns[],7,0)=0,"","-&gt;"&amp;VLOOKUP([Field],Columns[],7,0))</f>
        <v/>
      </c>
      <c r="I47" s="62" t="str">
        <f>IF(VLOOKUP([Field],Columns[],8,0)=0,"","-&gt;"&amp;VLOOKUP([Field],Columns[],8,0))</f>
        <v/>
      </c>
      <c r="J47" s="62" t="str">
        <f>IF(VLOOKUP([Field],Columns[],9,0)=0,"","-&gt;"&amp;VLOOKUP([Field],Columns[],9,0))</f>
        <v/>
      </c>
      <c r="K47" s="62" t="str">
        <f>"$table-&gt;"&amp;[Type]&amp;[Name]&amp;[Arg2]&amp;[Method1]&amp;[Method2]&amp;[Method3]&amp;[Method4]&amp;[Method5]&amp;";"</f>
        <v>$table-&gt;foreignCascade('shelf', 'shelf');</v>
      </c>
    </row>
    <row r="48" spans="1:11">
      <c r="A48" s="2" t="s">
        <v>1019</v>
      </c>
      <c r="B48" s="62" t="s">
        <v>288</v>
      </c>
      <c r="C48" s="62" t="str">
        <f>VLOOKUP([Field],Columns[],2,0)&amp;"("</f>
        <v>audit(</v>
      </c>
      <c r="D48" s="62" t="str">
        <f>IF(VLOOKUP([Field],Columns[],3,0)&lt;&gt;"","'"&amp;VLOOKUP([Field],Columns[],3,0)&amp;"'","")</f>
        <v/>
      </c>
      <c r="E48" s="63" t="str">
        <f>IF(VLOOKUP([Field],Columns[],4,0)&lt;&gt;0,", "&amp;IF(ISERR(SEARCH(",",VLOOKUP([Field],Columns[],4,0))),"'"&amp;VLOOKUP([Field],Columns[],4,0)&amp;"'",VLOOKUP([Field],Columns[],4,0))&amp;")",")")</f>
        <v>)</v>
      </c>
      <c r="F48" s="62" t="str">
        <f>IF(VLOOKUP([Field],Columns[],5,0)=0,"","-&gt;"&amp;VLOOKUP([Field],Columns[],5,0))</f>
        <v/>
      </c>
      <c r="G48" s="62" t="str">
        <f>IF(VLOOKUP([Field],Columns[],6,0)=0,"","-&gt;"&amp;VLOOKUP([Field],Columns[],6,0))</f>
        <v/>
      </c>
      <c r="H48" s="62" t="str">
        <f>IF(VLOOKUP([Field],Columns[],7,0)=0,"","-&gt;"&amp;VLOOKUP([Field],Columns[],7,0))</f>
        <v/>
      </c>
      <c r="I48" s="62" t="str">
        <f>IF(VLOOKUP([Field],Columns[],8,0)=0,"","-&gt;"&amp;VLOOKUP([Field],Columns[],8,0))</f>
        <v/>
      </c>
      <c r="J48" s="62" t="str">
        <f>IF(VLOOKUP([Field],Columns[],9,0)=0,"","-&gt;"&amp;VLOOKUP([Field],Columns[],9,0))</f>
        <v/>
      </c>
      <c r="K48" s="62" t="str">
        <f>"$table-&gt;"&amp;[Type]&amp;[Name]&amp;[Arg2]&amp;[Method1]&amp;[Method2]&amp;[Method3]&amp;[Method4]&amp;[Method5]&amp;";"</f>
        <v>$table-&gt;audit();</v>
      </c>
    </row>
    <row r="49" spans="1:11">
      <c r="A49" s="2" t="s">
        <v>763</v>
      </c>
      <c r="B49" s="62" t="s">
        <v>21</v>
      </c>
      <c r="C49" s="62" t="str">
        <f>VLOOKUP([Field],Columns[],2,0)&amp;"("</f>
        <v>bigIncrements(</v>
      </c>
      <c r="D49" s="62" t="str">
        <f>IF(VLOOKUP([Field],Columns[],3,0)&lt;&gt;"","'"&amp;VLOOKUP([Field],Columns[],3,0)&amp;"'","")</f>
        <v>'id'</v>
      </c>
      <c r="E49" s="63" t="str">
        <f>IF(VLOOKUP([Field],Columns[],4,0)&lt;&gt;0,", "&amp;IF(ISERR(SEARCH(",",VLOOKUP([Field],Columns[],4,0))),"'"&amp;VLOOKUP([Field],Columns[],4,0)&amp;"'",VLOOKUP([Field],Columns[],4,0))&amp;")",")")</f>
        <v>)</v>
      </c>
      <c r="F49" s="62" t="str">
        <f>IF(VLOOKUP([Field],Columns[],5,0)=0,"","-&gt;"&amp;VLOOKUP([Field],Columns[],5,0))</f>
        <v/>
      </c>
      <c r="G49" s="62" t="str">
        <f>IF(VLOOKUP([Field],Columns[],6,0)=0,"","-&gt;"&amp;VLOOKUP([Field],Columns[],6,0))</f>
        <v/>
      </c>
      <c r="H49" s="62" t="str">
        <f>IF(VLOOKUP([Field],Columns[],7,0)=0,"","-&gt;"&amp;VLOOKUP([Field],Columns[],7,0))</f>
        <v/>
      </c>
      <c r="I49" s="62" t="str">
        <f>IF(VLOOKUP([Field],Columns[],8,0)=0,"","-&gt;"&amp;VLOOKUP([Field],Columns[],8,0))</f>
        <v/>
      </c>
      <c r="J49" s="62" t="str">
        <f>IF(VLOOKUP([Field],Columns[],9,0)=0,"","-&gt;"&amp;VLOOKUP([Field],Columns[],9,0))</f>
        <v/>
      </c>
      <c r="K49" s="62" t="str">
        <f>"$table-&gt;"&amp;[Type]&amp;[Name]&amp;[Arg2]&amp;[Method1]&amp;[Method2]&amp;[Method3]&amp;[Method4]&amp;[Method5]&amp;";"</f>
        <v>$table-&gt;bigIncrements('id');</v>
      </c>
    </row>
    <row r="50" spans="1:11">
      <c r="A50" s="2" t="s">
        <v>763</v>
      </c>
      <c r="B50" s="62" t="s">
        <v>23</v>
      </c>
      <c r="C50" s="62" t="str">
        <f>VLOOKUP([Field],Columns[],2,0)&amp;"("</f>
        <v>string(</v>
      </c>
      <c r="D50" s="62" t="str">
        <f>IF(VLOOKUP([Field],Columns[],3,0)&lt;&gt;"","'"&amp;VLOOKUP([Field],Columns[],3,0)&amp;"'","")</f>
        <v>'name'</v>
      </c>
      <c r="E50" s="63" t="str">
        <f>IF(VLOOKUP([Field],Columns[],4,0)&lt;&gt;0,", "&amp;IF(ISERR(SEARCH(",",VLOOKUP([Field],Columns[],4,0))),"'"&amp;VLOOKUP([Field],Columns[],4,0)&amp;"'",VLOOKUP([Field],Columns[],4,0))&amp;")",")")</f>
        <v>, '128')</v>
      </c>
      <c r="F50" s="62" t="str">
        <f>IF(VLOOKUP([Field],Columns[],5,0)=0,"","-&gt;"&amp;VLOOKUP([Field],Columns[],5,0))</f>
        <v>-&gt;index()</v>
      </c>
      <c r="G50" s="62" t="str">
        <f>IF(VLOOKUP([Field],Columns[],6,0)=0,"","-&gt;"&amp;VLOOKUP([Field],Columns[],6,0))</f>
        <v/>
      </c>
      <c r="H50" s="62" t="str">
        <f>IF(VLOOKUP([Field],Columns[],7,0)=0,"","-&gt;"&amp;VLOOKUP([Field],Columns[],7,0))</f>
        <v/>
      </c>
      <c r="I50" s="62" t="str">
        <f>IF(VLOOKUP([Field],Columns[],8,0)=0,"","-&gt;"&amp;VLOOKUP([Field],Columns[],8,0))</f>
        <v/>
      </c>
      <c r="J50" s="62" t="str">
        <f>IF(VLOOKUP([Field],Columns[],9,0)=0,"","-&gt;"&amp;VLOOKUP([Field],Columns[],9,0))</f>
        <v/>
      </c>
      <c r="K50" s="62" t="str">
        <f>"$table-&gt;"&amp;[Type]&amp;[Name]&amp;[Arg2]&amp;[Method1]&amp;[Method2]&amp;[Method3]&amp;[Method4]&amp;[Method5]&amp;";"</f>
        <v>$table-&gt;string('name', '128')-&gt;index();</v>
      </c>
    </row>
    <row r="51" spans="1:11">
      <c r="A51" s="2" t="s">
        <v>763</v>
      </c>
      <c r="B51" s="62" t="s">
        <v>24</v>
      </c>
      <c r="C51" s="62" t="str">
        <f>VLOOKUP([Field],Columns[],2,0)&amp;"("</f>
        <v>string(</v>
      </c>
      <c r="D51" s="62" t="str">
        <f>IF(VLOOKUP([Field],Columns[],3,0)&lt;&gt;"","'"&amp;VLOOKUP([Field],Columns[],3,0)&amp;"'","")</f>
        <v>'description'</v>
      </c>
      <c r="E51" s="63" t="str">
        <f>IF(VLOOKUP([Field],Columns[],4,0)&lt;&gt;0,", "&amp;IF(ISERR(SEARCH(",",VLOOKUP([Field],Columns[],4,0))),"'"&amp;VLOOKUP([Field],Columns[],4,0)&amp;"'",VLOOKUP([Field],Columns[],4,0))&amp;")",")")</f>
        <v>, '1024')</v>
      </c>
      <c r="F51" s="62" t="str">
        <f>IF(VLOOKUP([Field],Columns[],5,0)=0,"","-&gt;"&amp;VLOOKUP([Field],Columns[],5,0))</f>
        <v>-&gt;nullable()</v>
      </c>
      <c r="G51" s="62" t="str">
        <f>IF(VLOOKUP([Field],Columns[],6,0)=0,"","-&gt;"&amp;VLOOKUP([Field],Columns[],6,0))</f>
        <v/>
      </c>
      <c r="H51" s="62" t="str">
        <f>IF(VLOOKUP([Field],Columns[],7,0)=0,"","-&gt;"&amp;VLOOKUP([Field],Columns[],7,0))</f>
        <v/>
      </c>
      <c r="I51" s="62" t="str">
        <f>IF(VLOOKUP([Field],Columns[],8,0)=0,"","-&gt;"&amp;VLOOKUP([Field],Columns[],8,0))</f>
        <v/>
      </c>
      <c r="J51" s="62" t="str">
        <f>IF(VLOOKUP([Field],Columns[],9,0)=0,"","-&gt;"&amp;VLOOKUP([Field],Columns[],9,0))</f>
        <v/>
      </c>
      <c r="K51" s="62" t="str">
        <f>"$table-&gt;"&amp;[Type]&amp;[Name]&amp;[Arg2]&amp;[Method1]&amp;[Method2]&amp;[Method3]&amp;[Method4]&amp;[Method5]&amp;";"</f>
        <v>$table-&gt;string('description', '1024')-&gt;nullable();</v>
      </c>
    </row>
    <row r="52" spans="1:11">
      <c r="A52" s="2" t="s">
        <v>763</v>
      </c>
      <c r="B52" s="62" t="s">
        <v>802</v>
      </c>
      <c r="C52" s="62" t="str">
        <f>VLOOKUP([Field],Columns[],2,0)&amp;"("</f>
        <v>enum(</v>
      </c>
      <c r="D52" s="62" t="str">
        <f>IF(VLOOKUP([Field],Columns[],3,0)&lt;&gt;"","'"&amp;VLOOKUP([Field],Columns[],3,0)&amp;"'","")</f>
        <v>'status'</v>
      </c>
      <c r="E5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2" s="62" t="str">
        <f>IF(VLOOKUP([Field],Columns[],5,0)=0,"","-&gt;"&amp;VLOOKUP([Field],Columns[],5,0))</f>
        <v>-&gt;nullable()</v>
      </c>
      <c r="G52" s="62" t="str">
        <f>IF(VLOOKUP([Field],Columns[],6,0)=0,"","-&gt;"&amp;VLOOKUP([Field],Columns[],6,0))</f>
        <v>-&gt;default('Active')</v>
      </c>
      <c r="H52" s="62" t="str">
        <f>IF(VLOOKUP([Field],Columns[],7,0)=0,"","-&gt;"&amp;VLOOKUP([Field],Columns[],7,0))</f>
        <v/>
      </c>
      <c r="I52" s="62" t="str">
        <f>IF(VLOOKUP([Field],Columns[],8,0)=0,"","-&gt;"&amp;VLOOKUP([Field],Columns[],8,0))</f>
        <v/>
      </c>
      <c r="J52" s="62" t="str">
        <f>IF(VLOOKUP([Field],Columns[],9,0)=0,"","-&gt;"&amp;VLOOKUP([Field],Columns[],9,0))</f>
        <v/>
      </c>
      <c r="K5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3" spans="1:11">
      <c r="A53" s="2" t="s">
        <v>763</v>
      </c>
      <c r="B53" s="62" t="s">
        <v>288</v>
      </c>
      <c r="C53" s="62" t="str">
        <f>VLOOKUP([Field],Columns[],2,0)&amp;"("</f>
        <v>audit(</v>
      </c>
      <c r="D53" s="62" t="str">
        <f>IF(VLOOKUP([Field],Columns[],3,0)&lt;&gt;"","'"&amp;VLOOKUP([Field],Columns[],3,0)&amp;"'","")</f>
        <v/>
      </c>
      <c r="E53" s="63" t="str">
        <f>IF(VLOOKUP([Field],Columns[],4,0)&lt;&gt;0,", "&amp;IF(ISERR(SEARCH(",",VLOOKUP([Field],Columns[],4,0))),"'"&amp;VLOOKUP([Field],Columns[],4,0)&amp;"'",VLOOKUP([Field],Columns[],4,0))&amp;")",")")</f>
        <v>)</v>
      </c>
      <c r="F53" s="62" t="str">
        <f>IF(VLOOKUP([Field],Columns[],5,0)=0,"","-&gt;"&amp;VLOOKUP([Field],Columns[],5,0))</f>
        <v/>
      </c>
      <c r="G53" s="62" t="str">
        <f>IF(VLOOKUP([Field],Columns[],6,0)=0,"","-&gt;"&amp;VLOOKUP([Field],Columns[],6,0))</f>
        <v/>
      </c>
      <c r="H53" s="62" t="str">
        <f>IF(VLOOKUP([Field],Columns[],7,0)=0,"","-&gt;"&amp;VLOOKUP([Field],Columns[],7,0))</f>
        <v/>
      </c>
      <c r="I53" s="62" t="str">
        <f>IF(VLOOKUP([Field],Columns[],8,0)=0,"","-&gt;"&amp;VLOOKUP([Field],Columns[],8,0))</f>
        <v/>
      </c>
      <c r="J53" s="62" t="str">
        <f>IF(VLOOKUP([Field],Columns[],9,0)=0,"","-&gt;"&amp;VLOOKUP([Field],Columns[],9,0))</f>
        <v/>
      </c>
      <c r="K53" s="62" t="str">
        <f>"$table-&gt;"&amp;[Type]&amp;[Name]&amp;[Arg2]&amp;[Method1]&amp;[Method2]&amp;[Method3]&amp;[Method4]&amp;[Method5]&amp;";"</f>
        <v>$table-&gt;audit();</v>
      </c>
    </row>
    <row r="54" spans="1:11">
      <c r="A54" s="2" t="s">
        <v>764</v>
      </c>
      <c r="B54" s="62" t="s">
        <v>21</v>
      </c>
      <c r="C54" s="62" t="str">
        <f>VLOOKUP([Field],Columns[],2,0)&amp;"("</f>
        <v>bigIncrements(</v>
      </c>
      <c r="D54" s="62" t="str">
        <f>IF(VLOOKUP([Field],Columns[],3,0)&lt;&gt;"","'"&amp;VLOOKUP([Field],Columns[],3,0)&amp;"'","")</f>
        <v>'id'</v>
      </c>
      <c r="E54" s="63" t="str">
        <f>IF(VLOOKUP([Field],Columns[],4,0)&lt;&gt;0,", "&amp;IF(ISERR(SEARCH(",",VLOOKUP([Field],Columns[],4,0))),"'"&amp;VLOOKUP([Field],Columns[],4,0)&amp;"'",VLOOKUP([Field],Columns[],4,0))&amp;")",")")</f>
        <v>)</v>
      </c>
      <c r="F54" s="62" t="str">
        <f>IF(VLOOKUP([Field],Columns[],5,0)=0,"","-&gt;"&amp;VLOOKUP([Field],Columns[],5,0))</f>
        <v/>
      </c>
      <c r="G54" s="62" t="str">
        <f>IF(VLOOKUP([Field],Columns[],6,0)=0,"","-&gt;"&amp;VLOOKUP([Field],Columns[],6,0))</f>
        <v/>
      </c>
      <c r="H54" s="62" t="str">
        <f>IF(VLOOKUP([Field],Columns[],7,0)=0,"","-&gt;"&amp;VLOOKUP([Field],Columns[],7,0))</f>
        <v/>
      </c>
      <c r="I54" s="62" t="str">
        <f>IF(VLOOKUP([Field],Columns[],8,0)=0,"","-&gt;"&amp;VLOOKUP([Field],Columns[],8,0))</f>
        <v/>
      </c>
      <c r="J54" s="62" t="str">
        <f>IF(VLOOKUP([Field],Columns[],9,0)=0,"","-&gt;"&amp;VLOOKUP([Field],Columns[],9,0))</f>
        <v/>
      </c>
      <c r="K54" s="62" t="str">
        <f>"$table-&gt;"&amp;[Type]&amp;[Name]&amp;[Arg2]&amp;[Method1]&amp;[Method2]&amp;[Method3]&amp;[Method4]&amp;[Method5]&amp;";"</f>
        <v>$table-&gt;bigIncrements('id');</v>
      </c>
    </row>
    <row r="55" spans="1:11">
      <c r="A55" s="2" t="s">
        <v>764</v>
      </c>
      <c r="B55" s="62" t="s">
        <v>819</v>
      </c>
      <c r="C55" s="62" t="str">
        <f>VLOOKUP([Field],Columns[],2,0)&amp;"("</f>
        <v>foreignCascade(</v>
      </c>
      <c r="D55" s="62" t="str">
        <f>IF(VLOOKUP([Field],Columns[],3,0)&lt;&gt;"","'"&amp;VLOOKUP([Field],Columns[],3,0)&amp;"'","")</f>
        <v>'pl'</v>
      </c>
      <c r="E55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55" s="62" t="str">
        <f>IF(VLOOKUP([Field],Columns[],5,0)=0,"","-&gt;"&amp;VLOOKUP([Field],Columns[],5,0))</f>
        <v/>
      </c>
      <c r="G55" s="62" t="str">
        <f>IF(VLOOKUP([Field],Columns[],6,0)=0,"","-&gt;"&amp;VLOOKUP([Field],Columns[],6,0))</f>
        <v/>
      </c>
      <c r="H55" s="62" t="str">
        <f>IF(VLOOKUP([Field],Columns[],7,0)=0,"","-&gt;"&amp;VLOOKUP([Field],Columns[],7,0))</f>
        <v/>
      </c>
      <c r="I55" s="62" t="str">
        <f>IF(VLOOKUP([Field],Columns[],8,0)=0,"","-&gt;"&amp;VLOOKUP([Field],Columns[],8,0))</f>
        <v/>
      </c>
      <c r="J55" s="62" t="str">
        <f>IF(VLOOKUP([Field],Columns[],9,0)=0,"","-&gt;"&amp;VLOOKUP([Field],Columns[],9,0))</f>
        <v/>
      </c>
      <c r="K55" s="62" t="str">
        <f>"$table-&gt;"&amp;[Type]&amp;[Name]&amp;[Arg2]&amp;[Method1]&amp;[Method2]&amp;[Method3]&amp;[Method4]&amp;[Method5]&amp;";"</f>
        <v>$table-&gt;foreignCascade('pl', 'pricelist');</v>
      </c>
    </row>
    <row r="56" spans="1:11">
      <c r="A56" s="2" t="s">
        <v>764</v>
      </c>
      <c r="B56" s="62" t="s">
        <v>822</v>
      </c>
      <c r="C56" s="62" t="str">
        <f>VLOOKUP([Field],Columns[],2,0)&amp;"("</f>
        <v>foreignCascade(</v>
      </c>
      <c r="D56" s="62" t="str">
        <f>IF(VLOOKUP([Field],Columns[],3,0)&lt;&gt;"","'"&amp;VLOOKUP([Field],Columns[],3,0)&amp;"'","")</f>
        <v>'is'</v>
      </c>
      <c r="E56" s="63" t="str">
        <f>IF(VLOOKUP([Field],Columns[],4,0)&lt;&gt;0,", "&amp;IF(ISERR(SEARCH(",",VLOOKUP([Field],Columns[],4,0))),"'"&amp;VLOOKUP([Field],Columns[],4,0)&amp;"'",VLOOKUP([Field],Columns[],4,0))&amp;")",")")</f>
        <v>, 'item_services')</v>
      </c>
      <c r="F56" s="62" t="str">
        <f>IF(VLOOKUP([Field],Columns[],5,0)=0,"","-&gt;"&amp;VLOOKUP([Field],Columns[],5,0))</f>
        <v/>
      </c>
      <c r="G56" s="62" t="str">
        <f>IF(VLOOKUP([Field],Columns[],6,0)=0,"","-&gt;"&amp;VLOOKUP([Field],Columns[],6,0))</f>
        <v/>
      </c>
      <c r="H56" s="62" t="str">
        <f>IF(VLOOKUP([Field],Columns[],7,0)=0,"","-&gt;"&amp;VLOOKUP([Field],Columns[],7,0))</f>
        <v/>
      </c>
      <c r="I56" s="62" t="str">
        <f>IF(VLOOKUP([Field],Columns[],8,0)=0,"","-&gt;"&amp;VLOOKUP([Field],Columns[],8,0))</f>
        <v/>
      </c>
      <c r="J56" s="62" t="str">
        <f>IF(VLOOKUP([Field],Columns[],9,0)=0,"","-&gt;"&amp;VLOOKUP([Field],Columns[],9,0))</f>
        <v/>
      </c>
      <c r="K56" s="62" t="str">
        <f>"$table-&gt;"&amp;[Type]&amp;[Name]&amp;[Arg2]&amp;[Method1]&amp;[Method2]&amp;[Method3]&amp;[Method4]&amp;[Method5]&amp;";"</f>
        <v>$table-&gt;foreignCascade('is', 'item_services');</v>
      </c>
    </row>
    <row r="57" spans="1:11">
      <c r="A57" s="2" t="s">
        <v>764</v>
      </c>
      <c r="B57" s="62" t="s">
        <v>847</v>
      </c>
      <c r="C57" s="62" t="str">
        <f>VLOOKUP([Field],Columns[],2,0)&amp;"("</f>
        <v>float(</v>
      </c>
      <c r="D57" s="62" t="str">
        <f>IF(VLOOKUP([Field],Columns[],3,0)&lt;&gt;"","'"&amp;VLOOKUP([Field],Columns[],3,0)&amp;"'","")</f>
        <v>'price'</v>
      </c>
      <c r="E57" s="63" t="str">
        <f>IF(VLOOKUP([Field],Columns[],4,0)&lt;&gt;0,", "&amp;IF(ISERR(SEARCH(",",VLOOKUP([Field],Columns[],4,0))),"'"&amp;VLOOKUP([Field],Columns[],4,0)&amp;"'",VLOOKUP([Field],Columns[],4,0))&amp;")",")")</f>
        <v>, 9,2)</v>
      </c>
      <c r="F57" s="62" t="str">
        <f>IF(VLOOKUP([Field],Columns[],5,0)=0,"","-&gt;"&amp;VLOOKUP([Field],Columns[],5,0))</f>
        <v>-&gt;nullable()</v>
      </c>
      <c r="G57" s="62" t="str">
        <f>IF(VLOOKUP([Field],Columns[],6,0)=0,"","-&gt;"&amp;VLOOKUP([Field],Columns[],6,0))</f>
        <v>-&gt;default(0)</v>
      </c>
      <c r="H57" s="62" t="str">
        <f>IF(VLOOKUP([Field],Columns[],7,0)=0,"","-&gt;"&amp;VLOOKUP([Field],Columns[],7,0))</f>
        <v/>
      </c>
      <c r="I57" s="62" t="str">
        <f>IF(VLOOKUP([Field],Columns[],8,0)=0,"","-&gt;"&amp;VLOOKUP([Field],Columns[],8,0))</f>
        <v/>
      </c>
      <c r="J57" s="62" t="str">
        <f>IF(VLOOKUP([Field],Columns[],9,0)=0,"","-&gt;"&amp;VLOOKUP([Field],Columns[],9,0))</f>
        <v/>
      </c>
      <c r="K57" s="62" t="str">
        <f>"$table-&gt;"&amp;[Type]&amp;[Name]&amp;[Arg2]&amp;[Method1]&amp;[Method2]&amp;[Method3]&amp;[Method4]&amp;[Method5]&amp;";"</f>
        <v>$table-&gt;float('price', 9,2)-&gt;nullable()-&gt;default(0);</v>
      </c>
    </row>
    <row r="58" spans="1:11">
      <c r="A58" s="2" t="s">
        <v>764</v>
      </c>
      <c r="B58" s="62" t="s">
        <v>802</v>
      </c>
      <c r="C58" s="62" t="str">
        <f>VLOOKUP([Field],Columns[],2,0)&amp;"("</f>
        <v>enum(</v>
      </c>
      <c r="D58" s="62" t="str">
        <f>IF(VLOOKUP([Field],Columns[],3,0)&lt;&gt;"","'"&amp;VLOOKUP([Field],Columns[],3,0)&amp;"'","")</f>
        <v>'status'</v>
      </c>
      <c r="E5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8" s="62" t="str">
        <f>IF(VLOOKUP([Field],Columns[],5,0)=0,"","-&gt;"&amp;VLOOKUP([Field],Columns[],5,0))</f>
        <v>-&gt;nullable()</v>
      </c>
      <c r="G58" s="62" t="str">
        <f>IF(VLOOKUP([Field],Columns[],6,0)=0,"","-&gt;"&amp;VLOOKUP([Field],Columns[],6,0))</f>
        <v>-&gt;default('Active')</v>
      </c>
      <c r="H58" s="62" t="str">
        <f>IF(VLOOKUP([Field],Columns[],7,0)=0,"","-&gt;"&amp;VLOOKUP([Field],Columns[],7,0))</f>
        <v/>
      </c>
      <c r="I58" s="62" t="str">
        <f>IF(VLOOKUP([Field],Columns[],8,0)=0,"","-&gt;"&amp;VLOOKUP([Field],Columns[],8,0))</f>
        <v/>
      </c>
      <c r="J58" s="62" t="str">
        <f>IF(VLOOKUP([Field],Columns[],9,0)=0,"","-&gt;"&amp;VLOOKUP([Field],Columns[],9,0))</f>
        <v/>
      </c>
      <c r="K5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9" spans="1:11">
      <c r="A59" s="2" t="s">
        <v>764</v>
      </c>
      <c r="B59" s="62" t="s">
        <v>288</v>
      </c>
      <c r="C59" s="62" t="str">
        <f>VLOOKUP([Field],Columns[],2,0)&amp;"("</f>
        <v>audit(</v>
      </c>
      <c r="D59" s="62" t="str">
        <f>IF(VLOOKUP([Field],Columns[],3,0)&lt;&gt;"","'"&amp;VLOOKUP([Field],Columns[],3,0)&amp;"'","")</f>
        <v/>
      </c>
      <c r="E59" s="63" t="str">
        <f>IF(VLOOKUP([Field],Columns[],4,0)&lt;&gt;0,", "&amp;IF(ISERR(SEARCH(",",VLOOKUP([Field],Columns[],4,0))),"'"&amp;VLOOKUP([Field],Columns[],4,0)&amp;"'",VLOOKUP([Field],Columns[],4,0))&amp;")",")")</f>
        <v>)</v>
      </c>
      <c r="F59" s="62" t="str">
        <f>IF(VLOOKUP([Field],Columns[],5,0)=0,"","-&gt;"&amp;VLOOKUP([Field],Columns[],5,0))</f>
        <v/>
      </c>
      <c r="G59" s="62" t="str">
        <f>IF(VLOOKUP([Field],Columns[],6,0)=0,"","-&gt;"&amp;VLOOKUP([Field],Columns[],6,0))</f>
        <v/>
      </c>
      <c r="H59" s="62" t="str">
        <f>IF(VLOOKUP([Field],Columns[],7,0)=0,"","-&gt;"&amp;VLOOKUP([Field],Columns[],7,0))</f>
        <v/>
      </c>
      <c r="I59" s="62" t="str">
        <f>IF(VLOOKUP([Field],Columns[],8,0)=0,"","-&gt;"&amp;VLOOKUP([Field],Columns[],8,0))</f>
        <v/>
      </c>
      <c r="J59" s="62" t="str">
        <f>IF(VLOOKUP([Field],Columns[],9,0)=0,"","-&gt;"&amp;VLOOKUP([Field],Columns[],9,0))</f>
        <v/>
      </c>
      <c r="K59" s="62" t="str">
        <f>"$table-&gt;"&amp;[Type]&amp;[Name]&amp;[Arg2]&amp;[Method1]&amp;[Method2]&amp;[Method3]&amp;[Method4]&amp;[Method5]&amp;";"</f>
        <v>$table-&gt;audit();</v>
      </c>
    </row>
    <row r="60" spans="1:11">
      <c r="A60" s="2" t="s">
        <v>770</v>
      </c>
      <c r="B60" s="62" t="s">
        <v>21</v>
      </c>
      <c r="C60" s="62" t="str">
        <f>VLOOKUP([Field],Columns[],2,0)&amp;"("</f>
        <v>bigIncrements(</v>
      </c>
      <c r="D60" s="62" t="str">
        <f>IF(VLOOKUP([Field],Columns[],3,0)&lt;&gt;"","'"&amp;VLOOKUP([Field],Columns[],3,0)&amp;"'","")</f>
        <v>'id'</v>
      </c>
      <c r="E60" s="63" t="str">
        <f>IF(VLOOKUP([Field],Columns[],4,0)&lt;&gt;0,", "&amp;IF(ISERR(SEARCH(",",VLOOKUP([Field],Columns[],4,0))),"'"&amp;VLOOKUP([Field],Columns[],4,0)&amp;"'",VLOOKUP([Field],Columns[],4,0))&amp;")",")")</f>
        <v>)</v>
      </c>
      <c r="F60" s="62" t="str">
        <f>IF(VLOOKUP([Field],Columns[],5,0)=0,"","-&gt;"&amp;VLOOKUP([Field],Columns[],5,0))</f>
        <v/>
      </c>
      <c r="G60" s="62" t="str">
        <f>IF(VLOOKUP([Field],Columns[],6,0)=0,"","-&gt;"&amp;VLOOKUP([Field],Columns[],6,0))</f>
        <v/>
      </c>
      <c r="H60" s="62" t="str">
        <f>IF(VLOOKUP([Field],Columns[],7,0)=0,"","-&gt;"&amp;VLOOKUP([Field],Columns[],7,0))</f>
        <v/>
      </c>
      <c r="I60" s="62" t="str">
        <f>IF(VLOOKUP([Field],Columns[],8,0)=0,"","-&gt;"&amp;VLOOKUP([Field],Columns[],8,0))</f>
        <v/>
      </c>
      <c r="J60" s="62" t="str">
        <f>IF(VLOOKUP([Field],Columns[],9,0)=0,"","-&gt;"&amp;VLOOKUP([Field],Columns[],9,0))</f>
        <v/>
      </c>
      <c r="K60" s="62" t="str">
        <f>"$table-&gt;"&amp;[Type]&amp;[Name]&amp;[Arg2]&amp;[Method1]&amp;[Method2]&amp;[Method3]&amp;[Method4]&amp;[Method5]&amp;";"</f>
        <v>$table-&gt;bigIncrements('id');</v>
      </c>
    </row>
    <row r="61" spans="1:11" s="20" customFormat="1">
      <c r="A61" s="2" t="s">
        <v>770</v>
      </c>
      <c r="B61" s="62" t="s">
        <v>807</v>
      </c>
      <c r="C61" s="62" t="str">
        <f>VLOOKUP([Field],Columns[],2,0)&amp;"("</f>
        <v>foreignNullable(</v>
      </c>
      <c r="D61" s="62" t="str">
        <f>IF(VLOOKUP([Field],Columns[],3,0)&lt;&gt;"","'"&amp;VLOOKUP([Field],Columns[],3,0)&amp;"'","")</f>
        <v>'hub'</v>
      </c>
      <c r="E6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61" s="62" t="str">
        <f>IF(VLOOKUP([Field],Columns[],5,0)=0,"","-&gt;"&amp;VLOOKUP([Field],Columns[],5,0))</f>
        <v/>
      </c>
      <c r="G61" s="62" t="str">
        <f>IF(VLOOKUP([Field],Columns[],6,0)=0,"","-&gt;"&amp;VLOOKUP([Field],Columns[],6,0))</f>
        <v/>
      </c>
      <c r="H61" s="62" t="str">
        <f>IF(VLOOKUP([Field],Columns[],7,0)=0,"","-&gt;"&amp;VLOOKUP([Field],Columns[],7,0))</f>
        <v/>
      </c>
      <c r="I61" s="62" t="str">
        <f>IF(VLOOKUP([Field],Columns[],8,0)=0,"","-&gt;"&amp;VLOOKUP([Field],Columns[],8,0))</f>
        <v/>
      </c>
      <c r="J61" s="62" t="str">
        <f>IF(VLOOKUP([Field],Columns[],9,0)=0,"","-&gt;"&amp;VLOOKUP([Field],Columns[],9,0))</f>
        <v/>
      </c>
      <c r="K61" s="62" t="str">
        <f>"$table-&gt;"&amp;[Type]&amp;[Name]&amp;[Arg2]&amp;[Method1]&amp;[Method2]&amp;[Method3]&amp;[Method4]&amp;[Method5]&amp;";"</f>
        <v>$table-&gt;foreignNullable('hub', 'hubs');</v>
      </c>
    </row>
    <row r="62" spans="1:11">
      <c r="A62" s="2" t="s">
        <v>770</v>
      </c>
      <c r="B62" s="62" t="s">
        <v>850</v>
      </c>
      <c r="C62" s="62" t="str">
        <f>VLOOKUP([Field],Columns[],2,0)&amp;"("</f>
        <v>string(</v>
      </c>
      <c r="D62" s="62" t="str">
        <f>IF(VLOOKUP([Field],Columns[],3,0)&lt;&gt;"","'"&amp;VLOOKUP([Field],Columns[],3,0)&amp;"'","")</f>
        <v>'code'</v>
      </c>
      <c r="E62" s="63" t="str">
        <f>IF(VLOOKUP([Field],Columns[],4,0)&lt;&gt;0,", "&amp;IF(ISERR(SEARCH(",",VLOOKUP([Field],Columns[],4,0))),"'"&amp;VLOOKUP([Field],Columns[],4,0)&amp;"'",VLOOKUP([Field],Columns[],4,0))&amp;")",")")</f>
        <v>, '16')</v>
      </c>
      <c r="F62" s="62" t="str">
        <f>IF(VLOOKUP([Field],Columns[],5,0)=0,"","-&gt;"&amp;VLOOKUP([Field],Columns[],5,0))</f>
        <v>-&gt;index()</v>
      </c>
      <c r="G62" s="62" t="str">
        <f>IF(VLOOKUP([Field],Columns[],6,0)=0,"","-&gt;"&amp;VLOOKUP([Field],Columns[],6,0))</f>
        <v>-&gt;nullable()</v>
      </c>
      <c r="H62" s="62" t="str">
        <f>IF(VLOOKUP([Field],Columns[],7,0)=0,"","-&gt;"&amp;VLOOKUP([Field],Columns[],7,0))</f>
        <v/>
      </c>
      <c r="I62" s="62" t="str">
        <f>IF(VLOOKUP([Field],Columns[],8,0)=0,"","-&gt;"&amp;VLOOKUP([Field],Columns[],8,0))</f>
        <v/>
      </c>
      <c r="J62" s="62" t="str">
        <f>IF(VLOOKUP([Field],Columns[],9,0)=0,"","-&gt;"&amp;VLOOKUP([Field],Columns[],9,0))</f>
        <v/>
      </c>
      <c r="K62" s="62" t="str">
        <f>"$table-&gt;"&amp;[Type]&amp;[Name]&amp;[Arg2]&amp;[Method1]&amp;[Method2]&amp;[Method3]&amp;[Method4]&amp;[Method5]&amp;";"</f>
        <v>$table-&gt;string('code', '16')-&gt;index()-&gt;nullable();</v>
      </c>
    </row>
    <row r="63" spans="1:11">
      <c r="A63" s="2" t="s">
        <v>770</v>
      </c>
      <c r="B63" s="62" t="s">
        <v>1000</v>
      </c>
      <c r="C63" s="62" t="str">
        <f>VLOOKUP([Field],Columns[],2,0)&amp;"("</f>
        <v>unsignedBigInteger(</v>
      </c>
      <c r="D63" s="62" t="str">
        <f>IF(VLOOKUP([Field],Columns[],3,0)&lt;&gt;"","'"&amp;VLOOKUP([Field],Columns[],3,0)&amp;"'","")</f>
        <v>'current'</v>
      </c>
      <c r="E63" s="63" t="str">
        <f>IF(VLOOKUP([Field],Columns[],4,0)&lt;&gt;0,", "&amp;IF(ISERR(SEARCH(",",VLOOKUP([Field],Columns[],4,0))),"'"&amp;VLOOKUP([Field],Columns[],4,0)&amp;"'",VLOOKUP([Field],Columns[],4,0))&amp;")",")")</f>
        <v>)</v>
      </c>
      <c r="F63" s="62" t="str">
        <f>IF(VLOOKUP([Field],Columns[],5,0)=0,"","-&gt;"&amp;VLOOKUP([Field],Columns[],5,0))</f>
        <v>-&gt;index()</v>
      </c>
      <c r="G63" s="62" t="str">
        <f>IF(VLOOKUP([Field],Columns[],6,0)=0,"","-&gt;"&amp;VLOOKUP([Field],Columns[],6,0))</f>
        <v>-&gt;nullable()</v>
      </c>
      <c r="H63" s="62" t="str">
        <f>IF(VLOOKUP([Field],Columns[],7,0)=0,"","-&gt;"&amp;VLOOKUP([Field],Columns[],7,0))</f>
        <v/>
      </c>
      <c r="I63" s="62" t="str">
        <f>IF(VLOOKUP([Field],Columns[],8,0)=0,"","-&gt;"&amp;VLOOKUP([Field],Columns[],8,0))</f>
        <v/>
      </c>
      <c r="J63" s="62" t="str">
        <f>IF(VLOOKUP([Field],Columns[],9,0)=0,"","-&gt;"&amp;VLOOKUP([Field],Columns[],9,0))</f>
        <v/>
      </c>
      <c r="K63" s="62" t="str">
        <f>"$table-&gt;"&amp;[Type]&amp;[Name]&amp;[Arg2]&amp;[Method1]&amp;[Method2]&amp;[Method3]&amp;[Method4]&amp;[Method5]&amp;";"</f>
        <v>$table-&gt;unsignedBigInteger('current')-&gt;index()-&gt;nullable();</v>
      </c>
    </row>
    <row r="64" spans="1:11">
      <c r="A64" s="2" t="s">
        <v>770</v>
      </c>
      <c r="B64" s="62" t="s">
        <v>802</v>
      </c>
      <c r="C64" s="62" t="str">
        <f>VLOOKUP([Field],Columns[],2,0)&amp;"("</f>
        <v>enum(</v>
      </c>
      <c r="D64" s="62" t="str">
        <f>IF(VLOOKUP([Field],Columns[],3,0)&lt;&gt;"","'"&amp;VLOOKUP([Field],Columns[],3,0)&amp;"'","")</f>
        <v>'status'</v>
      </c>
      <c r="E6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64" s="62" t="str">
        <f>IF(VLOOKUP([Field],Columns[],5,0)=0,"","-&gt;"&amp;VLOOKUP([Field],Columns[],5,0))</f>
        <v>-&gt;nullable()</v>
      </c>
      <c r="G64" s="62" t="str">
        <f>IF(VLOOKUP([Field],Columns[],6,0)=0,"","-&gt;"&amp;VLOOKUP([Field],Columns[],6,0))</f>
        <v>-&gt;default('Active')</v>
      </c>
      <c r="H64" s="62" t="str">
        <f>IF(VLOOKUP([Field],Columns[],7,0)=0,"","-&gt;"&amp;VLOOKUP([Field],Columns[],7,0))</f>
        <v/>
      </c>
      <c r="I64" s="62" t="str">
        <f>IF(VLOOKUP([Field],Columns[],8,0)=0,"","-&gt;"&amp;VLOOKUP([Field],Columns[],8,0))</f>
        <v/>
      </c>
      <c r="J64" s="62" t="str">
        <f>IF(VLOOKUP([Field],Columns[],9,0)=0,"","-&gt;"&amp;VLOOKUP([Field],Columns[],9,0))</f>
        <v/>
      </c>
      <c r="K6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65" spans="1:11">
      <c r="A65" s="2" t="s">
        <v>770</v>
      </c>
      <c r="B65" s="62" t="s">
        <v>288</v>
      </c>
      <c r="C65" s="62" t="str">
        <f>VLOOKUP([Field],Columns[],2,0)&amp;"("</f>
        <v>audit(</v>
      </c>
      <c r="D65" s="62" t="str">
        <f>IF(VLOOKUP([Field],Columns[],3,0)&lt;&gt;"","'"&amp;VLOOKUP([Field],Columns[],3,0)&amp;"'","")</f>
        <v/>
      </c>
      <c r="E65" s="63" t="str">
        <f>IF(VLOOKUP([Field],Columns[],4,0)&lt;&gt;0,", "&amp;IF(ISERR(SEARCH(",",VLOOKUP([Field],Columns[],4,0))),"'"&amp;VLOOKUP([Field],Columns[],4,0)&amp;"'",VLOOKUP([Field],Columns[],4,0))&amp;")",")")</f>
        <v>)</v>
      </c>
      <c r="F65" s="62" t="str">
        <f>IF(VLOOKUP([Field],Columns[],5,0)=0,"","-&gt;"&amp;VLOOKUP([Field],Columns[],5,0))</f>
        <v/>
      </c>
      <c r="G65" s="62" t="str">
        <f>IF(VLOOKUP([Field],Columns[],6,0)=0,"","-&gt;"&amp;VLOOKUP([Field],Columns[],6,0))</f>
        <v/>
      </c>
      <c r="H65" s="62" t="str">
        <f>IF(VLOOKUP([Field],Columns[],7,0)=0,"","-&gt;"&amp;VLOOKUP([Field],Columns[],7,0))</f>
        <v/>
      </c>
      <c r="I65" s="62" t="str">
        <f>IF(VLOOKUP([Field],Columns[],8,0)=0,"","-&gt;"&amp;VLOOKUP([Field],Columns[],8,0))</f>
        <v/>
      </c>
      <c r="J65" s="62" t="str">
        <f>IF(VLOOKUP([Field],Columns[],9,0)=0,"","-&gt;"&amp;VLOOKUP([Field],Columns[],9,0))</f>
        <v/>
      </c>
      <c r="K65" s="62" t="str">
        <f>"$table-&gt;"&amp;[Type]&amp;[Name]&amp;[Arg2]&amp;[Method1]&amp;[Method2]&amp;[Method3]&amp;[Method4]&amp;[Method5]&amp;";"</f>
        <v>$table-&gt;audit();</v>
      </c>
    </row>
    <row r="66" spans="1:11">
      <c r="A66" s="2" t="s">
        <v>768</v>
      </c>
      <c r="B66" s="62" t="s">
        <v>21</v>
      </c>
      <c r="C66" s="62" t="str">
        <f>VLOOKUP([Field],Columns[],2,0)&amp;"("</f>
        <v>bigIncrements(</v>
      </c>
      <c r="D66" s="62" t="str">
        <f>IF(VLOOKUP([Field],Columns[],3,0)&lt;&gt;"","'"&amp;VLOOKUP([Field],Columns[],3,0)&amp;"'","")</f>
        <v>'id'</v>
      </c>
      <c r="E66" s="63" t="str">
        <f>IF(VLOOKUP([Field],Columns[],4,0)&lt;&gt;0,", "&amp;IF(ISERR(SEARCH(",",VLOOKUP([Field],Columns[],4,0))),"'"&amp;VLOOKUP([Field],Columns[],4,0)&amp;"'",VLOOKUP([Field],Columns[],4,0))&amp;")",")")</f>
        <v>)</v>
      </c>
      <c r="F66" s="62" t="str">
        <f>IF(VLOOKUP([Field],Columns[],5,0)=0,"","-&gt;"&amp;VLOOKUP([Field],Columns[],5,0))</f>
        <v/>
      </c>
      <c r="G66" s="62" t="str">
        <f>IF(VLOOKUP([Field],Columns[],6,0)=0,"","-&gt;"&amp;VLOOKUP([Field],Columns[],6,0))</f>
        <v/>
      </c>
      <c r="H66" s="62" t="str">
        <f>IF(VLOOKUP([Field],Columns[],7,0)=0,"","-&gt;"&amp;VLOOKUP([Field],Columns[],7,0))</f>
        <v/>
      </c>
      <c r="I66" s="62" t="str">
        <f>IF(VLOOKUP([Field],Columns[],8,0)=0,"","-&gt;"&amp;VLOOKUP([Field],Columns[],8,0))</f>
        <v/>
      </c>
      <c r="J66" s="62" t="str">
        <f>IF(VLOOKUP([Field],Columns[],9,0)=0,"","-&gt;"&amp;VLOOKUP([Field],Columns[],9,0))</f>
        <v/>
      </c>
      <c r="K66" s="62" t="str">
        <f>"$table-&gt;"&amp;[Type]&amp;[Name]&amp;[Arg2]&amp;[Method1]&amp;[Method2]&amp;[Method3]&amp;[Method4]&amp;[Method5]&amp;";"</f>
        <v>$table-&gt;bigIncrements('id');</v>
      </c>
    </row>
    <row r="67" spans="1:11">
      <c r="A67" s="2" t="s">
        <v>768</v>
      </c>
      <c r="B67" s="62" t="s">
        <v>828</v>
      </c>
      <c r="C67" s="62" t="str">
        <f>VLOOKUP([Field],Columns[],2,0)&amp;"("</f>
        <v>foreignNullable(</v>
      </c>
      <c r="D67" s="62" t="str">
        <f>IF(VLOOKUP([Field],Columns[],3,0)&lt;&gt;"","'"&amp;VLOOKUP([Field],Columns[],3,0)&amp;"'","")</f>
        <v>'customer'</v>
      </c>
      <c r="E6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7" s="62" t="str">
        <f>IF(VLOOKUP([Field],Columns[],5,0)=0,"","-&gt;"&amp;VLOOKUP([Field],Columns[],5,0))</f>
        <v/>
      </c>
      <c r="G67" s="62" t="str">
        <f>IF(VLOOKUP([Field],Columns[],6,0)=0,"","-&gt;"&amp;VLOOKUP([Field],Columns[],6,0))</f>
        <v/>
      </c>
      <c r="H67" s="62" t="str">
        <f>IF(VLOOKUP([Field],Columns[],7,0)=0,"","-&gt;"&amp;VLOOKUP([Field],Columns[],7,0))</f>
        <v/>
      </c>
      <c r="I67" s="62" t="str">
        <f>IF(VLOOKUP([Field],Columns[],8,0)=0,"","-&gt;"&amp;VLOOKUP([Field],Columns[],8,0))</f>
        <v/>
      </c>
      <c r="J67" s="62" t="str">
        <f>IF(VLOOKUP([Field],Columns[],9,0)=0,"","-&gt;"&amp;VLOOKUP([Field],Columns[],9,0))</f>
        <v/>
      </c>
      <c r="K67" s="62" t="str">
        <f>"$table-&gt;"&amp;[Type]&amp;[Name]&amp;[Arg2]&amp;[Method1]&amp;[Method2]&amp;[Method3]&amp;[Method4]&amp;[Method5]&amp;";"</f>
        <v>$table-&gt;foreignNullable('customer', 'users');</v>
      </c>
    </row>
    <row r="68" spans="1:11">
      <c r="A68" s="2" t="s">
        <v>768</v>
      </c>
      <c r="B68" s="62" t="s">
        <v>827</v>
      </c>
      <c r="C68" s="62" t="str">
        <f>VLOOKUP([Field],Columns[],2,0)&amp;"("</f>
        <v>date(</v>
      </c>
      <c r="D68" s="62" t="str">
        <f>IF(VLOOKUP([Field],Columns[],3,0)&lt;&gt;"","'"&amp;VLOOKUP([Field],Columns[],3,0)&amp;"'","")</f>
        <v>'date'</v>
      </c>
      <c r="E68" s="63" t="str">
        <f>IF(VLOOKUP([Field],Columns[],4,0)&lt;&gt;0,", "&amp;IF(ISERR(SEARCH(",",VLOOKUP([Field],Columns[],4,0))),"'"&amp;VLOOKUP([Field],Columns[],4,0)&amp;"'",VLOOKUP([Field],Columns[],4,0))&amp;")",")")</f>
        <v>)</v>
      </c>
      <c r="F68" s="62" t="str">
        <f>IF(VLOOKUP([Field],Columns[],5,0)=0,"","-&gt;"&amp;VLOOKUP([Field],Columns[],5,0))</f>
        <v>-&gt;nullable()</v>
      </c>
      <c r="G68" s="62" t="str">
        <f>IF(VLOOKUP([Field],Columns[],6,0)=0,"","-&gt;"&amp;VLOOKUP([Field],Columns[],6,0))</f>
        <v/>
      </c>
      <c r="H68" s="62" t="str">
        <f>IF(VLOOKUP([Field],Columns[],7,0)=0,"","-&gt;"&amp;VLOOKUP([Field],Columns[],7,0))</f>
        <v/>
      </c>
      <c r="I68" s="62" t="str">
        <f>IF(VLOOKUP([Field],Columns[],8,0)=0,"","-&gt;"&amp;VLOOKUP([Field],Columns[],8,0))</f>
        <v/>
      </c>
      <c r="J68" s="62" t="str">
        <f>IF(VLOOKUP([Field],Columns[],9,0)=0,"","-&gt;"&amp;VLOOKUP([Field],Columns[],9,0))</f>
        <v/>
      </c>
      <c r="K68" s="62" t="str">
        <f>"$table-&gt;"&amp;[Type]&amp;[Name]&amp;[Arg2]&amp;[Method1]&amp;[Method2]&amp;[Method3]&amp;[Method4]&amp;[Method5]&amp;";"</f>
        <v>$table-&gt;date('date')-&gt;nullable();</v>
      </c>
    </row>
    <row r="69" spans="1:11">
      <c r="A69" s="2" t="s">
        <v>768</v>
      </c>
      <c r="B69" s="62" t="s">
        <v>818</v>
      </c>
      <c r="C69" s="62" t="str">
        <f>VLOOKUP([Field],Columns[],2,0)&amp;"("</f>
        <v>foreignNullable(</v>
      </c>
      <c r="D69" s="62" t="str">
        <f>IF(VLOOKUP([Field],Columns[],3,0)&lt;&gt;"","'"&amp;VLOOKUP([Field],Columns[],3,0)&amp;"'","")</f>
        <v>'pl'</v>
      </c>
      <c r="E69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69" s="62" t="str">
        <f>IF(VLOOKUP([Field],Columns[],5,0)=0,"","-&gt;"&amp;VLOOKUP([Field],Columns[],5,0))</f>
        <v/>
      </c>
      <c r="G69" s="62" t="str">
        <f>IF(VLOOKUP([Field],Columns[],6,0)=0,"","-&gt;"&amp;VLOOKUP([Field],Columns[],6,0))</f>
        <v/>
      </c>
      <c r="H69" s="62" t="str">
        <f>IF(VLOOKUP([Field],Columns[],7,0)=0,"","-&gt;"&amp;VLOOKUP([Field],Columns[],7,0))</f>
        <v/>
      </c>
      <c r="I69" s="62" t="str">
        <f>IF(VLOOKUP([Field],Columns[],8,0)=0,"","-&gt;"&amp;VLOOKUP([Field],Columns[],8,0))</f>
        <v/>
      </c>
      <c r="J69" s="62" t="str">
        <f>IF(VLOOKUP([Field],Columns[],9,0)=0,"","-&gt;"&amp;VLOOKUP([Field],Columns[],9,0))</f>
        <v/>
      </c>
      <c r="K69" s="62" t="str">
        <f>"$table-&gt;"&amp;[Type]&amp;[Name]&amp;[Arg2]&amp;[Method1]&amp;[Method2]&amp;[Method3]&amp;[Method4]&amp;[Method5]&amp;";"</f>
        <v>$table-&gt;foreignNullable('pl', 'pricelist');</v>
      </c>
    </row>
    <row r="70" spans="1:11">
      <c r="A70" s="2" t="s">
        <v>768</v>
      </c>
      <c r="B70" s="62" t="s">
        <v>824</v>
      </c>
      <c r="C70" s="62" t="str">
        <f>VLOOKUP([Field],Columns[],2,0)&amp;"("</f>
        <v>foreignNullable(</v>
      </c>
      <c r="D70" s="62" t="str">
        <f>IF(VLOOKUP([Field],Columns[],3,0)&lt;&gt;"","'"&amp;VLOOKUP([Field],Columns[],3,0)&amp;"'","")</f>
        <v>'user'</v>
      </c>
      <c r="E70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70" s="62" t="str">
        <f>IF(VLOOKUP([Field],Columns[],5,0)=0,"","-&gt;"&amp;VLOOKUP([Field],Columns[],5,0))</f>
        <v/>
      </c>
      <c r="G70" s="62" t="str">
        <f>IF(VLOOKUP([Field],Columns[],6,0)=0,"","-&gt;"&amp;VLOOKUP([Field],Columns[],6,0))</f>
        <v/>
      </c>
      <c r="H70" s="62" t="str">
        <f>IF(VLOOKUP([Field],Columns[],7,0)=0,"","-&gt;"&amp;VLOOKUP([Field],Columns[],7,0))</f>
        <v/>
      </c>
      <c r="I70" s="62" t="str">
        <f>IF(VLOOKUP([Field],Columns[],8,0)=0,"","-&gt;"&amp;VLOOKUP([Field],Columns[],8,0))</f>
        <v/>
      </c>
      <c r="J70" s="62" t="str">
        <f>IF(VLOOKUP([Field],Columns[],9,0)=0,"","-&gt;"&amp;VLOOKUP([Field],Columns[],9,0))</f>
        <v/>
      </c>
      <c r="K70" s="62" t="str">
        <f>"$table-&gt;"&amp;[Type]&amp;[Name]&amp;[Arg2]&amp;[Method1]&amp;[Method2]&amp;[Method3]&amp;[Method4]&amp;[Method5]&amp;";"</f>
        <v>$table-&gt;foreignNullable('user', 'users');</v>
      </c>
    </row>
    <row r="71" spans="1:11">
      <c r="A71" s="2" t="s">
        <v>768</v>
      </c>
      <c r="B71" s="62" t="s">
        <v>807</v>
      </c>
      <c r="C71" s="62" t="str">
        <f>VLOOKUP([Field],Columns[],2,0)&amp;"("</f>
        <v>foreignNullable(</v>
      </c>
      <c r="D71" s="62" t="str">
        <f>IF(VLOOKUP([Field],Columns[],3,0)&lt;&gt;"","'"&amp;VLOOKUP([Field],Columns[],3,0)&amp;"'","")</f>
        <v>'hub'</v>
      </c>
      <c r="E7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1" s="62" t="str">
        <f>IF(VLOOKUP([Field],Columns[],5,0)=0,"","-&gt;"&amp;VLOOKUP([Field],Columns[],5,0))</f>
        <v/>
      </c>
      <c r="G71" s="62" t="str">
        <f>IF(VLOOKUP([Field],Columns[],6,0)=0,"","-&gt;"&amp;VLOOKUP([Field],Columns[],6,0))</f>
        <v/>
      </c>
      <c r="H71" s="62" t="str">
        <f>IF(VLOOKUP([Field],Columns[],7,0)=0,"","-&gt;"&amp;VLOOKUP([Field],Columns[],7,0))</f>
        <v/>
      </c>
      <c r="I71" s="62" t="str">
        <f>IF(VLOOKUP([Field],Columns[],8,0)=0,"","-&gt;"&amp;VLOOKUP([Field],Columns[],8,0))</f>
        <v/>
      </c>
      <c r="J71" s="62" t="str">
        <f>IF(VLOOKUP([Field],Columns[],9,0)=0,"","-&gt;"&amp;VLOOKUP([Field],Columns[],9,0))</f>
        <v/>
      </c>
      <c r="K71" s="62" t="str">
        <f>"$table-&gt;"&amp;[Type]&amp;[Name]&amp;[Arg2]&amp;[Method1]&amp;[Method2]&amp;[Method3]&amp;[Method4]&amp;[Method5]&amp;";"</f>
        <v>$table-&gt;foreignNullable('hub', 'hubs');</v>
      </c>
    </row>
    <row r="72" spans="1:11">
      <c r="A72" s="2" t="s">
        <v>768</v>
      </c>
      <c r="B72" s="62" t="s">
        <v>885</v>
      </c>
      <c r="C72" s="62" t="str">
        <f>VLOOKUP([Field],Columns[],2,0)&amp;"("</f>
        <v>enum(</v>
      </c>
      <c r="D72" s="62" t="str">
        <f>IF(VLOOKUP([Field],Columns[],3,0)&lt;&gt;"","'"&amp;VLOOKUP([Field],Columns[],3,0)&amp;"'","")</f>
        <v>'progress'</v>
      </c>
      <c r="E72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 Partially','Delivered'])</v>
      </c>
      <c r="F72" s="62" t="str">
        <f>IF(VLOOKUP([Field],Columns[],5,0)=0,"","-&gt;"&amp;VLOOKUP([Field],Columns[],5,0))</f>
        <v>-&gt;nullable()</v>
      </c>
      <c r="G72" s="62" t="str">
        <f>IF(VLOOKUP([Field],Columns[],6,0)=0,"","-&gt;"&amp;VLOOKUP([Field],Columns[],6,0))</f>
        <v>-&gt;default('New')</v>
      </c>
      <c r="H72" s="62" t="str">
        <f>IF(VLOOKUP([Field],Columns[],7,0)=0,"","-&gt;"&amp;VLOOKUP([Field],Columns[],7,0))</f>
        <v/>
      </c>
      <c r="I72" s="62" t="str">
        <f>IF(VLOOKUP([Field],Columns[],8,0)=0,"","-&gt;"&amp;VLOOKUP([Field],Columns[],8,0))</f>
        <v/>
      </c>
      <c r="J72" s="62" t="str">
        <f>IF(VLOOKUP([Field],Columns[],9,0)=0,"","-&gt;"&amp;VLOOKUP([Field],Columns[],9,0))</f>
        <v/>
      </c>
      <c r="K72" s="62" t="str">
        <f>"$table-&gt;"&amp;[Type]&amp;[Name]&amp;[Arg2]&amp;[Method1]&amp;[Method2]&amp;[Method3]&amp;[Method4]&amp;[Method5]&amp;";"</f>
        <v>$table-&gt;enum('progress', ['New','In Service','Service Completed','Ready To Deliver','Delivered Partially','Delivered'])-&gt;nullable()-&gt;default('New');</v>
      </c>
    </row>
    <row r="73" spans="1:11">
      <c r="A73" s="2" t="s">
        <v>768</v>
      </c>
      <c r="B73" s="62" t="s">
        <v>802</v>
      </c>
      <c r="C73" s="62" t="str">
        <f>VLOOKUP([Field],Columns[],2,0)&amp;"("</f>
        <v>enum(</v>
      </c>
      <c r="D73" s="62" t="str">
        <f>IF(VLOOKUP([Field],Columns[],3,0)&lt;&gt;"","'"&amp;VLOOKUP([Field],Columns[],3,0)&amp;"'","")</f>
        <v>'status'</v>
      </c>
      <c r="E7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3" s="62" t="str">
        <f>IF(VLOOKUP([Field],Columns[],5,0)=0,"","-&gt;"&amp;VLOOKUP([Field],Columns[],5,0))</f>
        <v>-&gt;nullable()</v>
      </c>
      <c r="G73" s="62" t="str">
        <f>IF(VLOOKUP([Field],Columns[],6,0)=0,"","-&gt;"&amp;VLOOKUP([Field],Columns[],6,0))</f>
        <v>-&gt;default('Active')</v>
      </c>
      <c r="H73" s="62" t="str">
        <f>IF(VLOOKUP([Field],Columns[],7,0)=0,"","-&gt;"&amp;VLOOKUP([Field],Columns[],7,0))</f>
        <v/>
      </c>
      <c r="I73" s="62" t="str">
        <f>IF(VLOOKUP([Field],Columns[],8,0)=0,"","-&gt;"&amp;VLOOKUP([Field],Columns[],8,0))</f>
        <v/>
      </c>
      <c r="J73" s="62" t="str">
        <f>IF(VLOOKUP([Field],Columns[],9,0)=0,"","-&gt;"&amp;VLOOKUP([Field],Columns[],9,0))</f>
        <v/>
      </c>
      <c r="K7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74" spans="1:11">
      <c r="A74" s="2" t="s">
        <v>768</v>
      </c>
      <c r="B74" s="62" t="s">
        <v>288</v>
      </c>
      <c r="C74" s="62" t="str">
        <f>VLOOKUP([Field],Columns[],2,0)&amp;"("</f>
        <v>audit(</v>
      </c>
      <c r="D74" s="62" t="str">
        <f>IF(VLOOKUP([Field],Columns[],3,0)&lt;&gt;"","'"&amp;VLOOKUP([Field],Columns[],3,0)&amp;"'","")</f>
        <v/>
      </c>
      <c r="E74" s="63" t="str">
        <f>IF(VLOOKUP([Field],Columns[],4,0)&lt;&gt;0,", "&amp;IF(ISERR(SEARCH(",",VLOOKUP([Field],Columns[],4,0))),"'"&amp;VLOOKUP([Field],Columns[],4,0)&amp;"'",VLOOKUP([Field],Columns[],4,0))&amp;")",")")</f>
        <v>)</v>
      </c>
      <c r="F74" s="62" t="str">
        <f>IF(VLOOKUP([Field],Columns[],5,0)=0,"","-&gt;"&amp;VLOOKUP([Field],Columns[],5,0))</f>
        <v/>
      </c>
      <c r="G74" s="62" t="str">
        <f>IF(VLOOKUP([Field],Columns[],6,0)=0,"","-&gt;"&amp;VLOOKUP([Field],Columns[],6,0))</f>
        <v/>
      </c>
      <c r="H74" s="62" t="str">
        <f>IF(VLOOKUP([Field],Columns[],7,0)=0,"","-&gt;"&amp;VLOOKUP([Field],Columns[],7,0))</f>
        <v/>
      </c>
      <c r="I74" s="62" t="str">
        <f>IF(VLOOKUP([Field],Columns[],8,0)=0,"","-&gt;"&amp;VLOOKUP([Field],Columns[],8,0))</f>
        <v/>
      </c>
      <c r="J74" s="62" t="str">
        <f>IF(VLOOKUP([Field],Columns[],9,0)=0,"","-&gt;"&amp;VLOOKUP([Field],Columns[],9,0))</f>
        <v/>
      </c>
      <c r="K74" s="62" t="str">
        <f>"$table-&gt;"&amp;[Type]&amp;[Name]&amp;[Arg2]&amp;[Method1]&amp;[Method2]&amp;[Method3]&amp;[Method4]&amp;[Method5]&amp;";"</f>
        <v>$table-&gt;audit();</v>
      </c>
    </row>
    <row r="75" spans="1:11">
      <c r="A75" s="2" t="s">
        <v>769</v>
      </c>
      <c r="B75" s="62" t="s">
        <v>21</v>
      </c>
      <c r="C75" s="62" t="str">
        <f>VLOOKUP([Field],Columns[],2,0)&amp;"("</f>
        <v>bigIncrements(</v>
      </c>
      <c r="D75" s="62" t="str">
        <f>IF(VLOOKUP([Field],Columns[],3,0)&lt;&gt;"","'"&amp;VLOOKUP([Field],Columns[],3,0)&amp;"'","")</f>
        <v>'id'</v>
      </c>
      <c r="E75" s="63" t="str">
        <f>IF(VLOOKUP([Field],Columns[],4,0)&lt;&gt;0,", "&amp;IF(ISERR(SEARCH(",",VLOOKUP([Field],Columns[],4,0))),"'"&amp;VLOOKUP([Field],Columns[],4,0)&amp;"'",VLOOKUP([Field],Columns[],4,0))&amp;")",")")</f>
        <v>)</v>
      </c>
      <c r="F75" s="62" t="str">
        <f>IF(VLOOKUP([Field],Columns[],5,0)=0,"","-&gt;"&amp;VLOOKUP([Field],Columns[],5,0))</f>
        <v/>
      </c>
      <c r="G75" s="62" t="str">
        <f>IF(VLOOKUP([Field],Columns[],6,0)=0,"","-&gt;"&amp;VLOOKUP([Field],Columns[],6,0))</f>
        <v/>
      </c>
      <c r="H75" s="62" t="str">
        <f>IF(VLOOKUP([Field],Columns[],7,0)=0,"","-&gt;"&amp;VLOOKUP([Field],Columns[],7,0))</f>
        <v/>
      </c>
      <c r="I75" s="62" t="str">
        <f>IF(VLOOKUP([Field],Columns[],8,0)=0,"","-&gt;"&amp;VLOOKUP([Field],Columns[],8,0))</f>
        <v/>
      </c>
      <c r="J75" s="62" t="str">
        <f>IF(VLOOKUP([Field],Columns[],9,0)=0,"","-&gt;"&amp;VLOOKUP([Field],Columns[],9,0))</f>
        <v/>
      </c>
      <c r="K75" s="62" t="str">
        <f>"$table-&gt;"&amp;[Type]&amp;[Name]&amp;[Arg2]&amp;[Method1]&amp;[Method2]&amp;[Method3]&amp;[Method4]&amp;[Method5]&amp;";"</f>
        <v>$table-&gt;bigIncrements('id');</v>
      </c>
    </row>
    <row r="76" spans="1:11">
      <c r="A76" s="2" t="s">
        <v>769</v>
      </c>
      <c r="B76" s="62" t="s">
        <v>831</v>
      </c>
      <c r="C76" s="62" t="str">
        <f>VLOOKUP([Field],Columns[],2,0)&amp;"("</f>
        <v>foreignCascade(</v>
      </c>
      <c r="D76" s="62" t="str">
        <f>IF(VLOOKUP([Field],Columns[],3,0)&lt;&gt;"","'"&amp;VLOOKUP([Field],Columns[],3,0)&amp;"'","")</f>
        <v>'order'</v>
      </c>
      <c r="E76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76" s="62" t="str">
        <f>IF(VLOOKUP([Field],Columns[],5,0)=0,"","-&gt;"&amp;VLOOKUP([Field],Columns[],5,0))</f>
        <v/>
      </c>
      <c r="G76" s="62" t="str">
        <f>IF(VLOOKUP([Field],Columns[],6,0)=0,"","-&gt;"&amp;VLOOKUP([Field],Columns[],6,0))</f>
        <v/>
      </c>
      <c r="H76" s="62" t="str">
        <f>IF(VLOOKUP([Field],Columns[],7,0)=0,"","-&gt;"&amp;VLOOKUP([Field],Columns[],7,0))</f>
        <v/>
      </c>
      <c r="I76" s="62" t="str">
        <f>IF(VLOOKUP([Field],Columns[],8,0)=0,"","-&gt;"&amp;VLOOKUP([Field],Columns[],8,0))</f>
        <v/>
      </c>
      <c r="J76" s="62" t="str">
        <f>IF(VLOOKUP([Field],Columns[],9,0)=0,"","-&gt;"&amp;VLOOKUP([Field],Columns[],9,0))</f>
        <v/>
      </c>
      <c r="K76" s="62" t="str">
        <f>"$table-&gt;"&amp;[Type]&amp;[Name]&amp;[Arg2]&amp;[Method1]&amp;[Method2]&amp;[Method3]&amp;[Method4]&amp;[Method5]&amp;";"</f>
        <v>$table-&gt;foreignCascade('order', 'orders');</v>
      </c>
    </row>
    <row r="77" spans="1:11">
      <c r="A77" s="2" t="s">
        <v>769</v>
      </c>
      <c r="B77" s="62" t="s">
        <v>815</v>
      </c>
      <c r="C77" s="62" t="str">
        <f>VLOOKUP([Field],Columns[],2,0)&amp;"("</f>
        <v>foreignNullable(</v>
      </c>
      <c r="D77" s="62" t="str">
        <f>IF(VLOOKUP([Field],Columns[],3,0)&lt;&gt;"","'"&amp;VLOOKUP([Field],Columns[],3,0)&amp;"'","")</f>
        <v>'item'</v>
      </c>
      <c r="E77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77" s="62" t="str">
        <f>IF(VLOOKUP([Field],Columns[],5,0)=0,"","-&gt;"&amp;VLOOKUP([Field],Columns[],5,0))</f>
        <v/>
      </c>
      <c r="G77" s="62" t="str">
        <f>IF(VLOOKUP([Field],Columns[],6,0)=0,"","-&gt;"&amp;VLOOKUP([Field],Columns[],6,0))</f>
        <v/>
      </c>
      <c r="H77" s="62" t="str">
        <f>IF(VLOOKUP([Field],Columns[],7,0)=0,"","-&gt;"&amp;VLOOKUP([Field],Columns[],7,0))</f>
        <v/>
      </c>
      <c r="I77" s="62" t="str">
        <f>IF(VLOOKUP([Field],Columns[],8,0)=0,"","-&gt;"&amp;VLOOKUP([Field],Columns[],8,0))</f>
        <v/>
      </c>
      <c r="J77" s="62" t="str">
        <f>IF(VLOOKUP([Field],Columns[],9,0)=0,"","-&gt;"&amp;VLOOKUP([Field],Columns[],9,0))</f>
        <v/>
      </c>
      <c r="K77" s="62" t="str">
        <f>"$table-&gt;"&amp;[Type]&amp;[Name]&amp;[Arg2]&amp;[Method1]&amp;[Method2]&amp;[Method3]&amp;[Method4]&amp;[Method5]&amp;";"</f>
        <v>$table-&gt;foreignNullable('item', 'items');</v>
      </c>
    </row>
    <row r="78" spans="1:11">
      <c r="A78" s="2" t="s">
        <v>769</v>
      </c>
      <c r="B78" s="62" t="s">
        <v>2074</v>
      </c>
      <c r="C78" s="62" t="str">
        <f>VLOOKUP([Field],Columns[],2,0)&amp;"("</f>
        <v>unsignedSmallInteger(</v>
      </c>
      <c r="D78" s="62" t="str">
        <f>IF(VLOOKUP([Field],Columns[],3,0)&lt;&gt;"","'"&amp;VLOOKUP([Field],Columns[],3,0)&amp;"'","")</f>
        <v>'quantity'</v>
      </c>
      <c r="E78" s="63" t="str">
        <f>IF(VLOOKUP([Field],Columns[],4,0)&lt;&gt;0,", "&amp;IF(ISERR(SEARCH(",",VLOOKUP([Field],Columns[],4,0))),"'"&amp;VLOOKUP([Field],Columns[],4,0)&amp;"'",VLOOKUP([Field],Columns[],4,0))&amp;")",")")</f>
        <v>)</v>
      </c>
      <c r="F78" s="62" t="str">
        <f>IF(VLOOKUP([Field],Columns[],5,0)=0,"","-&gt;"&amp;VLOOKUP([Field],Columns[],5,0))</f>
        <v>-&gt;default('1')</v>
      </c>
      <c r="G78" s="62" t="str">
        <f>IF(VLOOKUP([Field],Columns[],6,0)=0,"","-&gt;"&amp;VLOOKUP([Field],Columns[],6,0))</f>
        <v/>
      </c>
      <c r="H78" s="62" t="str">
        <f>IF(VLOOKUP([Field],Columns[],7,0)=0,"","-&gt;"&amp;VLOOKUP([Field],Columns[],7,0))</f>
        <v/>
      </c>
      <c r="I78" s="62" t="str">
        <f>IF(VLOOKUP([Field],Columns[],8,0)=0,"","-&gt;"&amp;VLOOKUP([Field],Columns[],8,0))</f>
        <v/>
      </c>
      <c r="J78" s="62" t="str">
        <f>IF(VLOOKUP([Field],Columns[],9,0)=0,"","-&gt;"&amp;VLOOKUP([Field],Columns[],9,0))</f>
        <v/>
      </c>
      <c r="K78" s="62" t="str">
        <f>"$table-&gt;"&amp;[Type]&amp;[Name]&amp;[Arg2]&amp;[Method1]&amp;[Method2]&amp;[Method3]&amp;[Method4]&amp;[Method5]&amp;";"</f>
        <v>$table-&gt;unsignedSmallInteger('quantity')-&gt;default('1');</v>
      </c>
    </row>
    <row r="79" spans="1:11">
      <c r="A79" s="2" t="s">
        <v>769</v>
      </c>
      <c r="B79" s="62" t="s">
        <v>807</v>
      </c>
      <c r="C79" s="62" t="str">
        <f>VLOOKUP([Field],Columns[],2,0)&amp;"("</f>
        <v>foreignNullable(</v>
      </c>
      <c r="D79" s="62" t="str">
        <f>IF(VLOOKUP([Field],Columns[],3,0)&lt;&gt;"","'"&amp;VLOOKUP([Field],Columns[],3,0)&amp;"'","")</f>
        <v>'hub'</v>
      </c>
      <c r="E79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9" s="62" t="str">
        <f>IF(VLOOKUP([Field],Columns[],5,0)=0,"","-&gt;"&amp;VLOOKUP([Field],Columns[],5,0))</f>
        <v/>
      </c>
      <c r="G79" s="62" t="str">
        <f>IF(VLOOKUP([Field],Columns[],6,0)=0,"","-&gt;"&amp;VLOOKUP([Field],Columns[],6,0))</f>
        <v/>
      </c>
      <c r="H79" s="62" t="str">
        <f>IF(VLOOKUP([Field],Columns[],7,0)=0,"","-&gt;"&amp;VLOOKUP([Field],Columns[],7,0))</f>
        <v/>
      </c>
      <c r="I79" s="62" t="str">
        <f>IF(VLOOKUP([Field],Columns[],8,0)=0,"","-&gt;"&amp;VLOOKUP([Field],Columns[],8,0))</f>
        <v/>
      </c>
      <c r="J79" s="62" t="str">
        <f>IF(VLOOKUP([Field],Columns[],9,0)=0,"","-&gt;"&amp;VLOOKUP([Field],Columns[],9,0))</f>
        <v/>
      </c>
      <c r="K79" s="62" t="str">
        <f>"$table-&gt;"&amp;[Type]&amp;[Name]&amp;[Arg2]&amp;[Method1]&amp;[Method2]&amp;[Method3]&amp;[Method4]&amp;[Method5]&amp;";"</f>
        <v>$table-&gt;foreignNullable('hub', 'hubs');</v>
      </c>
    </row>
    <row r="80" spans="1:11">
      <c r="A80" s="2" t="s">
        <v>769</v>
      </c>
      <c r="B80" s="62" t="s">
        <v>834</v>
      </c>
      <c r="C80" s="62" t="str">
        <f>VLOOKUP([Field],Columns[],2,0)&amp;"("</f>
        <v>foreignNullable(</v>
      </c>
      <c r="D80" s="62" t="str">
        <f>IF(VLOOKUP([Field],Columns[],3,0)&lt;&gt;"","'"&amp;VLOOKUP([Field],Columns[],3,0)&amp;"'","")</f>
        <v>'label'</v>
      </c>
      <c r="E80" s="63" t="str">
        <f>IF(VLOOKUP([Field],Columns[],4,0)&lt;&gt;0,", "&amp;IF(ISERR(SEARCH(",",VLOOKUP([Field],Columns[],4,0))),"'"&amp;VLOOKUP([Field],Columns[],4,0)&amp;"'",VLOOKUP([Field],Columns[],4,0))&amp;")",")")</f>
        <v>, 'identity_labels')</v>
      </c>
      <c r="F80" s="62" t="str">
        <f>IF(VLOOKUP([Field],Columns[],5,0)=0,"","-&gt;"&amp;VLOOKUP([Field],Columns[],5,0))</f>
        <v/>
      </c>
      <c r="G80" s="62" t="str">
        <f>IF(VLOOKUP([Field],Columns[],6,0)=0,"","-&gt;"&amp;VLOOKUP([Field],Columns[],6,0))</f>
        <v/>
      </c>
      <c r="H80" s="62" t="str">
        <f>IF(VLOOKUP([Field],Columns[],7,0)=0,"","-&gt;"&amp;VLOOKUP([Field],Columns[],7,0))</f>
        <v/>
      </c>
      <c r="I80" s="62" t="str">
        <f>IF(VLOOKUP([Field],Columns[],8,0)=0,"","-&gt;"&amp;VLOOKUP([Field],Columns[],8,0))</f>
        <v/>
      </c>
      <c r="J80" s="62" t="str">
        <f>IF(VLOOKUP([Field],Columns[],9,0)=0,"","-&gt;"&amp;VLOOKUP([Field],Columns[],9,0))</f>
        <v/>
      </c>
      <c r="K80" s="62" t="str">
        <f>"$table-&gt;"&amp;[Type]&amp;[Name]&amp;[Arg2]&amp;[Method1]&amp;[Method2]&amp;[Method3]&amp;[Method4]&amp;[Method5]&amp;";"</f>
        <v>$table-&gt;foreignNullable('label', 'identity_labels');</v>
      </c>
    </row>
    <row r="81" spans="1:11">
      <c r="A81" s="2" t="s">
        <v>769</v>
      </c>
      <c r="B81" s="62" t="s">
        <v>1016</v>
      </c>
      <c r="C81" s="62" t="str">
        <f>VLOOKUP([Field],Columns[],2,0)&amp;"("</f>
        <v>foreignNullable(</v>
      </c>
      <c r="D81" s="62" t="str">
        <f>IF(VLOOKUP([Field],Columns[],3,0)&lt;&gt;"","'"&amp;VLOOKUP([Field],Columns[],3,0)&amp;"'","")</f>
        <v>'shelf'</v>
      </c>
      <c r="E81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81" s="62" t="str">
        <f>IF(VLOOKUP([Field],Columns[],5,0)=0,"","-&gt;"&amp;VLOOKUP([Field],Columns[],5,0))</f>
        <v/>
      </c>
      <c r="G81" s="62" t="str">
        <f>IF(VLOOKUP([Field],Columns[],6,0)=0,"","-&gt;"&amp;VLOOKUP([Field],Columns[],6,0))</f>
        <v/>
      </c>
      <c r="H81" s="62" t="str">
        <f>IF(VLOOKUP([Field],Columns[],7,0)=0,"","-&gt;"&amp;VLOOKUP([Field],Columns[],7,0))</f>
        <v/>
      </c>
      <c r="I81" s="62" t="str">
        <f>IF(VLOOKUP([Field],Columns[],8,0)=0,"","-&gt;"&amp;VLOOKUP([Field],Columns[],8,0))</f>
        <v/>
      </c>
      <c r="J81" s="62" t="str">
        <f>IF(VLOOKUP([Field],Columns[],9,0)=0,"","-&gt;"&amp;VLOOKUP([Field],Columns[],9,0))</f>
        <v/>
      </c>
      <c r="K81" s="62" t="str">
        <f>"$table-&gt;"&amp;[Type]&amp;[Name]&amp;[Arg2]&amp;[Method1]&amp;[Method2]&amp;[Method3]&amp;[Method4]&amp;[Method5]&amp;";"</f>
        <v>$table-&gt;foreignNullable('shelf', 'shelf');</v>
      </c>
    </row>
    <row r="82" spans="1:11">
      <c r="A82" s="2" t="s">
        <v>769</v>
      </c>
      <c r="B82" s="62" t="s">
        <v>851</v>
      </c>
      <c r="C82" s="62" t="str">
        <f>VLOOKUP([Field],Columns[],2,0)&amp;"("</f>
        <v>date(</v>
      </c>
      <c r="D82" s="62" t="str">
        <f>IF(VLOOKUP([Field],Columns[],3,0)&lt;&gt;"","'"&amp;VLOOKUP([Field],Columns[],3,0)&amp;"'","")</f>
        <v>'delivery'</v>
      </c>
      <c r="E82" s="63" t="str">
        <f>IF(VLOOKUP([Field],Columns[],4,0)&lt;&gt;0,", "&amp;IF(ISERR(SEARCH(",",VLOOKUP([Field],Columns[],4,0))),"'"&amp;VLOOKUP([Field],Columns[],4,0)&amp;"'",VLOOKUP([Field],Columns[],4,0))&amp;")",")")</f>
        <v>)</v>
      </c>
      <c r="F82" s="62" t="str">
        <f>IF(VLOOKUP([Field],Columns[],5,0)=0,"","-&gt;"&amp;VLOOKUP([Field],Columns[],5,0))</f>
        <v>-&gt;nullable()</v>
      </c>
      <c r="G82" s="62" t="str">
        <f>IF(VLOOKUP([Field],Columns[],6,0)=0,"","-&gt;"&amp;VLOOKUP([Field],Columns[],6,0))</f>
        <v/>
      </c>
      <c r="H82" s="62" t="str">
        <f>IF(VLOOKUP([Field],Columns[],7,0)=0,"","-&gt;"&amp;VLOOKUP([Field],Columns[],7,0))</f>
        <v/>
      </c>
      <c r="I82" s="62" t="str">
        <f>IF(VLOOKUP([Field],Columns[],8,0)=0,"","-&gt;"&amp;VLOOKUP([Field],Columns[],8,0))</f>
        <v/>
      </c>
      <c r="J82" s="62" t="str">
        <f>IF(VLOOKUP([Field],Columns[],9,0)=0,"","-&gt;"&amp;VLOOKUP([Field],Columns[],9,0))</f>
        <v/>
      </c>
      <c r="K82" s="62" t="str">
        <f>"$table-&gt;"&amp;[Type]&amp;[Name]&amp;[Arg2]&amp;[Method1]&amp;[Method2]&amp;[Method3]&amp;[Method4]&amp;[Method5]&amp;";"</f>
        <v>$table-&gt;date('delivery')-&gt;nullable();</v>
      </c>
    </row>
    <row r="83" spans="1:11">
      <c r="A83" s="2" t="s">
        <v>769</v>
      </c>
      <c r="B83" s="62" t="s">
        <v>886</v>
      </c>
      <c r="C83" s="62" t="str">
        <f>VLOOKUP([Field],Columns[],2,0)&amp;"("</f>
        <v>enum(</v>
      </c>
      <c r="D83" s="62" t="str">
        <f>IF(VLOOKUP([Field],Columns[],3,0)&lt;&gt;"","'"&amp;VLOOKUP([Field],Columns[],3,0)&amp;"'","")</f>
        <v>'progress'</v>
      </c>
      <c r="E83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Deliver','Delivered'])</v>
      </c>
      <c r="F83" s="62" t="str">
        <f>IF(VLOOKUP([Field],Columns[],5,0)=0,"","-&gt;"&amp;VLOOKUP([Field],Columns[],5,0))</f>
        <v>-&gt;nullable()</v>
      </c>
      <c r="G83" s="62" t="str">
        <f>IF(VLOOKUP([Field],Columns[],6,0)=0,"","-&gt;"&amp;VLOOKUP([Field],Columns[],6,0))</f>
        <v>-&gt;default('New')</v>
      </c>
      <c r="H83" s="62" t="str">
        <f>IF(VLOOKUP([Field],Columns[],7,0)=0,"","-&gt;"&amp;VLOOKUP([Field],Columns[],7,0))</f>
        <v/>
      </c>
      <c r="I83" s="62" t="str">
        <f>IF(VLOOKUP([Field],Columns[],8,0)=0,"","-&gt;"&amp;VLOOKUP([Field],Columns[],8,0))</f>
        <v/>
      </c>
      <c r="J83" s="62" t="str">
        <f>IF(VLOOKUP([Field],Columns[],9,0)=0,"","-&gt;"&amp;VLOOKUP([Field],Columns[],9,0))</f>
        <v/>
      </c>
      <c r="K83" s="62" t="str">
        <f>"$table-&gt;"&amp;[Type]&amp;[Name]&amp;[Arg2]&amp;[Method1]&amp;[Method2]&amp;[Method3]&amp;[Method4]&amp;[Method5]&amp;";"</f>
        <v>$table-&gt;enum('progress', ['New','In Service','Service Completed','Ready To Deliver','Delivered'])-&gt;nullable()-&gt;default('New');</v>
      </c>
    </row>
    <row r="84" spans="1:11">
      <c r="A84" s="2" t="s">
        <v>769</v>
      </c>
      <c r="B84" s="62" t="s">
        <v>802</v>
      </c>
      <c r="C84" s="62" t="str">
        <f>VLOOKUP([Field],Columns[],2,0)&amp;"("</f>
        <v>enum(</v>
      </c>
      <c r="D84" s="62" t="str">
        <f>IF(VLOOKUP([Field],Columns[],3,0)&lt;&gt;"","'"&amp;VLOOKUP([Field],Columns[],3,0)&amp;"'","")</f>
        <v>'status'</v>
      </c>
      <c r="E8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4" s="62" t="str">
        <f>IF(VLOOKUP([Field],Columns[],5,0)=0,"","-&gt;"&amp;VLOOKUP([Field],Columns[],5,0))</f>
        <v>-&gt;nullable()</v>
      </c>
      <c r="G84" s="62" t="str">
        <f>IF(VLOOKUP([Field],Columns[],6,0)=0,"","-&gt;"&amp;VLOOKUP([Field],Columns[],6,0))</f>
        <v>-&gt;default('Active')</v>
      </c>
      <c r="H84" s="62" t="str">
        <f>IF(VLOOKUP([Field],Columns[],7,0)=0,"","-&gt;"&amp;VLOOKUP([Field],Columns[],7,0))</f>
        <v/>
      </c>
      <c r="I84" s="62" t="str">
        <f>IF(VLOOKUP([Field],Columns[],8,0)=0,"","-&gt;"&amp;VLOOKUP([Field],Columns[],8,0))</f>
        <v/>
      </c>
      <c r="J84" s="62" t="str">
        <f>IF(VLOOKUP([Field],Columns[],9,0)=0,"","-&gt;"&amp;VLOOKUP([Field],Columns[],9,0))</f>
        <v/>
      </c>
      <c r="K8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5" spans="1:11">
      <c r="A85" s="2" t="s">
        <v>769</v>
      </c>
      <c r="B85" s="62" t="s">
        <v>288</v>
      </c>
      <c r="C85" s="62" t="str">
        <f>VLOOKUP([Field],Columns[],2,0)&amp;"("</f>
        <v>audit(</v>
      </c>
      <c r="D85" s="62" t="str">
        <f>IF(VLOOKUP([Field],Columns[],3,0)&lt;&gt;"","'"&amp;VLOOKUP([Field],Columns[],3,0)&amp;"'","")</f>
        <v/>
      </c>
      <c r="E85" s="63" t="str">
        <f>IF(VLOOKUP([Field],Columns[],4,0)&lt;&gt;0,", "&amp;IF(ISERR(SEARCH(",",VLOOKUP([Field],Columns[],4,0))),"'"&amp;VLOOKUP([Field],Columns[],4,0)&amp;"'",VLOOKUP([Field],Columns[],4,0))&amp;")",")")</f>
        <v>)</v>
      </c>
      <c r="F85" s="62" t="str">
        <f>IF(VLOOKUP([Field],Columns[],5,0)=0,"","-&gt;"&amp;VLOOKUP([Field],Columns[],5,0))</f>
        <v/>
      </c>
      <c r="G85" s="62" t="str">
        <f>IF(VLOOKUP([Field],Columns[],6,0)=0,"","-&gt;"&amp;VLOOKUP([Field],Columns[],6,0))</f>
        <v/>
      </c>
      <c r="H85" s="62" t="str">
        <f>IF(VLOOKUP([Field],Columns[],7,0)=0,"","-&gt;"&amp;VLOOKUP([Field],Columns[],7,0))</f>
        <v/>
      </c>
      <c r="I85" s="62" t="str">
        <f>IF(VLOOKUP([Field],Columns[],8,0)=0,"","-&gt;"&amp;VLOOKUP([Field],Columns[],8,0))</f>
        <v/>
      </c>
      <c r="J85" s="62" t="str">
        <f>IF(VLOOKUP([Field],Columns[],9,0)=0,"","-&gt;"&amp;VLOOKUP([Field],Columns[],9,0))</f>
        <v/>
      </c>
      <c r="K85" s="62" t="str">
        <f>"$table-&gt;"&amp;[Type]&amp;[Name]&amp;[Arg2]&amp;[Method1]&amp;[Method2]&amp;[Method3]&amp;[Method4]&amp;[Method5]&amp;";"</f>
        <v>$table-&gt;audit();</v>
      </c>
    </row>
    <row r="86" spans="1:11">
      <c r="A86" s="2" t="s">
        <v>771</v>
      </c>
      <c r="B86" s="62" t="s">
        <v>21</v>
      </c>
      <c r="C86" s="62" t="str">
        <f>VLOOKUP([Field],Columns[],2,0)&amp;"("</f>
        <v>bigIncrements(</v>
      </c>
      <c r="D86" s="62" t="str">
        <f>IF(VLOOKUP([Field],Columns[],3,0)&lt;&gt;"","'"&amp;VLOOKUP([Field],Columns[],3,0)&amp;"'","")</f>
        <v>'id'</v>
      </c>
      <c r="E86" s="63" t="str">
        <f>IF(VLOOKUP([Field],Columns[],4,0)&lt;&gt;0,", "&amp;IF(ISERR(SEARCH(",",VLOOKUP([Field],Columns[],4,0))),"'"&amp;VLOOKUP([Field],Columns[],4,0)&amp;"'",VLOOKUP([Field],Columns[],4,0))&amp;")",")")</f>
        <v>)</v>
      </c>
      <c r="F86" s="62" t="str">
        <f>IF(VLOOKUP([Field],Columns[],5,0)=0,"","-&gt;"&amp;VLOOKUP([Field],Columns[],5,0))</f>
        <v/>
      </c>
      <c r="G86" s="62" t="str">
        <f>IF(VLOOKUP([Field],Columns[],6,0)=0,"","-&gt;"&amp;VLOOKUP([Field],Columns[],6,0))</f>
        <v/>
      </c>
      <c r="H86" s="62" t="str">
        <f>IF(VLOOKUP([Field],Columns[],7,0)=0,"","-&gt;"&amp;VLOOKUP([Field],Columns[],7,0))</f>
        <v/>
      </c>
      <c r="I86" s="62" t="str">
        <f>IF(VLOOKUP([Field],Columns[],8,0)=0,"","-&gt;"&amp;VLOOKUP([Field],Columns[],8,0))</f>
        <v/>
      </c>
      <c r="J86" s="62" t="str">
        <f>IF(VLOOKUP([Field],Columns[],9,0)=0,"","-&gt;"&amp;VLOOKUP([Field],Columns[],9,0))</f>
        <v/>
      </c>
      <c r="K86" s="62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771</v>
      </c>
      <c r="B87" s="62" t="s">
        <v>837</v>
      </c>
      <c r="C87" s="62" t="str">
        <f>VLOOKUP([Field],Columns[],2,0)&amp;"("</f>
        <v>foreignCascade(</v>
      </c>
      <c r="D87" s="62" t="str">
        <f>IF(VLOOKUP([Field],Columns[],3,0)&lt;&gt;"","'"&amp;VLOOKUP([Field],Columns[],3,0)&amp;"'","")</f>
        <v>'oi'</v>
      </c>
      <c r="E87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87" s="62" t="str">
        <f>IF(VLOOKUP([Field],Columns[],5,0)=0,"","-&gt;"&amp;VLOOKUP([Field],Columns[],5,0))</f>
        <v/>
      </c>
      <c r="G87" s="62" t="str">
        <f>IF(VLOOKUP([Field],Columns[],6,0)=0,"","-&gt;"&amp;VLOOKUP([Field],Columns[],6,0))</f>
        <v/>
      </c>
      <c r="H87" s="62" t="str">
        <f>IF(VLOOKUP([Field],Columns[],7,0)=0,"","-&gt;"&amp;VLOOKUP([Field],Columns[],7,0))</f>
        <v/>
      </c>
      <c r="I87" s="62" t="str">
        <f>IF(VLOOKUP([Field],Columns[],8,0)=0,"","-&gt;"&amp;VLOOKUP([Field],Columns[],8,0))</f>
        <v/>
      </c>
      <c r="J87" s="62" t="str">
        <f>IF(VLOOKUP([Field],Columns[],9,0)=0,"","-&gt;"&amp;VLOOKUP([Field],Columns[],9,0))</f>
        <v/>
      </c>
      <c r="K87" s="62" t="str">
        <f>"$table-&gt;"&amp;[Type]&amp;[Name]&amp;[Arg2]&amp;[Method1]&amp;[Method2]&amp;[Method3]&amp;[Method4]&amp;[Method5]&amp;";"</f>
        <v>$table-&gt;foreignCascade('oi', 'order_items');</v>
      </c>
    </row>
    <row r="88" spans="1:11">
      <c r="A88" s="2" t="s">
        <v>771</v>
      </c>
      <c r="B88" s="62" t="s">
        <v>813</v>
      </c>
      <c r="C88" s="62" t="str">
        <f>VLOOKUP([Field],Columns[],2,0)&amp;"("</f>
        <v>foreignCascade(</v>
      </c>
      <c r="D88" s="62" t="str">
        <f>IF(VLOOKUP([Field],Columns[],3,0)&lt;&gt;"","'"&amp;VLOOKUP([Field],Columns[],3,0)&amp;"'","")</f>
        <v>'service'</v>
      </c>
      <c r="E88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88" s="62" t="str">
        <f>IF(VLOOKUP([Field],Columns[],5,0)=0,"","-&gt;"&amp;VLOOKUP([Field],Columns[],5,0))</f>
        <v/>
      </c>
      <c r="G88" s="62" t="str">
        <f>IF(VLOOKUP([Field],Columns[],6,0)=0,"","-&gt;"&amp;VLOOKUP([Field],Columns[],6,0))</f>
        <v/>
      </c>
      <c r="H88" s="62" t="str">
        <f>IF(VLOOKUP([Field],Columns[],7,0)=0,"","-&gt;"&amp;VLOOKUP([Field],Columns[],7,0))</f>
        <v/>
      </c>
      <c r="I88" s="62" t="str">
        <f>IF(VLOOKUP([Field],Columns[],8,0)=0,"","-&gt;"&amp;VLOOKUP([Field],Columns[],8,0))</f>
        <v/>
      </c>
      <c r="J88" s="62" t="str">
        <f>IF(VLOOKUP([Field],Columns[],9,0)=0,"","-&gt;"&amp;VLOOKUP([Field],Columns[],9,0))</f>
        <v/>
      </c>
      <c r="K88" s="62" t="str">
        <f>"$table-&gt;"&amp;[Type]&amp;[Name]&amp;[Arg2]&amp;[Method1]&amp;[Method2]&amp;[Method3]&amp;[Method4]&amp;[Method5]&amp;";"</f>
        <v>$table-&gt;foreignCascade('service', 'services');</v>
      </c>
    </row>
    <row r="89" spans="1:11">
      <c r="A89" s="2" t="s">
        <v>771</v>
      </c>
      <c r="B89" s="62" t="s">
        <v>887</v>
      </c>
      <c r="C89" s="62" t="str">
        <f>VLOOKUP([Field],Columns[],2,0)&amp;"("</f>
        <v>enum(</v>
      </c>
      <c r="D89" s="62" t="str">
        <f>IF(VLOOKUP([Field],Columns[],3,0)&lt;&gt;"","'"&amp;VLOOKUP([Field],Columns[],3,0)&amp;"'","")</f>
        <v>'progress'</v>
      </c>
      <c r="E89" s="63" t="str">
        <f>IF(VLOOKUP([Field],Columns[],4,0)&lt;&gt;0,", "&amp;IF(ISERR(SEARCH(",",VLOOKUP([Field],Columns[],4,0))),"'"&amp;VLOOKUP([Field],Columns[],4,0)&amp;"'",VLOOKUP([Field],Columns[],4,0))&amp;")",")")</f>
        <v>, ['New','Assigned','Processing','Completed','Awaiting'])</v>
      </c>
      <c r="F89" s="62" t="str">
        <f>IF(VLOOKUP([Field],Columns[],5,0)=0,"","-&gt;"&amp;VLOOKUP([Field],Columns[],5,0))</f>
        <v>-&gt;nullable()</v>
      </c>
      <c r="G89" s="62" t="str">
        <f>IF(VLOOKUP([Field],Columns[],6,0)=0,"","-&gt;"&amp;VLOOKUP([Field],Columns[],6,0))</f>
        <v>-&gt;default('New')</v>
      </c>
      <c r="H89" s="62" t="str">
        <f>IF(VLOOKUP([Field],Columns[],7,0)=0,"","-&gt;"&amp;VLOOKUP([Field],Columns[],7,0))</f>
        <v/>
      </c>
      <c r="I89" s="62" t="str">
        <f>IF(VLOOKUP([Field],Columns[],8,0)=0,"","-&gt;"&amp;VLOOKUP([Field],Columns[],8,0))</f>
        <v/>
      </c>
      <c r="J89" s="62" t="str">
        <f>IF(VLOOKUP([Field],Columns[],9,0)=0,"","-&gt;"&amp;VLOOKUP([Field],Columns[],9,0))</f>
        <v/>
      </c>
      <c r="K89" s="62" t="str">
        <f>"$table-&gt;"&amp;[Type]&amp;[Name]&amp;[Arg2]&amp;[Method1]&amp;[Method2]&amp;[Method3]&amp;[Method4]&amp;[Method5]&amp;";"</f>
        <v>$table-&gt;enum('progress', ['New','Assigned','Processing','Completed','Awaiting'])-&gt;nullable()-&gt;default('New');</v>
      </c>
    </row>
    <row r="90" spans="1:11">
      <c r="A90" s="2" t="s">
        <v>771</v>
      </c>
      <c r="B90" s="62" t="s">
        <v>802</v>
      </c>
      <c r="C90" s="62" t="str">
        <f>VLOOKUP([Field],Columns[],2,0)&amp;"("</f>
        <v>enum(</v>
      </c>
      <c r="D90" s="62" t="str">
        <f>IF(VLOOKUP([Field],Columns[],3,0)&lt;&gt;"","'"&amp;VLOOKUP([Field],Columns[],3,0)&amp;"'","")</f>
        <v>'status'</v>
      </c>
      <c r="E90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0" s="62" t="str">
        <f>IF(VLOOKUP([Field],Columns[],5,0)=0,"","-&gt;"&amp;VLOOKUP([Field],Columns[],5,0))</f>
        <v>-&gt;nullable()</v>
      </c>
      <c r="G90" s="62" t="str">
        <f>IF(VLOOKUP([Field],Columns[],6,0)=0,"","-&gt;"&amp;VLOOKUP([Field],Columns[],6,0))</f>
        <v>-&gt;default('Active')</v>
      </c>
      <c r="H90" s="62" t="str">
        <f>IF(VLOOKUP([Field],Columns[],7,0)=0,"","-&gt;"&amp;VLOOKUP([Field],Columns[],7,0))</f>
        <v/>
      </c>
      <c r="I90" s="62" t="str">
        <f>IF(VLOOKUP([Field],Columns[],8,0)=0,"","-&gt;"&amp;VLOOKUP([Field],Columns[],8,0))</f>
        <v/>
      </c>
      <c r="J90" s="62" t="str">
        <f>IF(VLOOKUP([Field],Columns[],9,0)=0,"","-&gt;"&amp;VLOOKUP([Field],Columns[],9,0))</f>
        <v/>
      </c>
      <c r="K90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1" spans="1:11">
      <c r="A91" s="2" t="s">
        <v>771</v>
      </c>
      <c r="B91" s="62" t="s">
        <v>288</v>
      </c>
      <c r="C91" s="62" t="str">
        <f>VLOOKUP([Field],Columns[],2,0)&amp;"("</f>
        <v>audit(</v>
      </c>
      <c r="D91" s="62" t="str">
        <f>IF(VLOOKUP([Field],Columns[],3,0)&lt;&gt;"","'"&amp;VLOOKUP([Field],Columns[],3,0)&amp;"'","")</f>
        <v/>
      </c>
      <c r="E91" s="63" t="str">
        <f>IF(VLOOKUP([Field],Columns[],4,0)&lt;&gt;0,", "&amp;IF(ISERR(SEARCH(",",VLOOKUP([Field],Columns[],4,0))),"'"&amp;VLOOKUP([Field],Columns[],4,0)&amp;"'",VLOOKUP([Field],Columns[],4,0))&amp;")",")")</f>
        <v>)</v>
      </c>
      <c r="F91" s="62" t="str">
        <f>IF(VLOOKUP([Field],Columns[],5,0)=0,"","-&gt;"&amp;VLOOKUP([Field],Columns[],5,0))</f>
        <v/>
      </c>
      <c r="G91" s="62" t="str">
        <f>IF(VLOOKUP([Field],Columns[],6,0)=0,"","-&gt;"&amp;VLOOKUP([Field],Columns[],6,0))</f>
        <v/>
      </c>
      <c r="H91" s="62" t="str">
        <f>IF(VLOOKUP([Field],Columns[],7,0)=0,"","-&gt;"&amp;VLOOKUP([Field],Columns[],7,0))</f>
        <v/>
      </c>
      <c r="I91" s="62" t="str">
        <f>IF(VLOOKUP([Field],Columns[],8,0)=0,"","-&gt;"&amp;VLOOKUP([Field],Columns[],8,0))</f>
        <v/>
      </c>
      <c r="J91" s="62" t="str">
        <f>IF(VLOOKUP([Field],Columns[],9,0)=0,"","-&gt;"&amp;VLOOKUP([Field],Columns[],9,0))</f>
        <v/>
      </c>
      <c r="K91" s="62" t="str">
        <f>"$table-&gt;"&amp;[Type]&amp;[Name]&amp;[Arg2]&amp;[Method1]&amp;[Method2]&amp;[Method3]&amp;[Method4]&amp;[Method5]&amp;";"</f>
        <v>$table-&gt;audit();</v>
      </c>
    </row>
    <row r="92" spans="1:11">
      <c r="A92" s="2" t="s">
        <v>842</v>
      </c>
      <c r="B92" s="62" t="s">
        <v>21</v>
      </c>
      <c r="C92" s="62" t="str">
        <f>VLOOKUP([Field],Columns[],2,0)&amp;"("</f>
        <v>bigIncrements(</v>
      </c>
      <c r="D92" s="62" t="str">
        <f>IF(VLOOKUP([Field],Columns[],3,0)&lt;&gt;"","'"&amp;VLOOKUP([Field],Columns[],3,0)&amp;"'","")</f>
        <v>'id'</v>
      </c>
      <c r="E92" s="63" t="str">
        <f>IF(VLOOKUP([Field],Columns[],4,0)&lt;&gt;0,", "&amp;IF(ISERR(SEARCH(",",VLOOKUP([Field],Columns[],4,0))),"'"&amp;VLOOKUP([Field],Columns[],4,0)&amp;"'",VLOOKUP([Field],Columns[],4,0))&amp;")",")")</f>
        <v>)</v>
      </c>
      <c r="F92" s="62" t="str">
        <f>IF(VLOOKUP([Field],Columns[],5,0)=0,"","-&gt;"&amp;VLOOKUP([Field],Columns[],5,0))</f>
        <v/>
      </c>
      <c r="G92" s="62" t="str">
        <f>IF(VLOOKUP([Field],Columns[],6,0)=0,"","-&gt;"&amp;VLOOKUP([Field],Columns[],6,0))</f>
        <v/>
      </c>
      <c r="H92" s="62" t="str">
        <f>IF(VLOOKUP([Field],Columns[],7,0)=0,"","-&gt;"&amp;VLOOKUP([Field],Columns[],7,0))</f>
        <v/>
      </c>
      <c r="I92" s="62" t="str">
        <f>IF(VLOOKUP([Field],Columns[],8,0)=0,"","-&gt;"&amp;VLOOKUP([Field],Columns[],8,0))</f>
        <v/>
      </c>
      <c r="J92" s="62" t="str">
        <f>IF(VLOOKUP([Field],Columns[],9,0)=0,"","-&gt;"&amp;VLOOKUP([Field],Columns[],9,0))</f>
        <v/>
      </c>
      <c r="K92" s="62" t="str">
        <f>"$table-&gt;"&amp;[Type]&amp;[Name]&amp;[Arg2]&amp;[Method1]&amp;[Method2]&amp;[Method3]&amp;[Method4]&amp;[Method5]&amp;";"</f>
        <v>$table-&gt;bigIncrements('id');</v>
      </c>
    </row>
    <row r="93" spans="1:11">
      <c r="A93" s="2" t="s">
        <v>842</v>
      </c>
      <c r="B93" s="62" t="s">
        <v>831</v>
      </c>
      <c r="C93" s="62" t="str">
        <f>VLOOKUP([Field],Columns[],2,0)&amp;"("</f>
        <v>foreignCascade(</v>
      </c>
      <c r="D93" s="62" t="str">
        <f>IF(VLOOKUP([Field],Columns[],3,0)&lt;&gt;"","'"&amp;VLOOKUP([Field],Columns[],3,0)&amp;"'","")</f>
        <v>'order'</v>
      </c>
      <c r="E93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93" s="62" t="str">
        <f>IF(VLOOKUP([Field],Columns[],5,0)=0,"","-&gt;"&amp;VLOOKUP([Field],Columns[],5,0))</f>
        <v/>
      </c>
      <c r="G93" s="62" t="str">
        <f>IF(VLOOKUP([Field],Columns[],6,0)=0,"","-&gt;"&amp;VLOOKUP([Field],Columns[],6,0))</f>
        <v/>
      </c>
      <c r="H93" s="62" t="str">
        <f>IF(VLOOKUP([Field],Columns[],7,0)=0,"","-&gt;"&amp;VLOOKUP([Field],Columns[],7,0))</f>
        <v/>
      </c>
      <c r="I93" s="62" t="str">
        <f>IF(VLOOKUP([Field],Columns[],8,0)=0,"","-&gt;"&amp;VLOOKUP([Field],Columns[],8,0))</f>
        <v/>
      </c>
      <c r="J93" s="62" t="str">
        <f>IF(VLOOKUP([Field],Columns[],9,0)=0,"","-&gt;"&amp;VLOOKUP([Field],Columns[],9,0))</f>
        <v/>
      </c>
      <c r="K93" s="62" t="str">
        <f>"$table-&gt;"&amp;[Type]&amp;[Name]&amp;[Arg2]&amp;[Method1]&amp;[Method2]&amp;[Method3]&amp;[Method4]&amp;[Method5]&amp;";"</f>
        <v>$table-&gt;foreignCascade('order', 'orders');</v>
      </c>
    </row>
    <row r="94" spans="1:11">
      <c r="A94" s="2" t="s">
        <v>842</v>
      </c>
      <c r="B94" s="62" t="s">
        <v>828</v>
      </c>
      <c r="C94" s="62" t="str">
        <f>VLOOKUP([Field],Columns[],2,0)&amp;"("</f>
        <v>foreignNullable(</v>
      </c>
      <c r="D94" s="62" t="str">
        <f>IF(VLOOKUP([Field],Columns[],3,0)&lt;&gt;"","'"&amp;VLOOKUP([Field],Columns[],3,0)&amp;"'","")</f>
        <v>'customer'</v>
      </c>
      <c r="E94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94" s="62" t="str">
        <f>IF(VLOOKUP([Field],Columns[],5,0)=0,"","-&gt;"&amp;VLOOKUP([Field],Columns[],5,0))</f>
        <v/>
      </c>
      <c r="G94" s="62" t="str">
        <f>IF(VLOOKUP([Field],Columns[],6,0)=0,"","-&gt;"&amp;VLOOKUP([Field],Columns[],6,0))</f>
        <v/>
      </c>
      <c r="H94" s="62" t="str">
        <f>IF(VLOOKUP([Field],Columns[],7,0)=0,"","-&gt;"&amp;VLOOKUP([Field],Columns[],7,0))</f>
        <v/>
      </c>
      <c r="I94" s="62" t="str">
        <f>IF(VLOOKUP([Field],Columns[],8,0)=0,"","-&gt;"&amp;VLOOKUP([Field],Columns[],8,0))</f>
        <v/>
      </c>
      <c r="J94" s="62" t="str">
        <f>IF(VLOOKUP([Field],Columns[],9,0)=0,"","-&gt;"&amp;VLOOKUP([Field],Columns[],9,0))</f>
        <v/>
      </c>
      <c r="K94" s="62" t="str">
        <f>"$table-&gt;"&amp;[Type]&amp;[Name]&amp;[Arg2]&amp;[Method1]&amp;[Method2]&amp;[Method3]&amp;[Method4]&amp;[Method5]&amp;";"</f>
        <v>$table-&gt;foreignNullable('customer', 'users');</v>
      </c>
    </row>
    <row r="95" spans="1:11">
      <c r="A95" s="2" t="s">
        <v>842</v>
      </c>
      <c r="B95" s="62" t="s">
        <v>827</v>
      </c>
      <c r="C95" s="62" t="str">
        <f>VLOOKUP([Field],Columns[],2,0)&amp;"("</f>
        <v>date(</v>
      </c>
      <c r="D95" s="62" t="str">
        <f>IF(VLOOKUP([Field],Columns[],3,0)&lt;&gt;"","'"&amp;VLOOKUP([Field],Columns[],3,0)&amp;"'","")</f>
        <v>'date'</v>
      </c>
      <c r="E95" s="63" t="str">
        <f>IF(VLOOKUP([Field],Columns[],4,0)&lt;&gt;0,", "&amp;IF(ISERR(SEARCH(",",VLOOKUP([Field],Columns[],4,0))),"'"&amp;VLOOKUP([Field],Columns[],4,0)&amp;"'",VLOOKUP([Field],Columns[],4,0))&amp;")",")")</f>
        <v>)</v>
      </c>
      <c r="F95" s="62" t="str">
        <f>IF(VLOOKUP([Field],Columns[],5,0)=0,"","-&gt;"&amp;VLOOKUP([Field],Columns[],5,0))</f>
        <v>-&gt;nullable()</v>
      </c>
      <c r="G95" s="62" t="str">
        <f>IF(VLOOKUP([Field],Columns[],6,0)=0,"","-&gt;"&amp;VLOOKUP([Field],Columns[],6,0))</f>
        <v/>
      </c>
      <c r="H95" s="62" t="str">
        <f>IF(VLOOKUP([Field],Columns[],7,0)=0,"","-&gt;"&amp;VLOOKUP([Field],Columns[],7,0))</f>
        <v/>
      </c>
      <c r="I95" s="62" t="str">
        <f>IF(VLOOKUP([Field],Columns[],8,0)=0,"","-&gt;"&amp;VLOOKUP([Field],Columns[],8,0))</f>
        <v/>
      </c>
      <c r="J95" s="62" t="str">
        <f>IF(VLOOKUP([Field],Columns[],9,0)=0,"","-&gt;"&amp;VLOOKUP([Field],Columns[],9,0))</f>
        <v/>
      </c>
      <c r="K95" s="62" t="str">
        <f>"$table-&gt;"&amp;[Type]&amp;[Name]&amp;[Arg2]&amp;[Method1]&amp;[Method2]&amp;[Method3]&amp;[Method4]&amp;[Method5]&amp;";"</f>
        <v>$table-&gt;date('date')-&gt;nullable();</v>
      </c>
    </row>
    <row r="96" spans="1:11">
      <c r="A96" s="2" t="s">
        <v>842</v>
      </c>
      <c r="B96" s="62" t="s">
        <v>888</v>
      </c>
      <c r="C96" s="62" t="str">
        <f>VLOOKUP([Field],Columns[],2,0)&amp;"("</f>
        <v>enum(</v>
      </c>
      <c r="D96" s="62" t="str">
        <f>IF(VLOOKUP([Field],Columns[],3,0)&lt;&gt;"","'"&amp;VLOOKUP([Field],Columns[],3,0)&amp;"'","")</f>
        <v>'progress'</v>
      </c>
      <c r="E96" s="63" t="str">
        <f>IF(VLOOKUP([Field],Columns[],4,0)&lt;&gt;0,", "&amp;IF(ISERR(SEARCH(",",VLOOKUP([Field],Columns[],4,0))),"'"&amp;VLOOKUP([Field],Columns[],4,0)&amp;"'",VLOOKUP([Field],Columns[],4,0))&amp;")",")")</f>
        <v>, ['Unpaid','Paid Partially','Paid'])</v>
      </c>
      <c r="F96" s="62" t="str">
        <f>IF(VLOOKUP([Field],Columns[],5,0)=0,"","-&gt;"&amp;VLOOKUP([Field],Columns[],5,0))</f>
        <v>-&gt;nullable()</v>
      </c>
      <c r="G96" s="62" t="str">
        <f>IF(VLOOKUP([Field],Columns[],6,0)=0,"","-&gt;"&amp;VLOOKUP([Field],Columns[],6,0))</f>
        <v>-&gt;default('Unpaid')</v>
      </c>
      <c r="H96" s="62" t="str">
        <f>IF(VLOOKUP([Field],Columns[],7,0)=0,"","-&gt;"&amp;VLOOKUP([Field],Columns[],7,0))</f>
        <v/>
      </c>
      <c r="I96" s="62" t="str">
        <f>IF(VLOOKUP([Field],Columns[],8,0)=0,"","-&gt;"&amp;VLOOKUP([Field],Columns[],8,0))</f>
        <v/>
      </c>
      <c r="J96" s="62" t="str">
        <f>IF(VLOOKUP([Field],Columns[],9,0)=0,"","-&gt;"&amp;VLOOKUP([Field],Columns[],9,0))</f>
        <v/>
      </c>
      <c r="K96" s="62" t="str">
        <f>"$table-&gt;"&amp;[Type]&amp;[Name]&amp;[Arg2]&amp;[Method1]&amp;[Method2]&amp;[Method3]&amp;[Method4]&amp;[Method5]&amp;";"</f>
        <v>$table-&gt;enum('progress', ['Unpaid','Paid Partially','Paid'])-&gt;nullable()-&gt;default('Unpaid');</v>
      </c>
    </row>
    <row r="97" spans="1:11">
      <c r="A97" s="2" t="s">
        <v>842</v>
      </c>
      <c r="B97" s="62" t="s">
        <v>802</v>
      </c>
      <c r="C97" s="62" t="str">
        <f>VLOOKUP([Field],Columns[],2,0)&amp;"("</f>
        <v>enum(</v>
      </c>
      <c r="D97" s="62" t="str">
        <f>IF(VLOOKUP([Field],Columns[],3,0)&lt;&gt;"","'"&amp;VLOOKUP([Field],Columns[],3,0)&amp;"'","")</f>
        <v>'status'</v>
      </c>
      <c r="E97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7" s="62" t="str">
        <f>IF(VLOOKUP([Field],Columns[],5,0)=0,"","-&gt;"&amp;VLOOKUP([Field],Columns[],5,0))</f>
        <v>-&gt;nullable()</v>
      </c>
      <c r="G97" s="62" t="str">
        <f>IF(VLOOKUP([Field],Columns[],6,0)=0,"","-&gt;"&amp;VLOOKUP([Field],Columns[],6,0))</f>
        <v>-&gt;default('Active')</v>
      </c>
      <c r="H97" s="62" t="str">
        <f>IF(VLOOKUP([Field],Columns[],7,0)=0,"","-&gt;"&amp;VLOOKUP([Field],Columns[],7,0))</f>
        <v/>
      </c>
      <c r="I97" s="62" t="str">
        <f>IF(VLOOKUP([Field],Columns[],8,0)=0,"","-&gt;"&amp;VLOOKUP([Field],Columns[],8,0))</f>
        <v/>
      </c>
      <c r="J97" s="62" t="str">
        <f>IF(VLOOKUP([Field],Columns[],9,0)=0,"","-&gt;"&amp;VLOOKUP([Field],Columns[],9,0))</f>
        <v/>
      </c>
      <c r="K97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8" spans="1:11">
      <c r="A98" s="2" t="s">
        <v>842</v>
      </c>
      <c r="B98" s="62" t="s">
        <v>288</v>
      </c>
      <c r="C98" s="62" t="str">
        <f>VLOOKUP([Field],Columns[],2,0)&amp;"("</f>
        <v>audit(</v>
      </c>
      <c r="D98" s="62" t="str">
        <f>IF(VLOOKUP([Field],Columns[],3,0)&lt;&gt;"","'"&amp;VLOOKUP([Field],Columns[],3,0)&amp;"'","")</f>
        <v/>
      </c>
      <c r="E98" s="63" t="str">
        <f>IF(VLOOKUP([Field],Columns[],4,0)&lt;&gt;0,", "&amp;IF(ISERR(SEARCH(",",VLOOKUP([Field],Columns[],4,0))),"'"&amp;VLOOKUP([Field],Columns[],4,0)&amp;"'",VLOOKUP([Field],Columns[],4,0))&amp;")",")")</f>
        <v>)</v>
      </c>
      <c r="F98" s="62" t="str">
        <f>IF(VLOOKUP([Field],Columns[],5,0)=0,"","-&gt;"&amp;VLOOKUP([Field],Columns[],5,0))</f>
        <v/>
      </c>
      <c r="G98" s="62" t="str">
        <f>IF(VLOOKUP([Field],Columns[],6,0)=0,"","-&gt;"&amp;VLOOKUP([Field],Columns[],6,0))</f>
        <v/>
      </c>
      <c r="H98" s="62" t="str">
        <f>IF(VLOOKUP([Field],Columns[],7,0)=0,"","-&gt;"&amp;VLOOKUP([Field],Columns[],7,0))</f>
        <v/>
      </c>
      <c r="I98" s="62" t="str">
        <f>IF(VLOOKUP([Field],Columns[],8,0)=0,"","-&gt;"&amp;VLOOKUP([Field],Columns[],8,0))</f>
        <v/>
      </c>
      <c r="J98" s="62" t="str">
        <f>IF(VLOOKUP([Field],Columns[],9,0)=0,"","-&gt;"&amp;VLOOKUP([Field],Columns[],9,0))</f>
        <v/>
      </c>
      <c r="K98" s="62" t="str">
        <f>"$table-&gt;"&amp;[Type]&amp;[Name]&amp;[Arg2]&amp;[Method1]&amp;[Method2]&amp;[Method3]&amp;[Method4]&amp;[Method5]&amp;";"</f>
        <v>$table-&gt;audit();</v>
      </c>
    </row>
    <row r="99" spans="1:11">
      <c r="A99" s="2" t="s">
        <v>843</v>
      </c>
      <c r="B99" s="62" t="s">
        <v>21</v>
      </c>
      <c r="C99" s="62" t="str">
        <f>VLOOKUP([Field],Columns[],2,0)&amp;"("</f>
        <v>bigIncrements(</v>
      </c>
      <c r="D99" s="62" t="str">
        <f>IF(VLOOKUP([Field],Columns[],3,0)&lt;&gt;"","'"&amp;VLOOKUP([Field],Columns[],3,0)&amp;"'","")</f>
        <v>'id'</v>
      </c>
      <c r="E99" s="63" t="str">
        <f>IF(VLOOKUP([Field],Columns[],4,0)&lt;&gt;0,", "&amp;IF(ISERR(SEARCH(",",VLOOKUP([Field],Columns[],4,0))),"'"&amp;VLOOKUP([Field],Columns[],4,0)&amp;"'",VLOOKUP([Field],Columns[],4,0))&amp;")",")")</f>
        <v>)</v>
      </c>
      <c r="F99" s="62" t="str">
        <f>IF(VLOOKUP([Field],Columns[],5,0)=0,"","-&gt;"&amp;VLOOKUP([Field],Columns[],5,0))</f>
        <v/>
      </c>
      <c r="G99" s="62" t="str">
        <f>IF(VLOOKUP([Field],Columns[],6,0)=0,"","-&gt;"&amp;VLOOKUP([Field],Columns[],6,0))</f>
        <v/>
      </c>
      <c r="H99" s="62" t="str">
        <f>IF(VLOOKUP([Field],Columns[],7,0)=0,"","-&gt;"&amp;VLOOKUP([Field],Columns[],7,0))</f>
        <v/>
      </c>
      <c r="I99" s="62" t="str">
        <f>IF(VLOOKUP([Field],Columns[],8,0)=0,"","-&gt;"&amp;VLOOKUP([Field],Columns[],8,0))</f>
        <v/>
      </c>
      <c r="J99" s="62" t="str">
        <f>IF(VLOOKUP([Field],Columns[],9,0)=0,"","-&gt;"&amp;VLOOKUP([Field],Columns[],9,0))</f>
        <v/>
      </c>
      <c r="K99" s="62" t="str">
        <f>"$table-&gt;"&amp;[Type]&amp;[Name]&amp;[Arg2]&amp;[Method1]&amp;[Method2]&amp;[Method3]&amp;[Method4]&amp;[Method5]&amp;";"</f>
        <v>$table-&gt;bigIncrements('id');</v>
      </c>
    </row>
    <row r="100" spans="1:11">
      <c r="A100" s="2" t="s">
        <v>843</v>
      </c>
      <c r="B100" s="62" t="s">
        <v>845</v>
      </c>
      <c r="C100" s="62" t="str">
        <f>VLOOKUP([Field],Columns[],2,0)&amp;"("</f>
        <v>foreignCascade(</v>
      </c>
      <c r="D100" s="62" t="str">
        <f>IF(VLOOKUP([Field],Columns[],3,0)&lt;&gt;"","'"&amp;VLOOKUP([Field],Columns[],3,0)&amp;"'","")</f>
        <v>'invoice'</v>
      </c>
      <c r="E100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00" s="62" t="str">
        <f>IF(VLOOKUP([Field],Columns[],5,0)=0,"","-&gt;"&amp;VLOOKUP([Field],Columns[],5,0))</f>
        <v/>
      </c>
      <c r="G100" s="62" t="str">
        <f>IF(VLOOKUP([Field],Columns[],6,0)=0,"","-&gt;"&amp;VLOOKUP([Field],Columns[],6,0))</f>
        <v/>
      </c>
      <c r="H100" s="62" t="str">
        <f>IF(VLOOKUP([Field],Columns[],7,0)=0,"","-&gt;"&amp;VLOOKUP([Field],Columns[],7,0))</f>
        <v/>
      </c>
      <c r="I100" s="62" t="str">
        <f>IF(VLOOKUP([Field],Columns[],8,0)=0,"","-&gt;"&amp;VLOOKUP([Field],Columns[],8,0))</f>
        <v/>
      </c>
      <c r="J100" s="62" t="str">
        <f>IF(VLOOKUP([Field],Columns[],9,0)=0,"","-&gt;"&amp;VLOOKUP([Field],Columns[],9,0))</f>
        <v/>
      </c>
      <c r="K100" s="62" t="str">
        <f>"$table-&gt;"&amp;[Type]&amp;[Name]&amp;[Arg2]&amp;[Method1]&amp;[Method2]&amp;[Method3]&amp;[Method4]&amp;[Method5]&amp;";"</f>
        <v>$table-&gt;foreignCascade('invoice', 'invoices');</v>
      </c>
    </row>
    <row r="101" spans="1:11">
      <c r="A101" s="2" t="s">
        <v>843</v>
      </c>
      <c r="B101" s="62" t="s">
        <v>815</v>
      </c>
      <c r="C101" s="62" t="str">
        <f>VLOOKUP([Field],Columns[],2,0)&amp;"("</f>
        <v>foreignNullable(</v>
      </c>
      <c r="D101" s="62" t="str">
        <f>IF(VLOOKUP([Field],Columns[],3,0)&lt;&gt;"","'"&amp;VLOOKUP([Field],Columns[],3,0)&amp;"'","")</f>
        <v>'item'</v>
      </c>
      <c r="E101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101" s="62" t="str">
        <f>IF(VLOOKUP([Field],Columns[],5,0)=0,"","-&gt;"&amp;VLOOKUP([Field],Columns[],5,0))</f>
        <v/>
      </c>
      <c r="G101" s="62" t="str">
        <f>IF(VLOOKUP([Field],Columns[],6,0)=0,"","-&gt;"&amp;VLOOKUP([Field],Columns[],6,0))</f>
        <v/>
      </c>
      <c r="H101" s="62" t="str">
        <f>IF(VLOOKUP([Field],Columns[],7,0)=0,"","-&gt;"&amp;VLOOKUP([Field],Columns[],7,0))</f>
        <v/>
      </c>
      <c r="I101" s="62" t="str">
        <f>IF(VLOOKUP([Field],Columns[],8,0)=0,"","-&gt;"&amp;VLOOKUP([Field],Columns[],8,0))</f>
        <v/>
      </c>
      <c r="J101" s="62" t="str">
        <f>IF(VLOOKUP([Field],Columns[],9,0)=0,"","-&gt;"&amp;VLOOKUP([Field],Columns[],9,0))</f>
        <v/>
      </c>
      <c r="K101" s="62" t="str">
        <f>"$table-&gt;"&amp;[Type]&amp;[Name]&amp;[Arg2]&amp;[Method1]&amp;[Method2]&amp;[Method3]&amp;[Method4]&amp;[Method5]&amp;";"</f>
        <v>$table-&gt;foreignNullable('item', 'items');</v>
      </c>
    </row>
    <row r="102" spans="1:11">
      <c r="A102" s="2" t="s">
        <v>843</v>
      </c>
      <c r="B102" s="62" t="s">
        <v>812</v>
      </c>
      <c r="C102" s="62" t="str">
        <f>VLOOKUP([Field],Columns[],2,0)&amp;"("</f>
        <v>foreignNullable(</v>
      </c>
      <c r="D102" s="62" t="str">
        <f>IF(VLOOKUP([Field],Columns[],3,0)&lt;&gt;"","'"&amp;VLOOKUP([Field],Columns[],3,0)&amp;"'","")</f>
        <v>'service'</v>
      </c>
      <c r="E102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102" s="62" t="str">
        <f>IF(VLOOKUP([Field],Columns[],5,0)=0,"","-&gt;"&amp;VLOOKUP([Field],Columns[],5,0))</f>
        <v/>
      </c>
      <c r="G102" s="62" t="str">
        <f>IF(VLOOKUP([Field],Columns[],6,0)=0,"","-&gt;"&amp;VLOOKUP([Field],Columns[],6,0))</f>
        <v/>
      </c>
      <c r="H102" s="62" t="str">
        <f>IF(VLOOKUP([Field],Columns[],7,0)=0,"","-&gt;"&amp;VLOOKUP([Field],Columns[],7,0))</f>
        <v/>
      </c>
      <c r="I102" s="62" t="str">
        <f>IF(VLOOKUP([Field],Columns[],8,0)=0,"","-&gt;"&amp;VLOOKUP([Field],Columns[],8,0))</f>
        <v/>
      </c>
      <c r="J102" s="62" t="str">
        <f>IF(VLOOKUP([Field],Columns[],9,0)=0,"","-&gt;"&amp;VLOOKUP([Field],Columns[],9,0))</f>
        <v/>
      </c>
      <c r="K102" s="62" t="str">
        <f>"$table-&gt;"&amp;[Type]&amp;[Name]&amp;[Arg2]&amp;[Method1]&amp;[Method2]&amp;[Method3]&amp;[Method4]&amp;[Method5]&amp;";"</f>
        <v>$table-&gt;foreignNullable('service', 'services');</v>
      </c>
    </row>
    <row r="103" spans="1:11">
      <c r="A103" s="2" t="s">
        <v>843</v>
      </c>
      <c r="B103" s="62" t="s">
        <v>839</v>
      </c>
      <c r="C103" s="62" t="str">
        <f>VLOOKUP([Field],Columns[],2,0)&amp;"("</f>
        <v>foreignNullable(</v>
      </c>
      <c r="D103" s="62" t="str">
        <f>IF(VLOOKUP([Field],Columns[],3,0)&lt;&gt;"","'"&amp;VLOOKUP([Field],Columns[],3,0)&amp;"'","")</f>
        <v>'ois'</v>
      </c>
      <c r="E103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3" s="62" t="str">
        <f>IF(VLOOKUP([Field],Columns[],5,0)=0,"","-&gt;"&amp;VLOOKUP([Field],Columns[],5,0))</f>
        <v/>
      </c>
      <c r="G103" s="62" t="str">
        <f>IF(VLOOKUP([Field],Columns[],6,0)=0,"","-&gt;"&amp;VLOOKUP([Field],Columns[],6,0))</f>
        <v/>
      </c>
      <c r="H103" s="62" t="str">
        <f>IF(VLOOKUP([Field],Columns[],7,0)=0,"","-&gt;"&amp;VLOOKUP([Field],Columns[],7,0))</f>
        <v/>
      </c>
      <c r="I103" s="62" t="str">
        <f>IF(VLOOKUP([Field],Columns[],8,0)=0,"","-&gt;"&amp;VLOOKUP([Field],Columns[],8,0))</f>
        <v/>
      </c>
      <c r="J103" s="62" t="str">
        <f>IF(VLOOKUP([Field],Columns[],9,0)=0,"","-&gt;"&amp;VLOOKUP([Field],Columns[],9,0))</f>
        <v/>
      </c>
      <c r="K103" s="62" t="str">
        <f>"$table-&gt;"&amp;[Type]&amp;[Name]&amp;[Arg2]&amp;[Method1]&amp;[Method2]&amp;[Method3]&amp;[Method4]&amp;[Method5]&amp;";"</f>
        <v>$table-&gt;foreignNullable('ois', 'order_item_services');</v>
      </c>
    </row>
    <row r="104" spans="1:11">
      <c r="A104" s="2" t="s">
        <v>843</v>
      </c>
      <c r="B104" s="62" t="s">
        <v>847</v>
      </c>
      <c r="C104" s="62" t="str">
        <f>VLOOKUP([Field],Columns[],2,0)&amp;"("</f>
        <v>float(</v>
      </c>
      <c r="D104" s="62" t="str">
        <f>IF(VLOOKUP([Field],Columns[],3,0)&lt;&gt;"","'"&amp;VLOOKUP([Field],Columns[],3,0)&amp;"'","")</f>
        <v>'price'</v>
      </c>
      <c r="E104" s="63" t="str">
        <f>IF(VLOOKUP([Field],Columns[],4,0)&lt;&gt;0,", "&amp;IF(ISERR(SEARCH(",",VLOOKUP([Field],Columns[],4,0))),"'"&amp;VLOOKUP([Field],Columns[],4,0)&amp;"'",VLOOKUP([Field],Columns[],4,0))&amp;")",")")</f>
        <v>, 9,2)</v>
      </c>
      <c r="F104" s="62" t="str">
        <f>IF(VLOOKUP([Field],Columns[],5,0)=0,"","-&gt;"&amp;VLOOKUP([Field],Columns[],5,0))</f>
        <v>-&gt;nullable()</v>
      </c>
      <c r="G104" s="62" t="str">
        <f>IF(VLOOKUP([Field],Columns[],6,0)=0,"","-&gt;"&amp;VLOOKUP([Field],Columns[],6,0))</f>
        <v>-&gt;default(0)</v>
      </c>
      <c r="H104" s="62" t="str">
        <f>IF(VLOOKUP([Field],Columns[],7,0)=0,"","-&gt;"&amp;VLOOKUP([Field],Columns[],7,0))</f>
        <v/>
      </c>
      <c r="I104" s="62" t="str">
        <f>IF(VLOOKUP([Field],Columns[],8,0)=0,"","-&gt;"&amp;VLOOKUP([Field],Columns[],8,0))</f>
        <v/>
      </c>
      <c r="J104" s="62" t="str">
        <f>IF(VLOOKUP([Field],Columns[],9,0)=0,"","-&gt;"&amp;VLOOKUP([Field],Columns[],9,0))</f>
        <v/>
      </c>
      <c r="K104" s="62" t="str">
        <f>"$table-&gt;"&amp;[Type]&amp;[Name]&amp;[Arg2]&amp;[Method1]&amp;[Method2]&amp;[Method3]&amp;[Method4]&amp;[Method5]&amp;";"</f>
        <v>$table-&gt;float('price', 9,2)-&gt;nullable()-&gt;default(0);</v>
      </c>
    </row>
    <row r="105" spans="1:11">
      <c r="A105" s="2" t="s">
        <v>843</v>
      </c>
      <c r="B105" s="62" t="s">
        <v>288</v>
      </c>
      <c r="C105" s="62" t="str">
        <f>VLOOKUP([Field],Columns[],2,0)&amp;"("</f>
        <v>audit(</v>
      </c>
      <c r="D105" s="62" t="str">
        <f>IF(VLOOKUP([Field],Columns[],3,0)&lt;&gt;"","'"&amp;VLOOKUP([Field],Columns[],3,0)&amp;"'","")</f>
        <v/>
      </c>
      <c r="E105" s="63" t="str">
        <f>IF(VLOOKUP([Field],Columns[],4,0)&lt;&gt;0,", "&amp;IF(ISERR(SEARCH(",",VLOOKUP([Field],Columns[],4,0))),"'"&amp;VLOOKUP([Field],Columns[],4,0)&amp;"'",VLOOKUP([Field],Columns[],4,0))&amp;")",")")</f>
        <v>)</v>
      </c>
      <c r="F105" s="62" t="str">
        <f>IF(VLOOKUP([Field],Columns[],5,0)=0,"","-&gt;"&amp;VLOOKUP([Field],Columns[],5,0))</f>
        <v/>
      </c>
      <c r="G105" s="62" t="str">
        <f>IF(VLOOKUP([Field],Columns[],6,0)=0,"","-&gt;"&amp;VLOOKUP([Field],Columns[],6,0))</f>
        <v/>
      </c>
      <c r="H105" s="62" t="str">
        <f>IF(VLOOKUP([Field],Columns[],7,0)=0,"","-&gt;"&amp;VLOOKUP([Field],Columns[],7,0))</f>
        <v/>
      </c>
      <c r="I105" s="62" t="str">
        <f>IF(VLOOKUP([Field],Columns[],8,0)=0,"","-&gt;"&amp;VLOOKUP([Field],Columns[],8,0))</f>
        <v/>
      </c>
      <c r="J105" s="62" t="str">
        <f>IF(VLOOKUP([Field],Columns[],9,0)=0,"","-&gt;"&amp;VLOOKUP([Field],Columns[],9,0))</f>
        <v/>
      </c>
      <c r="K105" s="62" t="str">
        <f>"$table-&gt;"&amp;[Type]&amp;[Name]&amp;[Arg2]&amp;[Method1]&amp;[Method2]&amp;[Method3]&amp;[Method4]&amp;[Method5]&amp;";"</f>
        <v>$table-&gt;audit();</v>
      </c>
    </row>
    <row r="106" spans="1:11">
      <c r="A106" s="2" t="s">
        <v>772</v>
      </c>
      <c r="B106" s="62" t="s">
        <v>21</v>
      </c>
      <c r="C106" s="62" t="str">
        <f>VLOOKUP([Field],Columns[],2,0)&amp;"("</f>
        <v>bigIncrements(</v>
      </c>
      <c r="D106" s="62" t="str">
        <f>IF(VLOOKUP([Field],Columns[],3,0)&lt;&gt;"","'"&amp;VLOOKUP([Field],Columns[],3,0)&amp;"'","")</f>
        <v>'id'</v>
      </c>
      <c r="E106" s="63" t="str">
        <f>IF(VLOOKUP([Field],Columns[],4,0)&lt;&gt;0,", "&amp;IF(ISERR(SEARCH(",",VLOOKUP([Field],Columns[],4,0))),"'"&amp;VLOOKUP([Field],Columns[],4,0)&amp;"'",VLOOKUP([Field],Columns[],4,0))&amp;")",")")</f>
        <v>)</v>
      </c>
      <c r="F106" s="62" t="str">
        <f>IF(VLOOKUP([Field],Columns[],5,0)=0,"","-&gt;"&amp;VLOOKUP([Field],Columns[],5,0))</f>
        <v/>
      </c>
      <c r="G106" s="62" t="str">
        <f>IF(VLOOKUP([Field],Columns[],6,0)=0,"","-&gt;"&amp;VLOOKUP([Field],Columns[],6,0))</f>
        <v/>
      </c>
      <c r="H106" s="62" t="str">
        <f>IF(VLOOKUP([Field],Columns[],7,0)=0,"","-&gt;"&amp;VLOOKUP([Field],Columns[],7,0))</f>
        <v/>
      </c>
      <c r="I106" s="62" t="str">
        <f>IF(VLOOKUP([Field],Columns[],8,0)=0,"","-&gt;"&amp;VLOOKUP([Field],Columns[],8,0))</f>
        <v/>
      </c>
      <c r="J106" s="62" t="str">
        <f>IF(VLOOKUP([Field],Columns[],9,0)=0,"","-&gt;"&amp;VLOOKUP([Field],Columns[],9,0))</f>
        <v/>
      </c>
      <c r="K106" s="62" t="str">
        <f>"$table-&gt;"&amp;[Type]&amp;[Name]&amp;[Arg2]&amp;[Method1]&amp;[Method2]&amp;[Method3]&amp;[Method4]&amp;[Method5]&amp;";"</f>
        <v>$table-&gt;bigIncrements('id');</v>
      </c>
    </row>
    <row r="107" spans="1:11">
      <c r="A107" s="2" t="s">
        <v>772</v>
      </c>
      <c r="B107" s="62" t="s">
        <v>840</v>
      </c>
      <c r="C107" s="62" t="str">
        <f>VLOOKUP([Field],Columns[],2,0)&amp;"("</f>
        <v>foreignCascade(</v>
      </c>
      <c r="D107" s="62" t="str">
        <f>IF(VLOOKUP([Field],Columns[],3,0)&lt;&gt;"","'"&amp;VLOOKUP([Field],Columns[],3,0)&amp;"'","")</f>
        <v>'ois'</v>
      </c>
      <c r="E107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7" s="62" t="str">
        <f>IF(VLOOKUP([Field],Columns[],5,0)=0,"","-&gt;"&amp;VLOOKUP([Field],Columns[],5,0))</f>
        <v/>
      </c>
      <c r="G107" s="62" t="str">
        <f>IF(VLOOKUP([Field],Columns[],6,0)=0,"","-&gt;"&amp;VLOOKUP([Field],Columns[],6,0))</f>
        <v/>
      </c>
      <c r="H107" s="62" t="str">
        <f>IF(VLOOKUP([Field],Columns[],7,0)=0,"","-&gt;"&amp;VLOOKUP([Field],Columns[],7,0))</f>
        <v/>
      </c>
      <c r="I107" s="62" t="str">
        <f>IF(VLOOKUP([Field],Columns[],8,0)=0,"","-&gt;"&amp;VLOOKUP([Field],Columns[],8,0))</f>
        <v/>
      </c>
      <c r="J107" s="62" t="str">
        <f>IF(VLOOKUP([Field],Columns[],9,0)=0,"","-&gt;"&amp;VLOOKUP([Field],Columns[],9,0))</f>
        <v/>
      </c>
      <c r="K107" s="62" t="str">
        <f>"$table-&gt;"&amp;[Type]&amp;[Name]&amp;[Arg2]&amp;[Method1]&amp;[Method2]&amp;[Method3]&amp;[Method4]&amp;[Method5]&amp;";"</f>
        <v>$table-&gt;foreignCascade('ois', 'order_item_services');</v>
      </c>
    </row>
    <row r="108" spans="1:11">
      <c r="A108" s="2" t="s">
        <v>772</v>
      </c>
      <c r="B108" s="62" t="s">
        <v>824</v>
      </c>
      <c r="C108" s="62" t="str">
        <f>VLOOKUP([Field],Columns[],2,0)&amp;"("</f>
        <v>foreignNullable(</v>
      </c>
      <c r="D108" s="62" t="str">
        <f>IF(VLOOKUP([Field],Columns[],3,0)&lt;&gt;"","'"&amp;VLOOKUP([Field],Columns[],3,0)&amp;"'","")</f>
        <v>'user'</v>
      </c>
      <c r="E10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8" s="62" t="str">
        <f>IF(VLOOKUP([Field],Columns[],5,0)=0,"","-&gt;"&amp;VLOOKUP([Field],Columns[],5,0))</f>
        <v/>
      </c>
      <c r="G108" s="62" t="str">
        <f>IF(VLOOKUP([Field],Columns[],6,0)=0,"","-&gt;"&amp;VLOOKUP([Field],Columns[],6,0))</f>
        <v/>
      </c>
      <c r="H108" s="62" t="str">
        <f>IF(VLOOKUP([Field],Columns[],7,0)=0,"","-&gt;"&amp;VLOOKUP([Field],Columns[],7,0))</f>
        <v/>
      </c>
      <c r="I108" s="62" t="str">
        <f>IF(VLOOKUP([Field],Columns[],8,0)=0,"","-&gt;"&amp;VLOOKUP([Field],Columns[],8,0))</f>
        <v/>
      </c>
      <c r="J108" s="62" t="str">
        <f>IF(VLOOKUP([Field],Columns[],9,0)=0,"","-&gt;"&amp;VLOOKUP([Field],Columns[],9,0))</f>
        <v/>
      </c>
      <c r="K108" s="62" t="str">
        <f>"$table-&gt;"&amp;[Type]&amp;[Name]&amp;[Arg2]&amp;[Method1]&amp;[Method2]&amp;[Method3]&amp;[Method4]&amp;[Method5]&amp;";"</f>
        <v>$table-&gt;foreignNullable('user', 'users');</v>
      </c>
    </row>
    <row r="109" spans="1:11">
      <c r="A109" s="2" t="s">
        <v>772</v>
      </c>
      <c r="B109" s="62" t="s">
        <v>860</v>
      </c>
      <c r="C109" s="62" t="str">
        <f>VLOOKUP([Field],Columns[],2,0)&amp;"("</f>
        <v>foreignNullable(</v>
      </c>
      <c r="D109" s="62" t="str">
        <f>IF(VLOOKUP([Field],Columns[],3,0)&lt;&gt;"","'"&amp;VLOOKUP([Field],Columns[],3,0)&amp;"'","")</f>
        <v>'assigned_by'</v>
      </c>
      <c r="E109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9" s="62" t="str">
        <f>IF(VLOOKUP([Field],Columns[],5,0)=0,"","-&gt;"&amp;VLOOKUP([Field],Columns[],5,0))</f>
        <v/>
      </c>
      <c r="G109" s="62" t="str">
        <f>IF(VLOOKUP([Field],Columns[],6,0)=0,"","-&gt;"&amp;VLOOKUP([Field],Columns[],6,0))</f>
        <v/>
      </c>
      <c r="H109" s="62" t="str">
        <f>IF(VLOOKUP([Field],Columns[],7,0)=0,"","-&gt;"&amp;VLOOKUP([Field],Columns[],7,0))</f>
        <v/>
      </c>
      <c r="I109" s="62" t="str">
        <f>IF(VLOOKUP([Field],Columns[],8,0)=0,"","-&gt;"&amp;VLOOKUP([Field],Columns[],8,0))</f>
        <v/>
      </c>
      <c r="J109" s="62" t="str">
        <f>IF(VLOOKUP([Field],Columns[],9,0)=0,"","-&gt;"&amp;VLOOKUP([Field],Columns[],9,0))</f>
        <v/>
      </c>
      <c r="K109" s="62" t="str">
        <f>"$table-&gt;"&amp;[Type]&amp;[Name]&amp;[Arg2]&amp;[Method1]&amp;[Method2]&amp;[Method3]&amp;[Method4]&amp;[Method5]&amp;";"</f>
        <v>$table-&gt;foreignNullable('assigned_by', 'users');</v>
      </c>
    </row>
    <row r="110" spans="1:11">
      <c r="A110" s="2" t="s">
        <v>772</v>
      </c>
      <c r="B110" s="62" t="s">
        <v>858</v>
      </c>
      <c r="C110" s="62" t="str">
        <f>VLOOKUP([Field],Columns[],2,0)&amp;"("</f>
        <v>unsignedBigInteger(</v>
      </c>
      <c r="D110" s="62" t="str">
        <f>IF(VLOOKUP([Field],Columns[],3,0)&lt;&gt;"","'"&amp;VLOOKUP([Field],Columns[],3,0)&amp;"'","")</f>
        <v>'assigned_on'</v>
      </c>
      <c r="E110" s="63" t="str">
        <f>IF(VLOOKUP([Field],Columns[],4,0)&lt;&gt;0,", "&amp;IF(ISERR(SEARCH(",",VLOOKUP([Field],Columns[],4,0))),"'"&amp;VLOOKUP([Field],Columns[],4,0)&amp;"'",VLOOKUP([Field],Columns[],4,0))&amp;")",")")</f>
        <v>)</v>
      </c>
      <c r="F110" s="62" t="str">
        <f>IF(VLOOKUP([Field],Columns[],5,0)=0,"","-&gt;"&amp;VLOOKUP([Field],Columns[],5,0))</f>
        <v>-&gt;nullable()</v>
      </c>
      <c r="G110" s="62" t="str">
        <f>IF(VLOOKUP([Field],Columns[],6,0)=0,"","-&gt;"&amp;VLOOKUP([Field],Columns[],6,0))</f>
        <v>-&gt;default(0)</v>
      </c>
      <c r="H110" s="62" t="str">
        <f>IF(VLOOKUP([Field],Columns[],7,0)=0,"","-&gt;"&amp;VLOOKUP([Field],Columns[],7,0))</f>
        <v/>
      </c>
      <c r="I110" s="62" t="str">
        <f>IF(VLOOKUP([Field],Columns[],8,0)=0,"","-&gt;"&amp;VLOOKUP([Field],Columns[],8,0))</f>
        <v/>
      </c>
      <c r="J110" s="62" t="str">
        <f>IF(VLOOKUP([Field],Columns[],9,0)=0,"","-&gt;"&amp;VLOOKUP([Field],Columns[],9,0))</f>
        <v/>
      </c>
      <c r="K110" s="62" t="str">
        <f>"$table-&gt;"&amp;[Type]&amp;[Name]&amp;[Arg2]&amp;[Method1]&amp;[Method2]&amp;[Method3]&amp;[Method4]&amp;[Method5]&amp;";"</f>
        <v>$table-&gt;unsignedBigInteger('assigned_on')-&gt;nullable()-&gt;default(0);</v>
      </c>
    </row>
    <row r="111" spans="1:11">
      <c r="A111" s="2" t="s">
        <v>772</v>
      </c>
      <c r="B111" s="62" t="s">
        <v>862</v>
      </c>
      <c r="C111" s="62" t="str">
        <f>VLOOKUP([Field],Columns[],2,0)&amp;"("</f>
        <v>unsignedBigInteger(</v>
      </c>
      <c r="D111" s="62" t="str">
        <f>IF(VLOOKUP([Field],Columns[],3,0)&lt;&gt;"","'"&amp;VLOOKUP([Field],Columns[],3,0)&amp;"'","")</f>
        <v>'start_at'</v>
      </c>
      <c r="E111" s="63" t="str">
        <f>IF(VLOOKUP([Field],Columns[],4,0)&lt;&gt;0,", "&amp;IF(ISERR(SEARCH(",",VLOOKUP([Field],Columns[],4,0))),"'"&amp;VLOOKUP([Field],Columns[],4,0)&amp;"'",VLOOKUP([Field],Columns[],4,0))&amp;")",")")</f>
        <v>)</v>
      </c>
      <c r="F111" s="62" t="str">
        <f>IF(VLOOKUP([Field],Columns[],5,0)=0,"","-&gt;"&amp;VLOOKUP([Field],Columns[],5,0))</f>
        <v/>
      </c>
      <c r="G111" s="62" t="str">
        <f>IF(VLOOKUP([Field],Columns[],6,0)=0,"","-&gt;"&amp;VLOOKUP([Field],Columns[],6,0))</f>
        <v>-&gt;default(0)</v>
      </c>
      <c r="H111" s="62" t="str">
        <f>IF(VLOOKUP([Field],Columns[],7,0)=0,"","-&gt;"&amp;VLOOKUP([Field],Columns[],7,0))</f>
        <v/>
      </c>
      <c r="I111" s="62" t="str">
        <f>IF(VLOOKUP([Field],Columns[],8,0)=0,"","-&gt;"&amp;VLOOKUP([Field],Columns[],8,0))</f>
        <v/>
      </c>
      <c r="J111" s="62" t="str">
        <f>IF(VLOOKUP([Field],Columns[],9,0)=0,"","-&gt;"&amp;VLOOKUP([Field],Columns[],9,0))</f>
        <v/>
      </c>
      <c r="K111" s="62" t="str">
        <f>"$table-&gt;"&amp;[Type]&amp;[Name]&amp;[Arg2]&amp;[Method1]&amp;[Method2]&amp;[Method3]&amp;[Method4]&amp;[Method5]&amp;";"</f>
        <v>$table-&gt;unsignedBigInteger('start_at')-&gt;default(0);</v>
      </c>
    </row>
    <row r="112" spans="1:11">
      <c r="A112" s="2" t="s">
        <v>772</v>
      </c>
      <c r="B112" s="62" t="s">
        <v>864</v>
      </c>
      <c r="C112" s="62" t="str">
        <f>VLOOKUP([Field],Columns[],2,0)&amp;"("</f>
        <v>unsignedBigInteger(</v>
      </c>
      <c r="D112" s="62" t="str">
        <f>IF(VLOOKUP([Field],Columns[],3,0)&lt;&gt;"","'"&amp;VLOOKUP([Field],Columns[],3,0)&amp;"'","")</f>
        <v>'end_at'</v>
      </c>
      <c r="E112" s="63" t="str">
        <f>IF(VLOOKUP([Field],Columns[],4,0)&lt;&gt;0,", "&amp;IF(ISERR(SEARCH(",",VLOOKUP([Field],Columns[],4,0))),"'"&amp;VLOOKUP([Field],Columns[],4,0)&amp;"'",VLOOKUP([Field],Columns[],4,0))&amp;")",")")</f>
        <v>)</v>
      </c>
      <c r="F112" s="62" t="str">
        <f>IF(VLOOKUP([Field],Columns[],5,0)=0,"","-&gt;"&amp;VLOOKUP([Field],Columns[],5,0))</f>
        <v/>
      </c>
      <c r="G112" s="62" t="str">
        <f>IF(VLOOKUP([Field],Columns[],6,0)=0,"","-&gt;"&amp;VLOOKUP([Field],Columns[],6,0))</f>
        <v>-&gt;default(0)</v>
      </c>
      <c r="H112" s="62" t="str">
        <f>IF(VLOOKUP([Field],Columns[],7,0)=0,"","-&gt;"&amp;VLOOKUP([Field],Columns[],7,0))</f>
        <v/>
      </c>
      <c r="I112" s="62" t="str">
        <f>IF(VLOOKUP([Field],Columns[],8,0)=0,"","-&gt;"&amp;VLOOKUP([Field],Columns[],8,0))</f>
        <v/>
      </c>
      <c r="J112" s="62" t="str">
        <f>IF(VLOOKUP([Field],Columns[],9,0)=0,"","-&gt;"&amp;VLOOKUP([Field],Columns[],9,0))</f>
        <v/>
      </c>
      <c r="K112" s="62" t="str">
        <f>"$table-&gt;"&amp;[Type]&amp;[Name]&amp;[Arg2]&amp;[Method1]&amp;[Method2]&amp;[Method3]&amp;[Method4]&amp;[Method5]&amp;";"</f>
        <v>$table-&gt;unsignedBigInteger('end_at')-&gt;default(0);</v>
      </c>
    </row>
    <row r="113" spans="1:11">
      <c r="A113" s="2" t="s">
        <v>772</v>
      </c>
      <c r="B113" s="62" t="s">
        <v>867</v>
      </c>
      <c r="C113" s="62" t="str">
        <f>VLOOKUP([Field],Columns[],2,0)&amp;"("</f>
        <v>unsignedBigInteger(</v>
      </c>
      <c r="D113" s="62" t="str">
        <f>IF(VLOOKUP([Field],Columns[],3,0)&lt;&gt;"","'"&amp;VLOOKUP([Field],Columns[],3,0)&amp;"'","")</f>
        <v>'service_time'</v>
      </c>
      <c r="E113" s="63" t="str">
        <f>IF(VLOOKUP([Field],Columns[],4,0)&lt;&gt;0,", "&amp;IF(ISERR(SEARCH(",",VLOOKUP([Field],Columns[],4,0))),"'"&amp;VLOOKUP([Field],Columns[],4,0)&amp;"'",VLOOKUP([Field],Columns[],4,0))&amp;")",")")</f>
        <v>)</v>
      </c>
      <c r="F113" s="62" t="str">
        <f>IF(VLOOKUP([Field],Columns[],5,0)=0,"","-&gt;"&amp;VLOOKUP([Field],Columns[],5,0))</f>
        <v/>
      </c>
      <c r="G113" s="62" t="str">
        <f>IF(VLOOKUP([Field],Columns[],6,0)=0,"","-&gt;"&amp;VLOOKUP([Field],Columns[],6,0))</f>
        <v>-&gt;default(0)</v>
      </c>
      <c r="H113" s="62" t="str">
        <f>IF(VLOOKUP([Field],Columns[],7,0)=0,"","-&gt;"&amp;VLOOKUP([Field],Columns[],7,0))</f>
        <v/>
      </c>
      <c r="I113" s="62" t="str">
        <f>IF(VLOOKUP([Field],Columns[],8,0)=0,"","-&gt;"&amp;VLOOKUP([Field],Columns[],8,0))</f>
        <v/>
      </c>
      <c r="J113" s="62" t="str">
        <f>IF(VLOOKUP([Field],Columns[],9,0)=0,"","-&gt;"&amp;VLOOKUP([Field],Columns[],9,0))</f>
        <v/>
      </c>
      <c r="K113" s="62" t="str">
        <f>"$table-&gt;"&amp;[Type]&amp;[Name]&amp;[Arg2]&amp;[Method1]&amp;[Method2]&amp;[Method3]&amp;[Method4]&amp;[Method5]&amp;";"</f>
        <v>$table-&gt;unsignedBigInteger('service_time')-&gt;default(0);</v>
      </c>
    </row>
    <row r="114" spans="1:11">
      <c r="A114" s="2" t="s">
        <v>772</v>
      </c>
      <c r="B114" s="62" t="s">
        <v>866</v>
      </c>
      <c r="C114" s="62" t="str">
        <f>VLOOKUP([Field],Columns[],2,0)&amp;"("</f>
        <v>unsignedBigInteger(</v>
      </c>
      <c r="D114" s="62" t="str">
        <f>IF(VLOOKUP([Field],Columns[],3,0)&lt;&gt;"","'"&amp;VLOOKUP([Field],Columns[],3,0)&amp;"'","")</f>
        <v>'total_time'</v>
      </c>
      <c r="E114" s="63" t="str">
        <f>IF(VLOOKUP([Field],Columns[],4,0)&lt;&gt;0,", "&amp;IF(ISERR(SEARCH(",",VLOOKUP([Field],Columns[],4,0))),"'"&amp;VLOOKUP([Field],Columns[],4,0)&amp;"'",VLOOKUP([Field],Columns[],4,0))&amp;")",")")</f>
        <v>)</v>
      </c>
      <c r="F114" s="62" t="str">
        <f>IF(VLOOKUP([Field],Columns[],5,0)=0,"","-&gt;"&amp;VLOOKUP([Field],Columns[],5,0))</f>
        <v/>
      </c>
      <c r="G114" s="62" t="str">
        <f>IF(VLOOKUP([Field],Columns[],6,0)=0,"","-&gt;"&amp;VLOOKUP([Field],Columns[],6,0))</f>
        <v>-&gt;default(0)</v>
      </c>
      <c r="H114" s="62" t="str">
        <f>IF(VLOOKUP([Field],Columns[],7,0)=0,"","-&gt;"&amp;VLOOKUP([Field],Columns[],7,0))</f>
        <v/>
      </c>
      <c r="I114" s="62" t="str">
        <f>IF(VLOOKUP([Field],Columns[],8,0)=0,"","-&gt;"&amp;VLOOKUP([Field],Columns[],8,0))</f>
        <v/>
      </c>
      <c r="J114" s="62" t="str">
        <f>IF(VLOOKUP([Field],Columns[],9,0)=0,"","-&gt;"&amp;VLOOKUP([Field],Columns[],9,0))</f>
        <v/>
      </c>
      <c r="K114" s="62" t="str">
        <f>"$table-&gt;"&amp;[Type]&amp;[Name]&amp;[Arg2]&amp;[Method1]&amp;[Method2]&amp;[Method3]&amp;[Method4]&amp;[Method5]&amp;";"</f>
        <v>$table-&gt;unsignedBigInteger('total_time')-&gt;default(0);</v>
      </c>
    </row>
    <row r="115" spans="1:11">
      <c r="A115" s="2" t="s">
        <v>772</v>
      </c>
      <c r="B115" s="62" t="s">
        <v>802</v>
      </c>
      <c r="C115" s="62" t="str">
        <f>VLOOKUP([Field],Columns[],2,0)&amp;"("</f>
        <v>enum(</v>
      </c>
      <c r="D115" s="62" t="str">
        <f>IF(VLOOKUP([Field],Columns[],3,0)&lt;&gt;"","'"&amp;VLOOKUP([Field],Columns[],3,0)&amp;"'","")</f>
        <v>'status'</v>
      </c>
      <c r="E115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5" s="62" t="str">
        <f>IF(VLOOKUP([Field],Columns[],5,0)=0,"","-&gt;"&amp;VLOOKUP([Field],Columns[],5,0))</f>
        <v>-&gt;nullable()</v>
      </c>
      <c r="G115" s="62" t="str">
        <f>IF(VLOOKUP([Field],Columns[],6,0)=0,"","-&gt;"&amp;VLOOKUP([Field],Columns[],6,0))</f>
        <v>-&gt;default('Active')</v>
      </c>
      <c r="H115" s="62" t="str">
        <f>IF(VLOOKUP([Field],Columns[],7,0)=0,"","-&gt;"&amp;VLOOKUP([Field],Columns[],7,0))</f>
        <v/>
      </c>
      <c r="I115" s="62" t="str">
        <f>IF(VLOOKUP([Field],Columns[],8,0)=0,"","-&gt;"&amp;VLOOKUP([Field],Columns[],8,0))</f>
        <v/>
      </c>
      <c r="J115" s="62" t="str">
        <f>IF(VLOOKUP([Field],Columns[],9,0)=0,"","-&gt;"&amp;VLOOKUP([Field],Columns[],9,0))</f>
        <v/>
      </c>
      <c r="K115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6" spans="1:11">
      <c r="A116" s="2" t="s">
        <v>772</v>
      </c>
      <c r="B116" s="62" t="s">
        <v>288</v>
      </c>
      <c r="C116" s="62" t="str">
        <f>VLOOKUP([Field],Columns[],2,0)&amp;"("</f>
        <v>audit(</v>
      </c>
      <c r="D116" s="62" t="str">
        <f>IF(VLOOKUP([Field],Columns[],3,0)&lt;&gt;"","'"&amp;VLOOKUP([Field],Columns[],3,0)&amp;"'","")</f>
        <v/>
      </c>
      <c r="E116" s="63" t="str">
        <f>IF(VLOOKUP([Field],Columns[],4,0)&lt;&gt;0,", "&amp;IF(ISERR(SEARCH(",",VLOOKUP([Field],Columns[],4,0))),"'"&amp;VLOOKUP([Field],Columns[],4,0)&amp;"'",VLOOKUP([Field],Columns[],4,0))&amp;")",")")</f>
        <v>)</v>
      </c>
      <c r="F116" s="62" t="str">
        <f>IF(VLOOKUP([Field],Columns[],5,0)=0,"","-&gt;"&amp;VLOOKUP([Field],Columns[],5,0))</f>
        <v/>
      </c>
      <c r="G116" s="62" t="str">
        <f>IF(VLOOKUP([Field],Columns[],6,0)=0,"","-&gt;"&amp;VLOOKUP([Field],Columns[],6,0))</f>
        <v/>
      </c>
      <c r="H116" s="62" t="str">
        <f>IF(VLOOKUP([Field],Columns[],7,0)=0,"","-&gt;"&amp;VLOOKUP([Field],Columns[],7,0))</f>
        <v/>
      </c>
      <c r="I116" s="62" t="str">
        <f>IF(VLOOKUP([Field],Columns[],8,0)=0,"","-&gt;"&amp;VLOOKUP([Field],Columns[],8,0))</f>
        <v/>
      </c>
      <c r="J116" s="62" t="str">
        <f>IF(VLOOKUP([Field],Columns[],9,0)=0,"","-&gt;"&amp;VLOOKUP([Field],Columns[],9,0))</f>
        <v/>
      </c>
      <c r="K116" s="62" t="str">
        <f>"$table-&gt;"&amp;[Type]&amp;[Name]&amp;[Arg2]&amp;[Method1]&amp;[Method2]&amp;[Method3]&amp;[Method4]&amp;[Method5]&amp;";"</f>
        <v>$table-&gt;audit();</v>
      </c>
    </row>
    <row r="117" spans="1:11">
      <c r="A117" s="2" t="s">
        <v>773</v>
      </c>
      <c r="B117" s="62" t="s">
        <v>21</v>
      </c>
      <c r="C117" s="62" t="str">
        <f>VLOOKUP([Field],Columns[],2,0)&amp;"("</f>
        <v>bigIncrements(</v>
      </c>
      <c r="D117" s="62" t="str">
        <f>IF(VLOOKUP([Field],Columns[],3,0)&lt;&gt;"","'"&amp;VLOOKUP([Field],Columns[],3,0)&amp;"'","")</f>
        <v>'id'</v>
      </c>
      <c r="E117" s="63" t="str">
        <f>IF(VLOOKUP([Field],Columns[],4,0)&lt;&gt;0,", "&amp;IF(ISERR(SEARCH(",",VLOOKUP([Field],Columns[],4,0))),"'"&amp;VLOOKUP([Field],Columns[],4,0)&amp;"'",VLOOKUP([Field],Columns[],4,0))&amp;")",")")</f>
        <v>)</v>
      </c>
      <c r="F117" s="62" t="str">
        <f>IF(VLOOKUP([Field],Columns[],5,0)=0,"","-&gt;"&amp;VLOOKUP([Field],Columns[],5,0))</f>
        <v/>
      </c>
      <c r="G117" s="62" t="str">
        <f>IF(VLOOKUP([Field],Columns[],6,0)=0,"","-&gt;"&amp;VLOOKUP([Field],Columns[],6,0))</f>
        <v/>
      </c>
      <c r="H117" s="62" t="str">
        <f>IF(VLOOKUP([Field],Columns[],7,0)=0,"","-&gt;"&amp;VLOOKUP([Field],Columns[],7,0))</f>
        <v/>
      </c>
      <c r="I117" s="62" t="str">
        <f>IF(VLOOKUP([Field],Columns[],8,0)=0,"","-&gt;"&amp;VLOOKUP([Field],Columns[],8,0))</f>
        <v/>
      </c>
      <c r="J117" s="62" t="str">
        <f>IF(VLOOKUP([Field],Columns[],9,0)=0,"","-&gt;"&amp;VLOOKUP([Field],Columns[],9,0))</f>
        <v/>
      </c>
      <c r="K117" s="62" t="str">
        <f>"$table-&gt;"&amp;[Type]&amp;[Name]&amp;[Arg2]&amp;[Method1]&amp;[Method2]&amp;[Method3]&amp;[Method4]&amp;[Method5]&amp;";"</f>
        <v>$table-&gt;bigIncrements('id');</v>
      </c>
    </row>
    <row r="118" spans="1:11">
      <c r="A118" s="2" t="s">
        <v>773</v>
      </c>
      <c r="B118" s="62" t="s">
        <v>844</v>
      </c>
      <c r="C118" s="62" t="str">
        <f>VLOOKUP([Field],Columns[],2,0)&amp;"("</f>
        <v>foreignNullable(</v>
      </c>
      <c r="D118" s="62" t="str">
        <f>IF(VLOOKUP([Field],Columns[],3,0)&lt;&gt;"","'"&amp;VLOOKUP([Field],Columns[],3,0)&amp;"'","")</f>
        <v>'invoice'</v>
      </c>
      <c r="E118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18" s="62" t="str">
        <f>IF(VLOOKUP([Field],Columns[],5,0)=0,"","-&gt;"&amp;VLOOKUP([Field],Columns[],5,0))</f>
        <v/>
      </c>
      <c r="G118" s="62" t="str">
        <f>IF(VLOOKUP([Field],Columns[],6,0)=0,"","-&gt;"&amp;VLOOKUP([Field],Columns[],6,0))</f>
        <v/>
      </c>
      <c r="H118" s="62" t="str">
        <f>IF(VLOOKUP([Field],Columns[],7,0)=0,"","-&gt;"&amp;VLOOKUP([Field],Columns[],7,0))</f>
        <v/>
      </c>
      <c r="I118" s="62" t="str">
        <f>IF(VLOOKUP([Field],Columns[],8,0)=0,"","-&gt;"&amp;VLOOKUP([Field],Columns[],8,0))</f>
        <v/>
      </c>
      <c r="J118" s="62" t="str">
        <f>IF(VLOOKUP([Field],Columns[],9,0)=0,"","-&gt;"&amp;VLOOKUP([Field],Columns[],9,0))</f>
        <v/>
      </c>
      <c r="K118" s="62" t="str">
        <f>"$table-&gt;"&amp;[Type]&amp;[Name]&amp;[Arg2]&amp;[Method1]&amp;[Method2]&amp;[Method3]&amp;[Method4]&amp;[Method5]&amp;";"</f>
        <v>$table-&gt;foreignNullable('invoice', 'invoices');</v>
      </c>
    </row>
    <row r="119" spans="1:11">
      <c r="A119" s="2" t="s">
        <v>773</v>
      </c>
      <c r="B119" s="62" t="s">
        <v>827</v>
      </c>
      <c r="C119" s="62" t="str">
        <f>VLOOKUP([Field],Columns[],2,0)&amp;"("</f>
        <v>date(</v>
      </c>
      <c r="D119" s="62" t="str">
        <f>IF(VLOOKUP([Field],Columns[],3,0)&lt;&gt;"","'"&amp;VLOOKUP([Field],Columns[],3,0)&amp;"'","")</f>
        <v>'date'</v>
      </c>
      <c r="E119" s="63" t="str">
        <f>IF(VLOOKUP([Field],Columns[],4,0)&lt;&gt;0,", "&amp;IF(ISERR(SEARCH(",",VLOOKUP([Field],Columns[],4,0))),"'"&amp;VLOOKUP([Field],Columns[],4,0)&amp;"'",VLOOKUP([Field],Columns[],4,0))&amp;")",")")</f>
        <v>)</v>
      </c>
      <c r="F119" s="62" t="str">
        <f>IF(VLOOKUP([Field],Columns[],5,0)=0,"","-&gt;"&amp;VLOOKUP([Field],Columns[],5,0))</f>
        <v>-&gt;nullable()</v>
      </c>
      <c r="G119" s="62" t="str">
        <f>IF(VLOOKUP([Field],Columns[],6,0)=0,"","-&gt;"&amp;VLOOKUP([Field],Columns[],6,0))</f>
        <v/>
      </c>
      <c r="H119" s="62" t="str">
        <f>IF(VLOOKUP([Field],Columns[],7,0)=0,"","-&gt;"&amp;VLOOKUP([Field],Columns[],7,0))</f>
        <v/>
      </c>
      <c r="I119" s="62" t="str">
        <f>IF(VLOOKUP([Field],Columns[],8,0)=0,"","-&gt;"&amp;VLOOKUP([Field],Columns[],8,0))</f>
        <v/>
      </c>
      <c r="J119" s="62" t="str">
        <f>IF(VLOOKUP([Field],Columns[],9,0)=0,"","-&gt;"&amp;VLOOKUP([Field],Columns[],9,0))</f>
        <v/>
      </c>
      <c r="K119" s="62" t="str">
        <f>"$table-&gt;"&amp;[Type]&amp;[Name]&amp;[Arg2]&amp;[Method1]&amp;[Method2]&amp;[Method3]&amp;[Method4]&amp;[Method5]&amp;";"</f>
        <v>$table-&gt;date('date')-&gt;nullable();</v>
      </c>
    </row>
    <row r="120" spans="1:11">
      <c r="A120" s="2" t="s">
        <v>773</v>
      </c>
      <c r="B120" s="62" t="s">
        <v>824</v>
      </c>
      <c r="C120" s="62" t="str">
        <f>VLOOKUP([Field],Columns[],2,0)&amp;"("</f>
        <v>foreignNullable(</v>
      </c>
      <c r="D120" s="62" t="str">
        <f>IF(VLOOKUP([Field],Columns[],3,0)&lt;&gt;"","'"&amp;VLOOKUP([Field],Columns[],3,0)&amp;"'","")</f>
        <v>'user'</v>
      </c>
      <c r="E120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0" s="62" t="str">
        <f>IF(VLOOKUP([Field],Columns[],5,0)=0,"","-&gt;"&amp;VLOOKUP([Field],Columns[],5,0))</f>
        <v/>
      </c>
      <c r="G120" s="62" t="str">
        <f>IF(VLOOKUP([Field],Columns[],6,0)=0,"","-&gt;"&amp;VLOOKUP([Field],Columns[],6,0))</f>
        <v/>
      </c>
      <c r="H120" s="62" t="str">
        <f>IF(VLOOKUP([Field],Columns[],7,0)=0,"","-&gt;"&amp;VLOOKUP([Field],Columns[],7,0))</f>
        <v/>
      </c>
      <c r="I120" s="62" t="str">
        <f>IF(VLOOKUP([Field],Columns[],8,0)=0,"","-&gt;"&amp;VLOOKUP([Field],Columns[],8,0))</f>
        <v/>
      </c>
      <c r="J120" s="62" t="str">
        <f>IF(VLOOKUP([Field],Columns[],9,0)=0,"","-&gt;"&amp;VLOOKUP([Field],Columns[],9,0))</f>
        <v/>
      </c>
      <c r="K120" s="62" t="str">
        <f>"$table-&gt;"&amp;[Type]&amp;[Name]&amp;[Arg2]&amp;[Method1]&amp;[Method2]&amp;[Method3]&amp;[Method4]&amp;[Method5]&amp;";"</f>
        <v>$table-&gt;foreignNullable('user', 'users');</v>
      </c>
    </row>
    <row r="121" spans="1:11">
      <c r="A121" s="2" t="s">
        <v>773</v>
      </c>
      <c r="B121" s="62" t="s">
        <v>871</v>
      </c>
      <c r="C121" s="62" t="str">
        <f>VLOOKUP([Field],Columns[],2,0)&amp;"("</f>
        <v>float(</v>
      </c>
      <c r="D121" s="62" t="str">
        <f>IF(VLOOKUP([Field],Columns[],3,0)&lt;&gt;"","'"&amp;VLOOKUP([Field],Columns[],3,0)&amp;"'","")</f>
        <v>'amount'</v>
      </c>
      <c r="E121" s="63" t="str">
        <f>IF(VLOOKUP([Field],Columns[],4,0)&lt;&gt;0,", "&amp;IF(ISERR(SEARCH(",",VLOOKUP([Field],Columns[],4,0))),"'"&amp;VLOOKUP([Field],Columns[],4,0)&amp;"'",VLOOKUP([Field],Columns[],4,0))&amp;")",")")</f>
        <v>, 9,2)</v>
      </c>
      <c r="F121" s="62" t="str">
        <f>IF(VLOOKUP([Field],Columns[],5,0)=0,"","-&gt;"&amp;VLOOKUP([Field],Columns[],5,0))</f>
        <v>-&gt;nullable()</v>
      </c>
      <c r="G121" s="62" t="str">
        <f>IF(VLOOKUP([Field],Columns[],6,0)=0,"","-&gt;"&amp;VLOOKUP([Field],Columns[],6,0))</f>
        <v>-&gt;default(0)</v>
      </c>
      <c r="H121" s="62" t="str">
        <f>IF(VLOOKUP([Field],Columns[],7,0)=0,"","-&gt;"&amp;VLOOKUP([Field],Columns[],7,0))</f>
        <v/>
      </c>
      <c r="I121" s="62" t="str">
        <f>IF(VLOOKUP([Field],Columns[],8,0)=0,"","-&gt;"&amp;VLOOKUP([Field],Columns[],8,0))</f>
        <v/>
      </c>
      <c r="J121" s="62" t="str">
        <f>IF(VLOOKUP([Field],Columns[],9,0)=0,"","-&gt;"&amp;VLOOKUP([Field],Columns[],9,0))</f>
        <v/>
      </c>
      <c r="K121" s="62" t="str">
        <f>"$table-&gt;"&amp;[Type]&amp;[Name]&amp;[Arg2]&amp;[Method1]&amp;[Method2]&amp;[Method3]&amp;[Method4]&amp;[Method5]&amp;";"</f>
        <v>$table-&gt;float('amount', 9,2)-&gt;nullable()-&gt;default(0);</v>
      </c>
    </row>
    <row r="122" spans="1:11">
      <c r="A122" s="2" t="s">
        <v>773</v>
      </c>
      <c r="B122" s="62" t="s">
        <v>802</v>
      </c>
      <c r="C122" s="62" t="str">
        <f>VLOOKUP([Field],Columns[],2,0)&amp;"("</f>
        <v>enum(</v>
      </c>
      <c r="D122" s="62" t="str">
        <f>IF(VLOOKUP([Field],Columns[],3,0)&lt;&gt;"","'"&amp;VLOOKUP([Field],Columns[],3,0)&amp;"'","")</f>
        <v>'status'</v>
      </c>
      <c r="E12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22" s="62" t="str">
        <f>IF(VLOOKUP([Field],Columns[],5,0)=0,"","-&gt;"&amp;VLOOKUP([Field],Columns[],5,0))</f>
        <v>-&gt;nullable()</v>
      </c>
      <c r="G122" s="62" t="str">
        <f>IF(VLOOKUP([Field],Columns[],6,0)=0,"","-&gt;"&amp;VLOOKUP([Field],Columns[],6,0))</f>
        <v>-&gt;default('Active')</v>
      </c>
      <c r="H122" s="62" t="str">
        <f>IF(VLOOKUP([Field],Columns[],7,0)=0,"","-&gt;"&amp;VLOOKUP([Field],Columns[],7,0))</f>
        <v/>
      </c>
      <c r="I122" s="62" t="str">
        <f>IF(VLOOKUP([Field],Columns[],8,0)=0,"","-&gt;"&amp;VLOOKUP([Field],Columns[],8,0))</f>
        <v/>
      </c>
      <c r="J122" s="62" t="str">
        <f>IF(VLOOKUP([Field],Columns[],9,0)=0,"","-&gt;"&amp;VLOOKUP([Field],Columns[],9,0))</f>
        <v/>
      </c>
      <c r="K12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23" spans="1:11">
      <c r="A123" s="2" t="s">
        <v>773</v>
      </c>
      <c r="B123" s="62" t="s">
        <v>288</v>
      </c>
      <c r="C123" s="62" t="str">
        <f>VLOOKUP([Field],Columns[],2,0)&amp;"("</f>
        <v>audit(</v>
      </c>
      <c r="D123" s="62" t="str">
        <f>IF(VLOOKUP([Field],Columns[],3,0)&lt;&gt;"","'"&amp;VLOOKUP([Field],Columns[],3,0)&amp;"'","")</f>
        <v/>
      </c>
      <c r="E123" s="63" t="str">
        <f>IF(VLOOKUP([Field],Columns[],4,0)&lt;&gt;0,", "&amp;IF(ISERR(SEARCH(",",VLOOKUP([Field],Columns[],4,0))),"'"&amp;VLOOKUP([Field],Columns[],4,0)&amp;"'",VLOOKUP([Field],Columns[],4,0))&amp;")",")")</f>
        <v>)</v>
      </c>
      <c r="F123" s="62" t="str">
        <f>IF(VLOOKUP([Field],Columns[],5,0)=0,"","-&gt;"&amp;VLOOKUP([Field],Columns[],5,0))</f>
        <v/>
      </c>
      <c r="G123" s="62" t="str">
        <f>IF(VLOOKUP([Field],Columns[],6,0)=0,"","-&gt;"&amp;VLOOKUP([Field],Columns[],6,0))</f>
        <v/>
      </c>
      <c r="H123" s="62" t="str">
        <f>IF(VLOOKUP([Field],Columns[],7,0)=0,"","-&gt;"&amp;VLOOKUP([Field],Columns[],7,0))</f>
        <v/>
      </c>
      <c r="I123" s="62" t="str">
        <f>IF(VLOOKUP([Field],Columns[],8,0)=0,"","-&gt;"&amp;VLOOKUP([Field],Columns[],8,0))</f>
        <v/>
      </c>
      <c r="J123" s="62" t="str">
        <f>IF(VLOOKUP([Field],Columns[],9,0)=0,"","-&gt;"&amp;VLOOKUP([Field],Columns[],9,0))</f>
        <v/>
      </c>
      <c r="K123" s="62" t="str">
        <f>"$table-&gt;"&amp;[Type]&amp;[Name]&amp;[Arg2]&amp;[Method1]&amp;[Method2]&amp;[Method3]&amp;[Method4]&amp;[Method5]&amp;";"</f>
        <v>$table-&gt;audit();</v>
      </c>
    </row>
    <row r="124" spans="1:11">
      <c r="A124" s="2" t="s">
        <v>852</v>
      </c>
      <c r="B124" s="62" t="s">
        <v>21</v>
      </c>
      <c r="C124" s="62" t="str">
        <f>VLOOKUP([Field],Columns[],2,0)&amp;"("</f>
        <v>bigIncrements(</v>
      </c>
      <c r="D124" s="62" t="str">
        <f>IF(VLOOKUP([Field],Columns[],3,0)&lt;&gt;"","'"&amp;VLOOKUP([Field],Columns[],3,0)&amp;"'","")</f>
        <v>'id'</v>
      </c>
      <c r="E124" s="63" t="str">
        <f>IF(VLOOKUP([Field],Columns[],4,0)&lt;&gt;0,", "&amp;IF(ISERR(SEARCH(",",VLOOKUP([Field],Columns[],4,0))),"'"&amp;VLOOKUP([Field],Columns[],4,0)&amp;"'",VLOOKUP([Field],Columns[],4,0))&amp;")",")")</f>
        <v>)</v>
      </c>
      <c r="F124" s="62" t="str">
        <f>IF(VLOOKUP([Field],Columns[],5,0)=0,"","-&gt;"&amp;VLOOKUP([Field],Columns[],5,0))</f>
        <v/>
      </c>
      <c r="G124" s="62" t="str">
        <f>IF(VLOOKUP([Field],Columns[],6,0)=0,"","-&gt;"&amp;VLOOKUP([Field],Columns[],6,0))</f>
        <v/>
      </c>
      <c r="H124" s="62" t="str">
        <f>IF(VLOOKUP([Field],Columns[],7,0)=0,"","-&gt;"&amp;VLOOKUP([Field],Columns[],7,0))</f>
        <v/>
      </c>
      <c r="I124" s="62" t="str">
        <f>IF(VLOOKUP([Field],Columns[],8,0)=0,"","-&gt;"&amp;VLOOKUP([Field],Columns[],8,0))</f>
        <v/>
      </c>
      <c r="J124" s="62" t="str">
        <f>IF(VLOOKUP([Field],Columns[],9,0)=0,"","-&gt;"&amp;VLOOKUP([Field],Columns[],9,0))</f>
        <v/>
      </c>
      <c r="K124" s="62" t="str">
        <f>"$table-&gt;"&amp;[Type]&amp;[Name]&amp;[Arg2]&amp;[Method1]&amp;[Method2]&amp;[Method3]&amp;[Method4]&amp;[Method5]&amp;";"</f>
        <v>$table-&gt;bigIncrements('id');</v>
      </c>
    </row>
    <row r="125" spans="1:11">
      <c r="A125" s="2" t="s">
        <v>852</v>
      </c>
      <c r="B125" s="62" t="s">
        <v>827</v>
      </c>
      <c r="C125" s="62" t="str">
        <f>VLOOKUP([Field],Columns[],2,0)&amp;"("</f>
        <v>date(</v>
      </c>
      <c r="D125" s="62" t="str">
        <f>IF(VLOOKUP([Field],Columns[],3,0)&lt;&gt;"","'"&amp;VLOOKUP([Field],Columns[],3,0)&amp;"'","")</f>
        <v>'date'</v>
      </c>
      <c r="E125" s="63" t="str">
        <f>IF(VLOOKUP([Field],Columns[],4,0)&lt;&gt;0,", "&amp;IF(ISERR(SEARCH(",",VLOOKUP([Field],Columns[],4,0))),"'"&amp;VLOOKUP([Field],Columns[],4,0)&amp;"'",VLOOKUP([Field],Columns[],4,0))&amp;")",")")</f>
        <v>)</v>
      </c>
      <c r="F125" s="62" t="str">
        <f>IF(VLOOKUP([Field],Columns[],5,0)=0,"","-&gt;"&amp;VLOOKUP([Field],Columns[],5,0))</f>
        <v>-&gt;nullable()</v>
      </c>
      <c r="G125" s="62" t="str">
        <f>IF(VLOOKUP([Field],Columns[],6,0)=0,"","-&gt;"&amp;VLOOKUP([Field],Columns[],6,0))</f>
        <v/>
      </c>
      <c r="H125" s="62" t="str">
        <f>IF(VLOOKUP([Field],Columns[],7,0)=0,"","-&gt;"&amp;VLOOKUP([Field],Columns[],7,0))</f>
        <v/>
      </c>
      <c r="I125" s="62" t="str">
        <f>IF(VLOOKUP([Field],Columns[],8,0)=0,"","-&gt;"&amp;VLOOKUP([Field],Columns[],8,0))</f>
        <v/>
      </c>
      <c r="J125" s="62" t="str">
        <f>IF(VLOOKUP([Field],Columns[],9,0)=0,"","-&gt;"&amp;VLOOKUP([Field],Columns[],9,0))</f>
        <v/>
      </c>
      <c r="K125" s="62" t="str">
        <f>"$table-&gt;"&amp;[Type]&amp;[Name]&amp;[Arg2]&amp;[Method1]&amp;[Method2]&amp;[Method3]&amp;[Method4]&amp;[Method5]&amp;";"</f>
        <v>$table-&gt;date('date')-&gt;nullable();</v>
      </c>
    </row>
    <row r="126" spans="1:11">
      <c r="A126" s="2" t="s">
        <v>852</v>
      </c>
      <c r="B126" s="62" t="s">
        <v>824</v>
      </c>
      <c r="C126" s="62" t="str">
        <f>VLOOKUP([Field],Columns[],2,0)&amp;"("</f>
        <v>foreignNullable(</v>
      </c>
      <c r="D126" s="62" t="str">
        <f>IF(VLOOKUP([Field],Columns[],3,0)&lt;&gt;"","'"&amp;VLOOKUP([Field],Columns[],3,0)&amp;"'","")</f>
        <v>'user'</v>
      </c>
      <c r="E126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6" s="62" t="str">
        <f>IF(VLOOKUP([Field],Columns[],5,0)=0,"","-&gt;"&amp;VLOOKUP([Field],Columns[],5,0))</f>
        <v/>
      </c>
      <c r="G126" s="62" t="str">
        <f>IF(VLOOKUP([Field],Columns[],6,0)=0,"","-&gt;"&amp;VLOOKUP([Field],Columns[],6,0))</f>
        <v/>
      </c>
      <c r="H126" s="62" t="str">
        <f>IF(VLOOKUP([Field],Columns[],7,0)=0,"","-&gt;"&amp;VLOOKUP([Field],Columns[],7,0))</f>
        <v/>
      </c>
      <c r="I126" s="62" t="str">
        <f>IF(VLOOKUP([Field],Columns[],8,0)=0,"","-&gt;"&amp;VLOOKUP([Field],Columns[],8,0))</f>
        <v/>
      </c>
      <c r="J126" s="62" t="str">
        <f>IF(VLOOKUP([Field],Columns[],9,0)=0,"","-&gt;"&amp;VLOOKUP([Field],Columns[],9,0))</f>
        <v/>
      </c>
      <c r="K126" s="62" t="str">
        <f>"$table-&gt;"&amp;[Type]&amp;[Name]&amp;[Arg2]&amp;[Method1]&amp;[Method2]&amp;[Method3]&amp;[Method4]&amp;[Method5]&amp;";"</f>
        <v>$table-&gt;foreignNullable('user', 'users');</v>
      </c>
    </row>
    <row r="127" spans="1:11">
      <c r="A127" s="2" t="s">
        <v>852</v>
      </c>
      <c r="B127" s="62" t="s">
        <v>832</v>
      </c>
      <c r="C127" s="62" t="str">
        <f>VLOOKUP([Field],Columns[],2,0)&amp;"("</f>
        <v>foreignNullable(</v>
      </c>
      <c r="D127" s="62" t="str">
        <f>IF(VLOOKUP([Field],Columns[],3,0)&lt;&gt;"","'"&amp;VLOOKUP([Field],Columns[],3,0)&amp;"'","")</f>
        <v>'order'</v>
      </c>
      <c r="E127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127" s="62" t="str">
        <f>IF(VLOOKUP([Field],Columns[],5,0)=0,"","-&gt;"&amp;VLOOKUP([Field],Columns[],5,0))</f>
        <v/>
      </c>
      <c r="G127" s="62" t="str">
        <f>IF(VLOOKUP([Field],Columns[],6,0)=0,"","-&gt;"&amp;VLOOKUP([Field],Columns[],6,0))</f>
        <v/>
      </c>
      <c r="H127" s="62" t="str">
        <f>IF(VLOOKUP([Field],Columns[],7,0)=0,"","-&gt;"&amp;VLOOKUP([Field],Columns[],7,0))</f>
        <v/>
      </c>
      <c r="I127" s="62" t="str">
        <f>IF(VLOOKUP([Field],Columns[],8,0)=0,"","-&gt;"&amp;VLOOKUP([Field],Columns[],8,0))</f>
        <v/>
      </c>
      <c r="J127" s="62" t="str">
        <f>IF(VLOOKUP([Field],Columns[],9,0)=0,"","-&gt;"&amp;VLOOKUP([Field],Columns[],9,0))</f>
        <v/>
      </c>
      <c r="K127" s="62" t="str">
        <f>"$table-&gt;"&amp;[Type]&amp;[Name]&amp;[Arg2]&amp;[Method1]&amp;[Method2]&amp;[Method3]&amp;[Method4]&amp;[Method5]&amp;";"</f>
        <v>$table-&gt;foreignNullable('order', 'orders');</v>
      </c>
    </row>
    <row r="128" spans="1:11">
      <c r="A128" s="2" t="s">
        <v>852</v>
      </c>
      <c r="B128" s="62" t="s">
        <v>807</v>
      </c>
      <c r="C128" s="62" t="str">
        <f>VLOOKUP([Field],Columns[],2,0)&amp;"("</f>
        <v>foreignNullable(</v>
      </c>
      <c r="D128" s="62" t="str">
        <f>IF(VLOOKUP([Field],Columns[],3,0)&lt;&gt;"","'"&amp;VLOOKUP([Field],Columns[],3,0)&amp;"'","")</f>
        <v>'hub'</v>
      </c>
      <c r="E128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28" s="62" t="str">
        <f>IF(VLOOKUP([Field],Columns[],5,0)=0,"","-&gt;"&amp;VLOOKUP([Field],Columns[],5,0))</f>
        <v/>
      </c>
      <c r="G128" s="62" t="str">
        <f>IF(VLOOKUP([Field],Columns[],6,0)=0,"","-&gt;"&amp;VLOOKUP([Field],Columns[],6,0))</f>
        <v/>
      </c>
      <c r="H128" s="62" t="str">
        <f>IF(VLOOKUP([Field],Columns[],7,0)=0,"","-&gt;"&amp;VLOOKUP([Field],Columns[],7,0))</f>
        <v/>
      </c>
      <c r="I128" s="62" t="str">
        <f>IF(VLOOKUP([Field],Columns[],8,0)=0,"","-&gt;"&amp;VLOOKUP([Field],Columns[],8,0))</f>
        <v/>
      </c>
      <c r="J128" s="62" t="str">
        <f>IF(VLOOKUP([Field],Columns[],9,0)=0,"","-&gt;"&amp;VLOOKUP([Field],Columns[],9,0))</f>
        <v/>
      </c>
      <c r="K128" s="62" t="str">
        <f>"$table-&gt;"&amp;[Type]&amp;[Name]&amp;[Arg2]&amp;[Method1]&amp;[Method2]&amp;[Method3]&amp;[Method4]&amp;[Method5]&amp;";"</f>
        <v>$table-&gt;foreignNullable('hub', 'hubs');</v>
      </c>
    </row>
    <row r="129" spans="1:11">
      <c r="A129" s="2" t="s">
        <v>852</v>
      </c>
      <c r="B129" s="62" t="s">
        <v>288</v>
      </c>
      <c r="C129" s="62" t="str">
        <f>VLOOKUP([Field],Columns[],2,0)&amp;"("</f>
        <v>audit(</v>
      </c>
      <c r="D129" s="62" t="str">
        <f>IF(VLOOKUP([Field],Columns[],3,0)&lt;&gt;"","'"&amp;VLOOKUP([Field],Columns[],3,0)&amp;"'","")</f>
        <v/>
      </c>
      <c r="E129" s="63" t="str">
        <f>IF(VLOOKUP([Field],Columns[],4,0)&lt;&gt;0,", "&amp;IF(ISERR(SEARCH(",",VLOOKUP([Field],Columns[],4,0))),"'"&amp;VLOOKUP([Field],Columns[],4,0)&amp;"'",VLOOKUP([Field],Columns[],4,0))&amp;")",")")</f>
        <v>)</v>
      </c>
      <c r="F129" s="62" t="str">
        <f>IF(VLOOKUP([Field],Columns[],5,0)=0,"","-&gt;"&amp;VLOOKUP([Field],Columns[],5,0))</f>
        <v/>
      </c>
      <c r="G129" s="62" t="str">
        <f>IF(VLOOKUP([Field],Columns[],6,0)=0,"","-&gt;"&amp;VLOOKUP([Field],Columns[],6,0))</f>
        <v/>
      </c>
      <c r="H129" s="62" t="str">
        <f>IF(VLOOKUP([Field],Columns[],7,0)=0,"","-&gt;"&amp;VLOOKUP([Field],Columns[],7,0))</f>
        <v/>
      </c>
      <c r="I129" s="62" t="str">
        <f>IF(VLOOKUP([Field],Columns[],8,0)=0,"","-&gt;"&amp;VLOOKUP([Field],Columns[],8,0))</f>
        <v/>
      </c>
      <c r="J129" s="62" t="str">
        <f>IF(VLOOKUP([Field],Columns[],9,0)=0,"","-&gt;"&amp;VLOOKUP([Field],Columns[],9,0))</f>
        <v/>
      </c>
      <c r="K129" s="62" t="str">
        <f>"$table-&gt;"&amp;[Type]&amp;[Name]&amp;[Arg2]&amp;[Method1]&amp;[Method2]&amp;[Method3]&amp;[Method4]&amp;[Method5]&amp;";"</f>
        <v>$table-&gt;audit();</v>
      </c>
    </row>
    <row r="130" spans="1:11">
      <c r="A130" s="2" t="s">
        <v>999</v>
      </c>
      <c r="B130" s="62" t="s">
        <v>21</v>
      </c>
      <c r="C130" s="62" t="str">
        <f>VLOOKUP([Field],Columns[],2,0)&amp;"("</f>
        <v>bigIncrements(</v>
      </c>
      <c r="D130" s="62" t="str">
        <f>IF(VLOOKUP([Field],Columns[],3,0)&lt;&gt;"","'"&amp;VLOOKUP([Field],Columns[],3,0)&amp;"'","")</f>
        <v>'id'</v>
      </c>
      <c r="E130" s="63" t="str">
        <f>IF(VLOOKUP([Field],Columns[],4,0)&lt;&gt;0,", "&amp;IF(ISERR(SEARCH(",",VLOOKUP([Field],Columns[],4,0))),"'"&amp;VLOOKUP([Field],Columns[],4,0)&amp;"'",VLOOKUP([Field],Columns[],4,0))&amp;")",")")</f>
        <v>)</v>
      </c>
      <c r="F130" s="62" t="str">
        <f>IF(VLOOKUP([Field],Columns[],5,0)=0,"","-&gt;"&amp;VLOOKUP([Field],Columns[],5,0))</f>
        <v/>
      </c>
      <c r="G130" s="62" t="str">
        <f>IF(VLOOKUP([Field],Columns[],6,0)=0,"","-&gt;"&amp;VLOOKUP([Field],Columns[],6,0))</f>
        <v/>
      </c>
      <c r="H130" s="62" t="str">
        <f>IF(VLOOKUP([Field],Columns[],7,0)=0,"","-&gt;"&amp;VLOOKUP([Field],Columns[],7,0))</f>
        <v/>
      </c>
      <c r="I130" s="62" t="str">
        <f>IF(VLOOKUP([Field],Columns[],8,0)=0,"","-&gt;"&amp;VLOOKUP([Field],Columns[],8,0))</f>
        <v/>
      </c>
      <c r="J130" s="62" t="str">
        <f>IF(VLOOKUP([Field],Columns[],9,0)=0,"","-&gt;"&amp;VLOOKUP([Field],Columns[],9,0))</f>
        <v/>
      </c>
      <c r="K130" s="62" t="str">
        <f>"$table-&gt;"&amp;[Type]&amp;[Name]&amp;[Arg2]&amp;[Method1]&amp;[Method2]&amp;[Method3]&amp;[Method4]&amp;[Method5]&amp;";"</f>
        <v>$table-&gt;bigIncrements('id');</v>
      </c>
    </row>
    <row r="131" spans="1:11">
      <c r="A131" s="2" t="s">
        <v>999</v>
      </c>
      <c r="B131" s="62" t="s">
        <v>1002</v>
      </c>
      <c r="C131" s="62" t="str">
        <f>VLOOKUP([Field],Columns[],2,0)&amp;"("</f>
        <v>foreignCascade(</v>
      </c>
      <c r="D131" s="62" t="str">
        <f>IF(VLOOKUP([Field],Columns[],3,0)&lt;&gt;"","'"&amp;VLOOKUP([Field],Columns[],3,0)&amp;"'","")</f>
        <v>'delivery'</v>
      </c>
      <c r="E131" s="63" t="str">
        <f>IF(VLOOKUP([Field],Columns[],4,0)&lt;&gt;0,", "&amp;IF(ISERR(SEARCH(",",VLOOKUP([Field],Columns[],4,0))),"'"&amp;VLOOKUP([Field],Columns[],4,0)&amp;"'",VLOOKUP([Field],Columns[],4,0))&amp;")",")")</f>
        <v>, 'delivery')</v>
      </c>
      <c r="F131" s="62" t="str">
        <f>IF(VLOOKUP([Field],Columns[],5,0)=0,"","-&gt;"&amp;VLOOKUP([Field],Columns[],5,0))</f>
        <v/>
      </c>
      <c r="G131" s="62" t="str">
        <f>IF(VLOOKUP([Field],Columns[],6,0)=0,"","-&gt;"&amp;VLOOKUP([Field],Columns[],6,0))</f>
        <v/>
      </c>
      <c r="H131" s="62" t="str">
        <f>IF(VLOOKUP([Field],Columns[],7,0)=0,"","-&gt;"&amp;VLOOKUP([Field],Columns[],7,0))</f>
        <v/>
      </c>
      <c r="I131" s="62" t="str">
        <f>IF(VLOOKUP([Field],Columns[],8,0)=0,"","-&gt;"&amp;VLOOKUP([Field],Columns[],8,0))</f>
        <v/>
      </c>
      <c r="J131" s="62" t="str">
        <f>IF(VLOOKUP([Field],Columns[],9,0)=0,"","-&gt;"&amp;VLOOKUP([Field],Columns[],9,0))</f>
        <v/>
      </c>
      <c r="K131" s="62" t="str">
        <f>"$table-&gt;"&amp;[Type]&amp;[Name]&amp;[Arg2]&amp;[Method1]&amp;[Method2]&amp;[Method3]&amp;[Method4]&amp;[Method5]&amp;";"</f>
        <v>$table-&gt;foreignCascade('delivery', 'delivery');</v>
      </c>
    </row>
    <row r="132" spans="1:11">
      <c r="A132" s="2" t="s">
        <v>999</v>
      </c>
      <c r="B132" s="62" t="s">
        <v>837</v>
      </c>
      <c r="C132" s="62" t="str">
        <f>VLOOKUP([Field],Columns[],2,0)&amp;"("</f>
        <v>foreignCascade(</v>
      </c>
      <c r="D132" s="62" t="str">
        <f>IF(VLOOKUP([Field],Columns[],3,0)&lt;&gt;"","'"&amp;VLOOKUP([Field],Columns[],3,0)&amp;"'","")</f>
        <v>'oi'</v>
      </c>
      <c r="E132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32" s="62" t="str">
        <f>IF(VLOOKUP([Field],Columns[],5,0)=0,"","-&gt;"&amp;VLOOKUP([Field],Columns[],5,0))</f>
        <v/>
      </c>
      <c r="G132" s="62" t="str">
        <f>IF(VLOOKUP([Field],Columns[],6,0)=0,"","-&gt;"&amp;VLOOKUP([Field],Columns[],6,0))</f>
        <v/>
      </c>
      <c r="H132" s="62" t="str">
        <f>IF(VLOOKUP([Field],Columns[],7,0)=0,"","-&gt;"&amp;VLOOKUP([Field],Columns[],7,0))</f>
        <v/>
      </c>
      <c r="I132" s="62" t="str">
        <f>IF(VLOOKUP([Field],Columns[],8,0)=0,"","-&gt;"&amp;VLOOKUP([Field],Columns[],8,0))</f>
        <v/>
      </c>
      <c r="J132" s="62" t="str">
        <f>IF(VLOOKUP([Field],Columns[],9,0)=0,"","-&gt;"&amp;VLOOKUP([Field],Columns[],9,0))</f>
        <v/>
      </c>
      <c r="K132" s="62" t="str">
        <f>"$table-&gt;"&amp;[Type]&amp;[Name]&amp;[Arg2]&amp;[Method1]&amp;[Method2]&amp;[Method3]&amp;[Method4]&amp;[Method5]&amp;";"</f>
        <v>$table-&gt;foreignCascade('oi', 'order_items');</v>
      </c>
    </row>
    <row r="133" spans="1:11">
      <c r="A133" s="2" t="s">
        <v>999</v>
      </c>
      <c r="B133" s="62" t="s">
        <v>1016</v>
      </c>
      <c r="C133" s="62" t="str">
        <f>VLOOKUP([Field],Columns[],2,0)&amp;"("</f>
        <v>foreignNullable(</v>
      </c>
      <c r="D133" s="62" t="str">
        <f>IF(VLOOKUP([Field],Columns[],3,0)&lt;&gt;"","'"&amp;VLOOKUP([Field],Columns[],3,0)&amp;"'","")</f>
        <v>'shelf'</v>
      </c>
      <c r="E133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133" s="62" t="str">
        <f>IF(VLOOKUP([Field],Columns[],5,0)=0,"","-&gt;"&amp;VLOOKUP([Field],Columns[],5,0))</f>
        <v/>
      </c>
      <c r="G133" s="62" t="str">
        <f>IF(VLOOKUP([Field],Columns[],6,0)=0,"","-&gt;"&amp;VLOOKUP([Field],Columns[],6,0))</f>
        <v/>
      </c>
      <c r="H133" s="62" t="str">
        <f>IF(VLOOKUP([Field],Columns[],7,0)=0,"","-&gt;"&amp;VLOOKUP([Field],Columns[],7,0))</f>
        <v/>
      </c>
      <c r="I133" s="62" t="str">
        <f>IF(VLOOKUP([Field],Columns[],8,0)=0,"","-&gt;"&amp;VLOOKUP([Field],Columns[],8,0))</f>
        <v/>
      </c>
      <c r="J133" s="62" t="str">
        <f>IF(VLOOKUP([Field],Columns[],9,0)=0,"","-&gt;"&amp;VLOOKUP([Field],Columns[],9,0))</f>
        <v/>
      </c>
      <c r="K133" s="62" t="str">
        <f>"$table-&gt;"&amp;[Type]&amp;[Name]&amp;[Arg2]&amp;[Method1]&amp;[Method2]&amp;[Method3]&amp;[Method4]&amp;[Method5]&amp;";"</f>
        <v>$table-&gt;foreignNullable('shelf', 'shelf');</v>
      </c>
    </row>
    <row r="134" spans="1:11">
      <c r="A134" s="2" t="s">
        <v>999</v>
      </c>
      <c r="B134" s="62" t="s">
        <v>802</v>
      </c>
      <c r="C134" s="62" t="str">
        <f>VLOOKUP([Field],Columns[],2,0)&amp;"("</f>
        <v>enum(</v>
      </c>
      <c r="D134" s="62" t="str">
        <f>IF(VLOOKUP([Field],Columns[],3,0)&lt;&gt;"","'"&amp;VLOOKUP([Field],Columns[],3,0)&amp;"'","")</f>
        <v>'status'</v>
      </c>
      <c r="E13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4" s="62" t="str">
        <f>IF(VLOOKUP([Field],Columns[],5,0)=0,"","-&gt;"&amp;VLOOKUP([Field],Columns[],5,0))</f>
        <v>-&gt;nullable()</v>
      </c>
      <c r="G134" s="62" t="str">
        <f>IF(VLOOKUP([Field],Columns[],6,0)=0,"","-&gt;"&amp;VLOOKUP([Field],Columns[],6,0))</f>
        <v>-&gt;default('Active')</v>
      </c>
      <c r="H134" s="62" t="str">
        <f>IF(VLOOKUP([Field],Columns[],7,0)=0,"","-&gt;"&amp;VLOOKUP([Field],Columns[],7,0))</f>
        <v/>
      </c>
      <c r="I134" s="62" t="str">
        <f>IF(VLOOKUP([Field],Columns[],8,0)=0,"","-&gt;"&amp;VLOOKUP([Field],Columns[],8,0))</f>
        <v/>
      </c>
      <c r="J134" s="62" t="str">
        <f>IF(VLOOKUP([Field],Columns[],9,0)=0,"","-&gt;"&amp;VLOOKUP([Field],Columns[],9,0))</f>
        <v/>
      </c>
      <c r="K13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5" spans="1:11">
      <c r="A135" s="2" t="s">
        <v>999</v>
      </c>
      <c r="B135" s="62" t="s">
        <v>288</v>
      </c>
      <c r="C135" s="62" t="str">
        <f>VLOOKUP([Field],Columns[],2,0)&amp;"("</f>
        <v>audit(</v>
      </c>
      <c r="D135" s="62" t="str">
        <f>IF(VLOOKUP([Field],Columns[],3,0)&lt;&gt;"","'"&amp;VLOOKUP([Field],Columns[],3,0)&amp;"'","")</f>
        <v/>
      </c>
      <c r="E135" s="63" t="str">
        <f>IF(VLOOKUP([Field],Columns[],4,0)&lt;&gt;0,", "&amp;IF(ISERR(SEARCH(",",VLOOKUP([Field],Columns[],4,0))),"'"&amp;VLOOKUP([Field],Columns[],4,0)&amp;"'",VLOOKUP([Field],Columns[],4,0))&amp;")",")")</f>
        <v>)</v>
      </c>
      <c r="F135" s="62" t="str">
        <f>IF(VLOOKUP([Field],Columns[],5,0)=0,"","-&gt;"&amp;VLOOKUP([Field],Columns[],5,0))</f>
        <v/>
      </c>
      <c r="G135" s="62" t="str">
        <f>IF(VLOOKUP([Field],Columns[],6,0)=0,"","-&gt;"&amp;VLOOKUP([Field],Columns[],6,0))</f>
        <v/>
      </c>
      <c r="H135" s="62" t="str">
        <f>IF(VLOOKUP([Field],Columns[],7,0)=0,"","-&gt;"&amp;VLOOKUP([Field],Columns[],7,0))</f>
        <v/>
      </c>
      <c r="I135" s="62" t="str">
        <f>IF(VLOOKUP([Field],Columns[],8,0)=0,"","-&gt;"&amp;VLOOKUP([Field],Columns[],8,0))</f>
        <v/>
      </c>
      <c r="J135" s="62" t="str">
        <f>IF(VLOOKUP([Field],Columns[],9,0)=0,"","-&gt;"&amp;VLOOKUP([Field],Columns[],9,0))</f>
        <v/>
      </c>
      <c r="K135" s="62" t="str">
        <f>"$table-&gt;"&amp;[Type]&amp;[Name]&amp;[Arg2]&amp;[Method1]&amp;[Method2]&amp;[Method3]&amp;[Method4]&amp;[Method5]&amp;";"</f>
        <v>$table-&gt;audit();</v>
      </c>
    </row>
    <row r="136" spans="1:11">
      <c r="A136" s="2" t="s">
        <v>774</v>
      </c>
      <c r="B136" s="62" t="s">
        <v>21</v>
      </c>
      <c r="C136" s="62" t="str">
        <f>VLOOKUP([Field],Columns[],2,0)&amp;"("</f>
        <v>bigIncrements(</v>
      </c>
      <c r="D136" s="62" t="str">
        <f>IF(VLOOKUP([Field],Columns[],3,0)&lt;&gt;"","'"&amp;VLOOKUP([Field],Columns[],3,0)&amp;"'","")</f>
        <v>'id'</v>
      </c>
      <c r="E136" s="63" t="str">
        <f>IF(VLOOKUP([Field],Columns[],4,0)&lt;&gt;0,", "&amp;IF(ISERR(SEARCH(",",VLOOKUP([Field],Columns[],4,0))),"'"&amp;VLOOKUP([Field],Columns[],4,0)&amp;"'",VLOOKUP([Field],Columns[],4,0))&amp;")",")")</f>
        <v>)</v>
      </c>
      <c r="F136" s="62" t="str">
        <f>IF(VLOOKUP([Field],Columns[],5,0)=0,"","-&gt;"&amp;VLOOKUP([Field],Columns[],5,0))</f>
        <v/>
      </c>
      <c r="G136" s="62" t="str">
        <f>IF(VLOOKUP([Field],Columns[],6,0)=0,"","-&gt;"&amp;VLOOKUP([Field],Columns[],6,0))</f>
        <v/>
      </c>
      <c r="H136" s="62" t="str">
        <f>IF(VLOOKUP([Field],Columns[],7,0)=0,"","-&gt;"&amp;VLOOKUP([Field],Columns[],7,0))</f>
        <v/>
      </c>
      <c r="I136" s="62" t="str">
        <f>IF(VLOOKUP([Field],Columns[],8,0)=0,"","-&gt;"&amp;VLOOKUP([Field],Columns[],8,0))</f>
        <v/>
      </c>
      <c r="J136" s="62" t="str">
        <f>IF(VLOOKUP([Field],Columns[],9,0)=0,"","-&gt;"&amp;VLOOKUP([Field],Columns[],9,0))</f>
        <v/>
      </c>
      <c r="K136" s="62" t="str">
        <f>"$table-&gt;"&amp;[Type]&amp;[Name]&amp;[Arg2]&amp;[Method1]&amp;[Method2]&amp;[Method3]&amp;[Method4]&amp;[Method5]&amp;";"</f>
        <v>$table-&gt;bigIncrements('id');</v>
      </c>
    </row>
    <row r="137" spans="1:11">
      <c r="A137" s="2" t="s">
        <v>774</v>
      </c>
      <c r="B137" s="62" t="s">
        <v>827</v>
      </c>
      <c r="C137" s="62" t="str">
        <f>VLOOKUP([Field],Columns[],2,0)&amp;"("</f>
        <v>date(</v>
      </c>
      <c r="D137" s="62" t="str">
        <f>IF(VLOOKUP([Field],Columns[],3,0)&lt;&gt;"","'"&amp;VLOOKUP([Field],Columns[],3,0)&amp;"'","")</f>
        <v>'date'</v>
      </c>
      <c r="E137" s="63" t="str">
        <f>IF(VLOOKUP([Field],Columns[],4,0)&lt;&gt;0,", "&amp;IF(ISERR(SEARCH(",",VLOOKUP([Field],Columns[],4,0))),"'"&amp;VLOOKUP([Field],Columns[],4,0)&amp;"'",VLOOKUP([Field],Columns[],4,0))&amp;")",")")</f>
        <v>)</v>
      </c>
      <c r="F137" s="62" t="str">
        <f>IF(VLOOKUP([Field],Columns[],5,0)=0,"","-&gt;"&amp;VLOOKUP([Field],Columns[],5,0))</f>
        <v>-&gt;nullable()</v>
      </c>
      <c r="G137" s="62" t="str">
        <f>IF(VLOOKUP([Field],Columns[],6,0)=0,"","-&gt;"&amp;VLOOKUP([Field],Columns[],6,0))</f>
        <v/>
      </c>
      <c r="H137" s="62" t="str">
        <f>IF(VLOOKUP([Field],Columns[],7,0)=0,"","-&gt;"&amp;VLOOKUP([Field],Columns[],7,0))</f>
        <v/>
      </c>
      <c r="I137" s="62" t="str">
        <f>IF(VLOOKUP([Field],Columns[],8,0)=0,"","-&gt;"&amp;VLOOKUP([Field],Columns[],8,0))</f>
        <v/>
      </c>
      <c r="J137" s="62" t="str">
        <f>IF(VLOOKUP([Field],Columns[],9,0)=0,"","-&gt;"&amp;VLOOKUP([Field],Columns[],9,0))</f>
        <v/>
      </c>
      <c r="K137" s="62" t="str">
        <f>"$table-&gt;"&amp;[Type]&amp;[Name]&amp;[Arg2]&amp;[Method1]&amp;[Method2]&amp;[Method3]&amp;[Method4]&amp;[Method5]&amp;";"</f>
        <v>$table-&gt;date('date')-&gt;nullable();</v>
      </c>
    </row>
    <row r="138" spans="1:11">
      <c r="A138" s="2" t="s">
        <v>774</v>
      </c>
      <c r="B138" s="62" t="s">
        <v>872</v>
      </c>
      <c r="C138" s="62" t="str">
        <f>VLOOKUP([Field],Columns[],2,0)&amp;"("</f>
        <v>foreignNullable(</v>
      </c>
      <c r="D138" s="62" t="str">
        <f>IF(VLOOKUP([Field],Columns[],3,0)&lt;&gt;"","'"&amp;VLOOKUP([Field],Columns[],3,0)&amp;"'","")</f>
        <v>'source_hub'</v>
      </c>
      <c r="E138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8" s="62" t="str">
        <f>IF(VLOOKUP([Field],Columns[],5,0)=0,"","-&gt;"&amp;VLOOKUP([Field],Columns[],5,0))</f>
        <v/>
      </c>
      <c r="G138" s="62" t="str">
        <f>IF(VLOOKUP([Field],Columns[],6,0)=0,"","-&gt;"&amp;VLOOKUP([Field],Columns[],6,0))</f>
        <v/>
      </c>
      <c r="H138" s="62" t="str">
        <f>IF(VLOOKUP([Field],Columns[],7,0)=0,"","-&gt;"&amp;VLOOKUP([Field],Columns[],7,0))</f>
        <v/>
      </c>
      <c r="I138" s="62" t="str">
        <f>IF(VLOOKUP([Field],Columns[],8,0)=0,"","-&gt;"&amp;VLOOKUP([Field],Columns[],8,0))</f>
        <v/>
      </c>
      <c r="J138" s="62" t="str">
        <f>IF(VLOOKUP([Field],Columns[],9,0)=0,"","-&gt;"&amp;VLOOKUP([Field],Columns[],9,0))</f>
        <v/>
      </c>
      <c r="K138" s="62" t="str">
        <f>"$table-&gt;"&amp;[Type]&amp;[Name]&amp;[Arg2]&amp;[Method1]&amp;[Method2]&amp;[Method3]&amp;[Method4]&amp;[Method5]&amp;";"</f>
        <v>$table-&gt;foreignNullable('source_hub', 'hubs');</v>
      </c>
    </row>
    <row r="139" spans="1:11">
      <c r="A139" s="2" t="s">
        <v>774</v>
      </c>
      <c r="B139" s="62" t="s">
        <v>873</v>
      </c>
      <c r="C139" s="62" t="str">
        <f>VLOOKUP([Field],Columns[],2,0)&amp;"("</f>
        <v>foreignNullable(</v>
      </c>
      <c r="D139" s="62" t="str">
        <f>IF(VLOOKUP([Field],Columns[],3,0)&lt;&gt;"","'"&amp;VLOOKUP([Field],Columns[],3,0)&amp;"'","")</f>
        <v>'destination_hub'</v>
      </c>
      <c r="E139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9" s="62" t="str">
        <f>IF(VLOOKUP([Field],Columns[],5,0)=0,"","-&gt;"&amp;VLOOKUP([Field],Columns[],5,0))</f>
        <v/>
      </c>
      <c r="G139" s="62" t="str">
        <f>IF(VLOOKUP([Field],Columns[],6,0)=0,"","-&gt;"&amp;VLOOKUP([Field],Columns[],6,0))</f>
        <v/>
      </c>
      <c r="H139" s="62" t="str">
        <f>IF(VLOOKUP([Field],Columns[],7,0)=0,"","-&gt;"&amp;VLOOKUP([Field],Columns[],7,0))</f>
        <v/>
      </c>
      <c r="I139" s="62" t="str">
        <f>IF(VLOOKUP([Field],Columns[],8,0)=0,"","-&gt;"&amp;VLOOKUP([Field],Columns[],8,0))</f>
        <v/>
      </c>
      <c r="J139" s="62" t="str">
        <f>IF(VLOOKUP([Field],Columns[],9,0)=0,"","-&gt;"&amp;VLOOKUP([Field],Columns[],9,0))</f>
        <v/>
      </c>
      <c r="K139" s="62" t="str">
        <f>"$table-&gt;"&amp;[Type]&amp;[Name]&amp;[Arg2]&amp;[Method1]&amp;[Method2]&amp;[Method3]&amp;[Method4]&amp;[Method5]&amp;";"</f>
        <v>$table-&gt;foreignNullable('destination_hub', 'hubs');</v>
      </c>
    </row>
    <row r="140" spans="1:11">
      <c r="A140" s="2" t="s">
        <v>774</v>
      </c>
      <c r="B140" s="62" t="s">
        <v>802</v>
      </c>
      <c r="C140" s="62" t="str">
        <f>VLOOKUP([Field],Columns[],2,0)&amp;"("</f>
        <v>enum(</v>
      </c>
      <c r="D140" s="62" t="str">
        <f>IF(VLOOKUP([Field],Columns[],3,0)&lt;&gt;"","'"&amp;VLOOKUP([Field],Columns[],3,0)&amp;"'","")</f>
        <v>'status'</v>
      </c>
      <c r="E140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0" s="62" t="str">
        <f>IF(VLOOKUP([Field],Columns[],5,0)=0,"","-&gt;"&amp;VLOOKUP([Field],Columns[],5,0))</f>
        <v>-&gt;nullable()</v>
      </c>
      <c r="G140" s="62" t="str">
        <f>IF(VLOOKUP([Field],Columns[],6,0)=0,"","-&gt;"&amp;VLOOKUP([Field],Columns[],6,0))</f>
        <v>-&gt;default('Active')</v>
      </c>
      <c r="H140" s="62" t="str">
        <f>IF(VLOOKUP([Field],Columns[],7,0)=0,"","-&gt;"&amp;VLOOKUP([Field],Columns[],7,0))</f>
        <v/>
      </c>
      <c r="I140" s="62" t="str">
        <f>IF(VLOOKUP([Field],Columns[],8,0)=0,"","-&gt;"&amp;VLOOKUP([Field],Columns[],8,0))</f>
        <v/>
      </c>
      <c r="J140" s="62" t="str">
        <f>IF(VLOOKUP([Field],Columns[],9,0)=0,"","-&gt;"&amp;VLOOKUP([Field],Columns[],9,0))</f>
        <v/>
      </c>
      <c r="K140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1" spans="1:11">
      <c r="A141" s="2" t="s">
        <v>774</v>
      </c>
      <c r="B141" s="62" t="s">
        <v>288</v>
      </c>
      <c r="C141" s="62" t="str">
        <f>VLOOKUP([Field],Columns[],2,0)&amp;"("</f>
        <v>audit(</v>
      </c>
      <c r="D141" s="62" t="str">
        <f>IF(VLOOKUP([Field],Columns[],3,0)&lt;&gt;"","'"&amp;VLOOKUP([Field],Columns[],3,0)&amp;"'","")</f>
        <v/>
      </c>
      <c r="E141" s="63" t="str">
        <f>IF(VLOOKUP([Field],Columns[],4,0)&lt;&gt;0,", "&amp;IF(ISERR(SEARCH(",",VLOOKUP([Field],Columns[],4,0))),"'"&amp;VLOOKUP([Field],Columns[],4,0)&amp;"'",VLOOKUP([Field],Columns[],4,0))&amp;")",")")</f>
        <v>)</v>
      </c>
      <c r="F141" s="62" t="str">
        <f>IF(VLOOKUP([Field],Columns[],5,0)=0,"","-&gt;"&amp;VLOOKUP([Field],Columns[],5,0))</f>
        <v/>
      </c>
      <c r="G141" s="62" t="str">
        <f>IF(VLOOKUP([Field],Columns[],6,0)=0,"","-&gt;"&amp;VLOOKUP([Field],Columns[],6,0))</f>
        <v/>
      </c>
      <c r="H141" s="62" t="str">
        <f>IF(VLOOKUP([Field],Columns[],7,0)=0,"","-&gt;"&amp;VLOOKUP([Field],Columns[],7,0))</f>
        <v/>
      </c>
      <c r="I141" s="62" t="str">
        <f>IF(VLOOKUP([Field],Columns[],8,0)=0,"","-&gt;"&amp;VLOOKUP([Field],Columns[],8,0))</f>
        <v/>
      </c>
      <c r="J141" s="62" t="str">
        <f>IF(VLOOKUP([Field],Columns[],9,0)=0,"","-&gt;"&amp;VLOOKUP([Field],Columns[],9,0))</f>
        <v/>
      </c>
      <c r="K141" s="62" t="str">
        <f>"$table-&gt;"&amp;[Type]&amp;[Name]&amp;[Arg2]&amp;[Method1]&amp;[Method2]&amp;[Method3]&amp;[Method4]&amp;[Method5]&amp;";"</f>
        <v>$table-&gt;audit();</v>
      </c>
    </row>
    <row r="142" spans="1:11">
      <c r="A142" s="2" t="s">
        <v>775</v>
      </c>
      <c r="B142" s="62" t="s">
        <v>21</v>
      </c>
      <c r="C142" s="62" t="str">
        <f>VLOOKUP([Field],Columns[],2,0)&amp;"("</f>
        <v>bigIncrements(</v>
      </c>
      <c r="D142" s="62" t="str">
        <f>IF(VLOOKUP([Field],Columns[],3,0)&lt;&gt;"","'"&amp;VLOOKUP([Field],Columns[],3,0)&amp;"'","")</f>
        <v>'id'</v>
      </c>
      <c r="E142" s="63" t="str">
        <f>IF(VLOOKUP([Field],Columns[],4,0)&lt;&gt;0,", "&amp;IF(ISERR(SEARCH(",",VLOOKUP([Field],Columns[],4,0))),"'"&amp;VLOOKUP([Field],Columns[],4,0)&amp;"'",VLOOKUP([Field],Columns[],4,0))&amp;")",")")</f>
        <v>)</v>
      </c>
      <c r="F142" s="62" t="str">
        <f>IF(VLOOKUP([Field],Columns[],5,0)=0,"","-&gt;"&amp;VLOOKUP([Field],Columns[],5,0))</f>
        <v/>
      </c>
      <c r="G142" s="62" t="str">
        <f>IF(VLOOKUP([Field],Columns[],6,0)=0,"","-&gt;"&amp;VLOOKUP([Field],Columns[],6,0))</f>
        <v/>
      </c>
      <c r="H142" s="62" t="str">
        <f>IF(VLOOKUP([Field],Columns[],7,0)=0,"","-&gt;"&amp;VLOOKUP([Field],Columns[],7,0))</f>
        <v/>
      </c>
      <c r="I142" s="62" t="str">
        <f>IF(VLOOKUP([Field],Columns[],8,0)=0,"","-&gt;"&amp;VLOOKUP([Field],Columns[],8,0))</f>
        <v/>
      </c>
      <c r="J142" s="62" t="str">
        <f>IF(VLOOKUP([Field],Columns[],9,0)=0,"","-&gt;"&amp;VLOOKUP([Field],Columns[],9,0))</f>
        <v/>
      </c>
      <c r="K142" s="62" t="str">
        <f>"$table-&gt;"&amp;[Type]&amp;[Name]&amp;[Arg2]&amp;[Method1]&amp;[Method2]&amp;[Method3]&amp;[Method4]&amp;[Method5]&amp;";"</f>
        <v>$table-&gt;bigIncrements('id');</v>
      </c>
    </row>
    <row r="143" spans="1:11">
      <c r="A143" s="2" t="s">
        <v>775</v>
      </c>
      <c r="B143" s="62" t="s">
        <v>877</v>
      </c>
      <c r="C143" s="62" t="str">
        <f>VLOOKUP([Field],Columns[],2,0)&amp;"("</f>
        <v>foreignCascade(</v>
      </c>
      <c r="D143" s="62" t="str">
        <f>IF(VLOOKUP([Field],Columns[],3,0)&lt;&gt;"","'"&amp;VLOOKUP([Field],Columns[],3,0)&amp;"'","")</f>
        <v>'hs'</v>
      </c>
      <c r="E143" s="63" t="str">
        <f>IF(VLOOKUP([Field],Columns[],4,0)&lt;&gt;0,", "&amp;IF(ISERR(SEARCH(",",VLOOKUP([Field],Columns[],4,0))),"'"&amp;VLOOKUP([Field],Columns[],4,0)&amp;"'",VLOOKUP([Field],Columns[],4,0))&amp;")",")")</f>
        <v>, 'hub_shift')</v>
      </c>
      <c r="F143" s="62" t="str">
        <f>IF(VLOOKUP([Field],Columns[],5,0)=0,"","-&gt;"&amp;VLOOKUP([Field],Columns[],5,0))</f>
        <v/>
      </c>
      <c r="G143" s="62" t="str">
        <f>IF(VLOOKUP([Field],Columns[],6,0)=0,"","-&gt;"&amp;VLOOKUP([Field],Columns[],6,0))</f>
        <v/>
      </c>
      <c r="H143" s="62" t="str">
        <f>IF(VLOOKUP([Field],Columns[],7,0)=0,"","-&gt;"&amp;VLOOKUP([Field],Columns[],7,0))</f>
        <v/>
      </c>
      <c r="I143" s="62" t="str">
        <f>IF(VLOOKUP([Field],Columns[],8,0)=0,"","-&gt;"&amp;VLOOKUP([Field],Columns[],8,0))</f>
        <v/>
      </c>
      <c r="J143" s="62" t="str">
        <f>IF(VLOOKUP([Field],Columns[],9,0)=0,"","-&gt;"&amp;VLOOKUP([Field],Columns[],9,0))</f>
        <v/>
      </c>
      <c r="K143" s="62" t="str">
        <f>"$table-&gt;"&amp;[Type]&amp;[Name]&amp;[Arg2]&amp;[Method1]&amp;[Method2]&amp;[Method3]&amp;[Method4]&amp;[Method5]&amp;";"</f>
        <v>$table-&gt;foreignCascade('hs', 'hub_shift');</v>
      </c>
    </row>
    <row r="144" spans="1:11">
      <c r="A144" s="2" t="s">
        <v>775</v>
      </c>
      <c r="B144" s="62" t="s">
        <v>837</v>
      </c>
      <c r="C144" s="62" t="str">
        <f>VLOOKUP([Field],Columns[],2,0)&amp;"("</f>
        <v>foreignCascade(</v>
      </c>
      <c r="D144" s="62" t="str">
        <f>IF(VLOOKUP([Field],Columns[],3,0)&lt;&gt;"","'"&amp;VLOOKUP([Field],Columns[],3,0)&amp;"'","")</f>
        <v>'oi'</v>
      </c>
      <c r="E144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44" s="62" t="str">
        <f>IF(VLOOKUP([Field],Columns[],5,0)=0,"","-&gt;"&amp;VLOOKUP([Field],Columns[],5,0))</f>
        <v/>
      </c>
      <c r="G144" s="62" t="str">
        <f>IF(VLOOKUP([Field],Columns[],6,0)=0,"","-&gt;"&amp;VLOOKUP([Field],Columns[],6,0))</f>
        <v/>
      </c>
      <c r="H144" s="62" t="str">
        <f>IF(VLOOKUP([Field],Columns[],7,0)=0,"","-&gt;"&amp;VLOOKUP([Field],Columns[],7,0))</f>
        <v/>
      </c>
      <c r="I144" s="62" t="str">
        <f>IF(VLOOKUP([Field],Columns[],8,0)=0,"","-&gt;"&amp;VLOOKUP([Field],Columns[],8,0))</f>
        <v/>
      </c>
      <c r="J144" s="62" t="str">
        <f>IF(VLOOKUP([Field],Columns[],9,0)=0,"","-&gt;"&amp;VLOOKUP([Field],Columns[],9,0))</f>
        <v/>
      </c>
      <c r="K144" s="62" t="str">
        <f>"$table-&gt;"&amp;[Type]&amp;[Name]&amp;[Arg2]&amp;[Method1]&amp;[Method2]&amp;[Method3]&amp;[Method4]&amp;[Method5]&amp;";"</f>
        <v>$table-&gt;foreignCascade('oi', 'order_items');</v>
      </c>
    </row>
    <row r="145" spans="1:11">
      <c r="A145" s="2" t="s">
        <v>775</v>
      </c>
      <c r="B145" s="62" t="s">
        <v>802</v>
      </c>
      <c r="C145" s="62" t="str">
        <f>VLOOKUP([Field],Columns[],2,0)&amp;"("</f>
        <v>enum(</v>
      </c>
      <c r="D145" s="62" t="str">
        <f>IF(VLOOKUP([Field],Columns[],3,0)&lt;&gt;"","'"&amp;VLOOKUP([Field],Columns[],3,0)&amp;"'","")</f>
        <v>'status'</v>
      </c>
      <c r="E145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5" s="62" t="str">
        <f>IF(VLOOKUP([Field],Columns[],5,0)=0,"","-&gt;"&amp;VLOOKUP([Field],Columns[],5,0))</f>
        <v>-&gt;nullable()</v>
      </c>
      <c r="G145" s="62" t="str">
        <f>IF(VLOOKUP([Field],Columns[],6,0)=0,"","-&gt;"&amp;VLOOKUP([Field],Columns[],6,0))</f>
        <v>-&gt;default('Active')</v>
      </c>
      <c r="H145" s="62" t="str">
        <f>IF(VLOOKUP([Field],Columns[],7,0)=0,"","-&gt;"&amp;VLOOKUP([Field],Columns[],7,0))</f>
        <v/>
      </c>
      <c r="I145" s="62" t="str">
        <f>IF(VLOOKUP([Field],Columns[],8,0)=0,"","-&gt;"&amp;VLOOKUP([Field],Columns[],8,0))</f>
        <v/>
      </c>
      <c r="J145" s="62" t="str">
        <f>IF(VLOOKUP([Field],Columns[],9,0)=0,"","-&gt;"&amp;VLOOKUP([Field],Columns[],9,0))</f>
        <v/>
      </c>
      <c r="K145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6" spans="1:11">
      <c r="A146" s="2" t="s">
        <v>775</v>
      </c>
      <c r="B146" s="62" t="s">
        <v>288</v>
      </c>
      <c r="C146" s="62" t="str">
        <f>VLOOKUP([Field],Columns[],2,0)&amp;"("</f>
        <v>audit(</v>
      </c>
      <c r="D146" s="62" t="str">
        <f>IF(VLOOKUP([Field],Columns[],3,0)&lt;&gt;"","'"&amp;VLOOKUP([Field],Columns[],3,0)&amp;"'","")</f>
        <v/>
      </c>
      <c r="E146" s="63" t="str">
        <f>IF(VLOOKUP([Field],Columns[],4,0)&lt;&gt;0,", "&amp;IF(ISERR(SEARCH(",",VLOOKUP([Field],Columns[],4,0))),"'"&amp;VLOOKUP([Field],Columns[],4,0)&amp;"'",VLOOKUP([Field],Columns[],4,0))&amp;")",")")</f>
        <v>)</v>
      </c>
      <c r="F146" s="62" t="str">
        <f>IF(VLOOKUP([Field],Columns[],5,0)=0,"","-&gt;"&amp;VLOOKUP([Field],Columns[],5,0))</f>
        <v/>
      </c>
      <c r="G146" s="62" t="str">
        <f>IF(VLOOKUP([Field],Columns[],6,0)=0,"","-&gt;"&amp;VLOOKUP([Field],Columns[],6,0))</f>
        <v/>
      </c>
      <c r="H146" s="62" t="str">
        <f>IF(VLOOKUP([Field],Columns[],7,0)=0,"","-&gt;"&amp;VLOOKUP([Field],Columns[],7,0))</f>
        <v/>
      </c>
      <c r="I146" s="62" t="str">
        <f>IF(VLOOKUP([Field],Columns[],8,0)=0,"","-&gt;"&amp;VLOOKUP([Field],Columns[],8,0))</f>
        <v/>
      </c>
      <c r="J146" s="62" t="str">
        <f>IF(VLOOKUP([Field],Columns[],9,0)=0,"","-&gt;"&amp;VLOOKUP([Field],Columns[],9,0))</f>
        <v/>
      </c>
      <c r="K146" s="62" t="str">
        <f>"$table-&gt;"&amp;[Type]&amp;[Name]&amp;[Arg2]&amp;[Method1]&amp;[Method2]&amp;[Method3]&amp;[Method4]&amp;[Method5]&amp;";"</f>
        <v>$table-&gt;audit();</v>
      </c>
    </row>
    <row r="302" spans="1:11" s="20" customFormat="1">
      <c r="A302"/>
      <c r="B302"/>
      <c r="C302"/>
      <c r="D302"/>
      <c r="E302"/>
      <c r="F302"/>
      <c r="G302"/>
      <c r="H302"/>
      <c r="I302"/>
      <c r="J302"/>
      <c r="K302"/>
    </row>
    <row r="328" spans="1:11" s="20" customFormat="1">
      <c r="A328"/>
      <c r="B328"/>
      <c r="C328"/>
      <c r="D328"/>
      <c r="E328"/>
      <c r="F328"/>
      <c r="G328"/>
      <c r="H328"/>
      <c r="I328"/>
      <c r="J328"/>
      <c r="K328"/>
    </row>
    <row r="329" spans="1:11" s="20" customFormat="1">
      <c r="A329"/>
      <c r="B329"/>
      <c r="C329"/>
      <c r="D329"/>
      <c r="E329"/>
      <c r="F329"/>
      <c r="G329"/>
      <c r="H329"/>
      <c r="I329"/>
      <c r="J329"/>
      <c r="K329"/>
    </row>
    <row r="335" spans="1:11" s="20" customFormat="1">
      <c r="A335"/>
      <c r="B335"/>
      <c r="C335"/>
      <c r="D335"/>
      <c r="E335"/>
      <c r="F335"/>
      <c r="G335"/>
      <c r="H335"/>
      <c r="I335"/>
      <c r="J335"/>
      <c r="K335"/>
    </row>
    <row r="343" spans="1:11" s="20" customFormat="1">
      <c r="A343"/>
      <c r="B343"/>
      <c r="C343"/>
      <c r="D343"/>
      <c r="E343"/>
      <c r="F343"/>
      <c r="G343"/>
      <c r="H343"/>
      <c r="I343"/>
      <c r="J343"/>
      <c r="K343"/>
    </row>
    <row r="356" spans="1:11" s="20" customFormat="1">
      <c r="A356"/>
      <c r="B356"/>
      <c r="C356"/>
      <c r="D356"/>
      <c r="E356"/>
      <c r="F356"/>
      <c r="G356"/>
      <c r="H356"/>
      <c r="I356"/>
      <c r="J356"/>
      <c r="K356"/>
    </row>
  </sheetData>
  <dataConsolidate/>
  <conditionalFormatting sqref="B63">
    <cfRule type="duplicateValues" dxfId="0" priority="1"/>
  </conditionalFormatting>
  <dataValidations count="2">
    <dataValidation type="list" allowBlank="1" showInputMessage="1" showErrorMessage="1" sqref="B2:B146">
      <formula1>AvailableFields</formula1>
    </dataValidation>
    <dataValidation type="list" allowBlank="1" showInputMessage="1" showErrorMessage="1" sqref="A2:A14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83"/>
  <sheetViews>
    <sheetView topLeftCell="B73" workbookViewId="0">
      <selection activeCell="B32" sqref="B32:B37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16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6" t="str">
        <f>[Table Name]&amp;"-"&amp;(COUNTIF($B$1:TableData[[#This Row],[Table Name]],TableData[[#This Row],[Table Name]])-1)</f>
        <v>Groups-1</v>
      </c>
      <c r="B3" s="14" t="s">
        <v>76</v>
      </c>
      <c r="C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2102101</v>
      </c>
      <c r="D3" s="14" t="s">
        <v>1106</v>
      </c>
      <c r="E3" s="14" t="s">
        <v>1107</v>
      </c>
      <c r="F3" s="14" t="s">
        <v>78</v>
      </c>
      <c r="G3" s="117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69" t="str">
        <f>[Table Name]&amp;"-"&amp;(COUNTIF($B$1:TableData[[#This Row],[Table Name]],TableData[[#This Row],[Table Name]])-1)</f>
        <v>Groups-2</v>
      </c>
      <c r="B4" s="14" t="s">
        <v>76</v>
      </c>
      <c r="C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2102102</v>
      </c>
      <c r="D4" s="14" t="s">
        <v>1124</v>
      </c>
      <c r="E4" s="14" t="s">
        <v>1116</v>
      </c>
      <c r="F4" s="14" t="s">
        <v>1117</v>
      </c>
      <c r="G4" s="115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>
      <c r="A5" s="69" t="str">
        <f>[Table Name]&amp;"-"&amp;(COUNTIF($B$1:TableData[[#This Row],[Table Name]],TableData[[#This Row],[Table Name]])-1)</f>
        <v>Groups-3</v>
      </c>
      <c r="B5" s="14" t="s">
        <v>76</v>
      </c>
      <c r="C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2102103</v>
      </c>
      <c r="D5" s="107" t="s">
        <v>767</v>
      </c>
      <c r="E5" s="107" t="s">
        <v>1175</v>
      </c>
      <c r="F5" s="107" t="s">
        <v>903</v>
      </c>
      <c r="G5" s="115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18">
      <c r="A6" s="69" t="str">
        <f>[Table Name]&amp;"-"&amp;(COUNTIF($B$1:TableData[[#This Row],[Table Name]],TableData[[#This Row],[Table Name]])-1)</f>
        <v>Groups-4</v>
      </c>
      <c r="B6" s="14" t="s">
        <v>76</v>
      </c>
      <c r="C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2102104</v>
      </c>
      <c r="D6" s="14" t="s">
        <v>1112</v>
      </c>
      <c r="E6" s="14" t="s">
        <v>1113</v>
      </c>
      <c r="F6" s="14" t="s">
        <v>1114</v>
      </c>
      <c r="G6" s="115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>
      <c r="A7" s="69" t="str">
        <f>[Table Name]&amp;"-"&amp;(COUNTIF($B$1:TableData[[#This Row],[Table Name]],TableData[[#This Row],[Table Name]])-1)</f>
        <v>Groups-5</v>
      </c>
      <c r="B7" s="14" t="s">
        <v>76</v>
      </c>
      <c r="C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2102105</v>
      </c>
      <c r="D7" s="14" t="s">
        <v>1108</v>
      </c>
      <c r="E7" s="14" t="s">
        <v>1109</v>
      </c>
      <c r="F7" s="14" t="s">
        <v>1098</v>
      </c>
      <c r="G7" s="115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>
      <c r="A8" s="69" t="str">
        <f>[Table Name]&amp;"-"&amp;(COUNTIF($B$1:TableData[[#This Row],[Table Name]],TableData[[#This Row],[Table Name]])-1)</f>
        <v>Groups-6</v>
      </c>
      <c r="B8" s="14" t="s">
        <v>76</v>
      </c>
      <c r="C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2102106</v>
      </c>
      <c r="D8" s="14" t="s">
        <v>1110</v>
      </c>
      <c r="E8" s="14" t="s">
        <v>1111</v>
      </c>
      <c r="F8" s="14" t="s">
        <v>1099</v>
      </c>
      <c r="G8" s="115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>
      <c r="A9" s="16" t="str">
        <f>[Table Name]&amp;"-"&amp;(COUNTIF($B$1:TableData[[#This Row],[Table Name]],TableData[[#This Row],[Table Name]])-1)</f>
        <v>Roles-0</v>
      </c>
      <c r="B9" s="14" t="s">
        <v>79</v>
      </c>
      <c r="C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9" s="13" t="s">
        <v>23</v>
      </c>
      <c r="E9" s="13" t="s">
        <v>24</v>
      </c>
      <c r="F9" s="13" t="s">
        <v>25</v>
      </c>
      <c r="G9" s="117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A10" s="16" t="str">
        <f>[Table Name]&amp;"-"&amp;(COUNTIF($B$1:TableData[[#This Row],[Table Name]],TableData[[#This Row],[Table Name]])-1)</f>
        <v>Roles-1</v>
      </c>
      <c r="B10" s="14" t="s">
        <v>79</v>
      </c>
      <c r="C1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2104101</v>
      </c>
      <c r="D10" s="13" t="s">
        <v>1115</v>
      </c>
      <c r="E10" s="13" t="s">
        <v>1118</v>
      </c>
      <c r="F10" s="13" t="s">
        <v>1119</v>
      </c>
      <c r="G10" s="117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A11" s="69" t="str">
        <f>[Table Name]&amp;"-"&amp;(COUNTIF($B$1:TableData[[#This Row],[Table Name]],TableData[[#This Row],[Table Name]])-1)</f>
        <v>Roles-2</v>
      </c>
      <c r="B11" s="14" t="s">
        <v>79</v>
      </c>
      <c r="C1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2104102</v>
      </c>
      <c r="D11" s="107" t="s">
        <v>767</v>
      </c>
      <c r="E11" s="107" t="s">
        <v>1336</v>
      </c>
      <c r="F11" s="107" t="s">
        <v>785</v>
      </c>
      <c r="G11" s="115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</row>
    <row r="12" spans="1:18">
      <c r="A12" s="16" t="str">
        <f>[Table Name]&amp;"-"&amp;(COUNTIF($B$1:TableData[[#This Row],[Table Name]],TableData[[#This Row],[Table Name]])-1)</f>
        <v>Roles-3</v>
      </c>
      <c r="B12" s="14" t="s">
        <v>79</v>
      </c>
      <c r="C12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2104103</v>
      </c>
      <c r="D12" s="14" t="s">
        <v>1108</v>
      </c>
      <c r="E12" s="14" t="s">
        <v>1120</v>
      </c>
      <c r="F12" s="14" t="s">
        <v>1121</v>
      </c>
      <c r="G12" s="11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16" t="str">
        <f>[Table Name]&amp;"-"&amp;(COUNTIF($B$1:TableData[[#This Row],[Table Name]],TableData[[#This Row],[Table Name]])-1)</f>
        <v>Roles-4</v>
      </c>
      <c r="B13" s="14" t="s">
        <v>79</v>
      </c>
      <c r="C1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2104104</v>
      </c>
      <c r="D13" s="14" t="s">
        <v>1122</v>
      </c>
      <c r="E13" s="14" t="s">
        <v>1123</v>
      </c>
      <c r="F13" s="14" t="s">
        <v>910</v>
      </c>
      <c r="G13" s="117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6" t="str">
        <f>[Table Name]&amp;"-"&amp;(COUNTIF($B$1:TableData[[#This Row],[Table Name]],TableData[[#This Row],[Table Name]])-1)</f>
        <v>Group Roles-0</v>
      </c>
      <c r="B14" s="14" t="s">
        <v>93</v>
      </c>
      <c r="C14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4" s="14" t="s">
        <v>63</v>
      </c>
      <c r="E14" s="14" t="s">
        <v>65</v>
      </c>
      <c r="F14" s="14"/>
      <c r="G14" s="117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16" t="str">
        <f>[Table Name]&amp;"-"&amp;(COUNTIF($B$1:TableData[[#This Row],[Table Name]],TableData[[#This Row],[Table Name]])-1)</f>
        <v>Group Roles-1</v>
      </c>
      <c r="B15" s="14" t="s">
        <v>93</v>
      </c>
      <c r="C15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2105101</v>
      </c>
      <c r="D15" s="14">
        <v>2102102</v>
      </c>
      <c r="E15" s="14">
        <v>2104101</v>
      </c>
      <c r="F15" s="14"/>
      <c r="G15" s="117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Group Roles-2</v>
      </c>
      <c r="B16" s="14" t="s">
        <v>93</v>
      </c>
      <c r="C16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2105102</v>
      </c>
      <c r="D16" s="14">
        <v>2102103</v>
      </c>
      <c r="E16" s="14">
        <v>2104102</v>
      </c>
      <c r="F16" s="14"/>
      <c r="G16" s="117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Group Roles-3</v>
      </c>
      <c r="B17" s="14" t="s">
        <v>93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2105103</v>
      </c>
      <c r="D17" s="14">
        <v>2102105</v>
      </c>
      <c r="E17" s="14">
        <v>2104103</v>
      </c>
      <c r="F17" s="14"/>
      <c r="G17" s="117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6" t="str">
        <f>[Table Name]&amp;"-"&amp;(COUNTIF($B$1:TableData[[#This Row],[Table Name]],TableData[[#This Row],[Table Name]])-1)</f>
        <v>Group Roles-4</v>
      </c>
      <c r="B18" s="14" t="s">
        <v>93</v>
      </c>
      <c r="C1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2105104</v>
      </c>
      <c r="D18" s="14">
        <v>2102106</v>
      </c>
      <c r="E18" s="14">
        <v>2104104</v>
      </c>
      <c r="F18" s="14"/>
      <c r="G18" s="117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69" t="str">
        <f>[Table Name]&amp;"-"&amp;(COUNTIF($B$1:TableData[[#This Row],[Table Name]],TableData[[#This Row],[Table Name]])-1)</f>
        <v>Users-0</v>
      </c>
      <c r="B19" s="14" t="s">
        <v>78</v>
      </c>
      <c r="C1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9" s="14" t="s">
        <v>23</v>
      </c>
      <c r="E19" s="14" t="s">
        <v>800</v>
      </c>
      <c r="F19" s="14" t="s">
        <v>1128</v>
      </c>
      <c r="G19" s="115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</row>
    <row r="20" spans="1:18">
      <c r="A20" s="69" t="str">
        <f>[Table Name]&amp;"-"&amp;(COUNTIF($B$1:TableData[[#This Row],[Table Name]],TableData[[#This Row],[Table Name]])-1)</f>
        <v>Users-1</v>
      </c>
      <c r="B20" s="14" t="s">
        <v>78</v>
      </c>
      <c r="C2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2101101</v>
      </c>
      <c r="D20" s="14" t="s">
        <v>1129</v>
      </c>
      <c r="E20" s="14" t="s">
        <v>1130</v>
      </c>
      <c r="F20" s="14">
        <v>123456</v>
      </c>
      <c r="G20" s="115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</row>
    <row r="21" spans="1:18">
      <c r="A21" s="69" t="str">
        <f>[Table Name]&amp;"-"&amp;(COUNTIF($B$1:TableData[[#This Row],[Table Name]],TableData[[#This Row],[Table Name]])-1)</f>
        <v>Users-2</v>
      </c>
      <c r="B21" s="14" t="s">
        <v>78</v>
      </c>
      <c r="C2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2101102</v>
      </c>
      <c r="D21" s="13" t="s">
        <v>1132</v>
      </c>
      <c r="E21" s="13" t="s">
        <v>1133</v>
      </c>
      <c r="F21" s="14">
        <v>123456</v>
      </c>
      <c r="G21" s="115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</row>
    <row r="22" spans="1:18">
      <c r="A22" s="69" t="str">
        <f>[Table Name]&amp;"-"&amp;(COUNTIF($B$1:TableData[[#This Row],[Table Name]],TableData[[#This Row],[Table Name]])-1)</f>
        <v>Users-3</v>
      </c>
      <c r="B22" s="14" t="s">
        <v>78</v>
      </c>
      <c r="C2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2101103</v>
      </c>
      <c r="D22" s="13" t="s">
        <v>1097</v>
      </c>
      <c r="E22" s="13" t="s">
        <v>1131</v>
      </c>
      <c r="F22" s="14">
        <v>123456</v>
      </c>
      <c r="G22" s="115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</row>
    <row r="23" spans="1:18">
      <c r="A23" s="69" t="str">
        <f>[Table Name]&amp;"-"&amp;(COUNTIF($B$1:TableData[[#This Row],[Table Name]],TableData[[#This Row],[Table Name]])-1)</f>
        <v>Users-4</v>
      </c>
      <c r="B23" s="14" t="s">
        <v>78</v>
      </c>
      <c r="C2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2101104</v>
      </c>
      <c r="D23" s="13" t="s">
        <v>1119</v>
      </c>
      <c r="E23" s="13" t="s">
        <v>2031</v>
      </c>
      <c r="F23" s="14">
        <v>123456</v>
      </c>
      <c r="G23" s="115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</row>
    <row r="24" spans="1:18">
      <c r="A24" s="69" t="str">
        <f>[Table Name]&amp;"-"&amp;(COUNTIF($B$1:TableData[[#This Row],[Table Name]],TableData[[#This Row],[Table Name]])-1)</f>
        <v>Users-5</v>
      </c>
      <c r="B24" s="14" t="s">
        <v>78</v>
      </c>
      <c r="C2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2101105</v>
      </c>
      <c r="D24" s="108" t="s">
        <v>1121</v>
      </c>
      <c r="E24" s="108" t="s">
        <v>2032</v>
      </c>
      <c r="F24" s="14">
        <v>123456</v>
      </c>
      <c r="G24" s="115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</row>
    <row r="25" spans="1:18">
      <c r="A25" s="69" t="str">
        <f>[Table Name]&amp;"-"&amp;(COUNTIF($B$1:TableData[[#This Row],[Table Name]],TableData[[#This Row],[Table Name]])-1)</f>
        <v>Users-6</v>
      </c>
      <c r="B25" s="14" t="s">
        <v>78</v>
      </c>
      <c r="C2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2101106</v>
      </c>
      <c r="D25" s="108" t="s">
        <v>1666</v>
      </c>
      <c r="E25" s="108" t="s">
        <v>2033</v>
      </c>
      <c r="F25" s="14">
        <v>123456</v>
      </c>
      <c r="G25" s="115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</row>
    <row r="26" spans="1:18">
      <c r="A26" s="69" t="str">
        <f>[Table Name]&amp;"-"&amp;(COUNTIF($B$1:TableData[[#This Row],[Table Name]],TableData[[#This Row],[Table Name]])-1)</f>
        <v>Group Users-0</v>
      </c>
      <c r="B26" s="14" t="s">
        <v>756</v>
      </c>
      <c r="C2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6" s="14" t="s">
        <v>63</v>
      </c>
      <c r="E26" s="14" t="s">
        <v>64</v>
      </c>
      <c r="F26" s="14"/>
      <c r="G26" s="115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8">
      <c r="A27" s="69" t="str">
        <f>[Table Name]&amp;"-"&amp;(COUNTIF($B$1:TableData[[#This Row],[Table Name]],TableData[[#This Row],[Table Name]])-1)</f>
        <v>Group Users-1</v>
      </c>
      <c r="B27" s="14" t="s">
        <v>756</v>
      </c>
      <c r="C2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2103101</v>
      </c>
      <c r="D27" s="13">
        <v>1</v>
      </c>
      <c r="E27" s="13">
        <v>2101101</v>
      </c>
      <c r="F27" s="13"/>
      <c r="G27" s="115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</row>
    <row r="28" spans="1:18">
      <c r="A28" s="69" t="str">
        <f>[Table Name]&amp;"-"&amp;(COUNTIF($B$1:TableData[[#This Row],[Table Name]],TableData[[#This Row],[Table Name]])-1)</f>
        <v>Group Users-2</v>
      </c>
      <c r="B28" s="14" t="s">
        <v>756</v>
      </c>
      <c r="C2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2103102</v>
      </c>
      <c r="D28" s="13">
        <v>2</v>
      </c>
      <c r="E28" s="13">
        <v>2101102</v>
      </c>
      <c r="F28" s="13"/>
      <c r="G28" s="115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</row>
    <row r="29" spans="1:18">
      <c r="A29" s="69" t="str">
        <f>[Table Name]&amp;"-"&amp;(COUNTIF($B$1:TableData[[#This Row],[Table Name]],TableData[[#This Row],[Table Name]])-1)</f>
        <v>Group Users-3</v>
      </c>
      <c r="B29" s="14" t="s">
        <v>756</v>
      </c>
      <c r="C2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2103103</v>
      </c>
      <c r="D29" s="13">
        <v>3</v>
      </c>
      <c r="E29" s="13">
        <v>2101103</v>
      </c>
      <c r="F29" s="13"/>
      <c r="G29" s="115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</row>
    <row r="30" spans="1:18">
      <c r="A30" s="69" t="str">
        <f>[Table Name]&amp;"-"&amp;(COUNTIF($B$1:TableData[[#This Row],[Table Name]],TableData[[#This Row],[Table Name]])-1)</f>
        <v>Group Users-4</v>
      </c>
      <c r="B30" s="14" t="s">
        <v>756</v>
      </c>
      <c r="C3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2103104</v>
      </c>
      <c r="D30" s="13">
        <v>2102101</v>
      </c>
      <c r="E30" s="13">
        <v>2101104</v>
      </c>
      <c r="F30" s="13"/>
      <c r="G30" s="115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</row>
    <row r="31" spans="1:18">
      <c r="A31" s="69" t="str">
        <f>[Table Name]&amp;"-"&amp;(COUNTIF($B$1:TableData[[#This Row],[Table Name]],TableData[[#This Row],[Table Name]])-1)</f>
        <v>Group Users-5</v>
      </c>
      <c r="B31" s="14" t="s">
        <v>756</v>
      </c>
      <c r="C3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2103105</v>
      </c>
      <c r="D31" s="13">
        <v>2102102</v>
      </c>
      <c r="E31" s="13">
        <v>2101104</v>
      </c>
      <c r="F31" s="107"/>
      <c r="G31" s="115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</row>
    <row r="32" spans="1:18">
      <c r="A32" s="69" t="str">
        <f>[Table Name]&amp;"-"&amp;(COUNTIF($B$1:TableData[[#This Row],[Table Name]],TableData[[#This Row],[Table Name]])-1)</f>
        <v>Group Users-6</v>
      </c>
      <c r="B32" s="14" t="s">
        <v>756</v>
      </c>
      <c r="C3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2103106</v>
      </c>
      <c r="D32" s="108">
        <v>2102101</v>
      </c>
      <c r="E32" s="13">
        <v>2101105</v>
      </c>
      <c r="F32" s="107"/>
      <c r="G32" s="115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</row>
    <row r="33" spans="1:18">
      <c r="A33" s="69" t="str">
        <f>[Table Name]&amp;"-"&amp;(COUNTIF($B$1:TableData[[#This Row],[Table Name]],TableData[[#This Row],[Table Name]])-1)</f>
        <v>Group Users-7</v>
      </c>
      <c r="B33" s="14" t="s">
        <v>756</v>
      </c>
      <c r="C3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2103107</v>
      </c>
      <c r="D33" s="108">
        <v>2102104</v>
      </c>
      <c r="E33" s="13">
        <v>2101105</v>
      </c>
      <c r="F33" s="107"/>
      <c r="G33" s="115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</row>
    <row r="34" spans="1:18">
      <c r="A34" s="69" t="str">
        <f>[Table Name]&amp;"-"&amp;(COUNTIF($B$1:TableData[[#This Row],[Table Name]],TableData[[#This Row],[Table Name]])-1)</f>
        <v>Group Users-8</v>
      </c>
      <c r="B34" s="14" t="s">
        <v>756</v>
      </c>
      <c r="C3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2103108</v>
      </c>
      <c r="D34" s="108">
        <v>2102105</v>
      </c>
      <c r="E34" s="13">
        <v>2101105</v>
      </c>
      <c r="F34" s="107"/>
      <c r="G34" s="115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</row>
    <row r="35" spans="1:18">
      <c r="A35" s="69" t="str">
        <f>[Table Name]&amp;"-"&amp;(COUNTIF($B$1:TableData[[#This Row],[Table Name]],TableData[[#This Row],[Table Name]])-1)</f>
        <v>Group Users-9</v>
      </c>
      <c r="B35" s="14" t="s">
        <v>756</v>
      </c>
      <c r="C3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2103109</v>
      </c>
      <c r="D35" s="108">
        <v>2102101</v>
      </c>
      <c r="E35" s="13">
        <v>2101106</v>
      </c>
      <c r="F35" s="107"/>
      <c r="G35" s="115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</row>
    <row r="36" spans="1:18">
      <c r="A36" s="69" t="str">
        <f>[Table Name]&amp;"-"&amp;(COUNTIF($B$1:TableData[[#This Row],[Table Name]],TableData[[#This Row],[Table Name]])-1)</f>
        <v>Group Users-10</v>
      </c>
      <c r="B36" s="14" t="s">
        <v>756</v>
      </c>
      <c r="C3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2103110</v>
      </c>
      <c r="D36" s="108">
        <v>2102104</v>
      </c>
      <c r="E36" s="13">
        <v>2101106</v>
      </c>
      <c r="F36" s="107"/>
      <c r="G36" s="115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</row>
    <row r="37" spans="1:18">
      <c r="A37" s="69" t="str">
        <f>[Table Name]&amp;"-"&amp;(COUNTIF($B$1:TableData[[#This Row],[Table Name]],TableData[[#This Row],[Table Name]])-1)</f>
        <v>Group Users-11</v>
      </c>
      <c r="B37" s="14" t="s">
        <v>756</v>
      </c>
      <c r="C3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2103111</v>
      </c>
      <c r="D37" s="108">
        <v>2102106</v>
      </c>
      <c r="E37" s="13">
        <v>2101106</v>
      </c>
      <c r="F37" s="107"/>
      <c r="G37" s="115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</row>
    <row r="38" spans="1:18">
      <c r="A38" s="16" t="str">
        <f>[Table Name]&amp;"-"&amp;(COUNTIF($B$1:TableData[[#This Row],[Table Name]],TableData[[#This Row],[Table Name]])-1)</f>
        <v>Resource Roles-0</v>
      </c>
      <c r="B38" s="14" t="s">
        <v>94</v>
      </c>
      <c r="C3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14" t="s">
        <v>22</v>
      </c>
      <c r="E38" s="14" t="s">
        <v>65</v>
      </c>
      <c r="F38" s="14" t="s">
        <v>1125</v>
      </c>
      <c r="G38" s="117" t="s">
        <v>1126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>
      <c r="A39" s="16" t="str">
        <f>[Table Name]&amp;"-"&amp;(COUNTIF($B$1:TableData[[#This Row],[Table Name]],TableData[[#This Row],[Table Name]])-1)</f>
        <v>Resource Roles-1</v>
      </c>
      <c r="B39" s="14" t="s">
        <v>94</v>
      </c>
      <c r="C3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2107101</v>
      </c>
      <c r="D39" s="14">
        <v>2106101</v>
      </c>
      <c r="E39" s="14">
        <v>2104101</v>
      </c>
      <c r="F39" s="14" t="s">
        <v>1127</v>
      </c>
      <c r="G39" s="117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>
      <c r="A40" s="15" t="str">
        <f>[Table Name]&amp;"-"&amp;(COUNTIF($B$1:TableData[[#This Row],[Table Name]],TableData[[#This Row],[Table Name]])-1)</f>
        <v>Resource Roles-2</v>
      </c>
      <c r="B40" s="14" t="s">
        <v>94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2107102</v>
      </c>
      <c r="D40" s="13">
        <v>2106102</v>
      </c>
      <c r="E40" s="14">
        <v>2104101</v>
      </c>
      <c r="F40" s="14" t="s">
        <v>1127</v>
      </c>
      <c r="G40" s="116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Roles-3</v>
      </c>
      <c r="B41" s="14" t="s">
        <v>94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2107103</v>
      </c>
      <c r="D41" s="13">
        <v>2106103</v>
      </c>
      <c r="E41" s="14">
        <v>2104101</v>
      </c>
      <c r="F41" s="14" t="s">
        <v>1127</v>
      </c>
      <c r="G41" s="116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Roles-4</v>
      </c>
      <c r="B42" s="14" t="s">
        <v>94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2107104</v>
      </c>
      <c r="D42" s="13">
        <v>2106104</v>
      </c>
      <c r="E42" s="14">
        <v>2104101</v>
      </c>
      <c r="F42" s="14" t="s">
        <v>1127</v>
      </c>
      <c r="G42" s="116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Roles-5</v>
      </c>
      <c r="B43" s="14" t="s">
        <v>94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2107105</v>
      </c>
      <c r="D43" s="13">
        <v>2106105</v>
      </c>
      <c r="E43" s="14">
        <v>2104101</v>
      </c>
      <c r="F43" s="14" t="s">
        <v>1127</v>
      </c>
      <c r="G43" s="116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Roles-6</v>
      </c>
      <c r="B44" s="14" t="s">
        <v>94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2107106</v>
      </c>
      <c r="D44" s="13">
        <v>2106106</v>
      </c>
      <c r="E44" s="14">
        <v>2104101</v>
      </c>
      <c r="F44" s="14" t="s">
        <v>1127</v>
      </c>
      <c r="G44" s="116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Roles-7</v>
      </c>
      <c r="B45" s="14" t="s">
        <v>94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2107107</v>
      </c>
      <c r="D45" s="13">
        <v>2106107</v>
      </c>
      <c r="E45" s="14">
        <v>2104101</v>
      </c>
      <c r="F45" s="14" t="s">
        <v>1127</v>
      </c>
      <c r="G45" s="116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Roles-8</v>
      </c>
      <c r="B46" s="14" t="s">
        <v>94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2107108</v>
      </c>
      <c r="D46" s="13">
        <v>2106108</v>
      </c>
      <c r="E46" s="14">
        <v>2104101</v>
      </c>
      <c r="F46" s="14" t="s">
        <v>1127</v>
      </c>
      <c r="G46" s="116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Roles-9</v>
      </c>
      <c r="B47" s="14" t="s">
        <v>94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2107109</v>
      </c>
      <c r="D47" s="13">
        <v>2106109</v>
      </c>
      <c r="E47" s="14">
        <v>2104101</v>
      </c>
      <c r="F47" s="14" t="s">
        <v>1127</v>
      </c>
      <c r="G47" s="116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Roles-10</v>
      </c>
      <c r="B48" s="14" t="s">
        <v>94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2107110</v>
      </c>
      <c r="D48" s="13">
        <v>2106110</v>
      </c>
      <c r="E48" s="14">
        <v>2104101</v>
      </c>
      <c r="F48" s="14" t="s">
        <v>1127</v>
      </c>
      <c r="G48" s="116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Roles-11</v>
      </c>
      <c r="B49" s="14" t="s">
        <v>94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2107111</v>
      </c>
      <c r="D49" s="13">
        <v>2106111</v>
      </c>
      <c r="E49" s="14">
        <v>2104101</v>
      </c>
      <c r="F49" s="14" t="s">
        <v>1127</v>
      </c>
      <c r="G49" s="116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Roles-12</v>
      </c>
      <c r="B50" s="14" t="s">
        <v>94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2107112</v>
      </c>
      <c r="D50" s="13">
        <v>2106112</v>
      </c>
      <c r="E50" s="14">
        <v>2104101</v>
      </c>
      <c r="F50" s="14" t="s">
        <v>1127</v>
      </c>
      <c r="G50" s="116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Roles-13</v>
      </c>
      <c r="B51" s="14" t="s">
        <v>94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2107113</v>
      </c>
      <c r="D51" s="13">
        <v>2106113</v>
      </c>
      <c r="E51" s="14">
        <v>2104101</v>
      </c>
      <c r="F51" s="14" t="s">
        <v>1127</v>
      </c>
      <c r="G51" s="116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5" t="str">
        <f>[Table Name]&amp;"-"&amp;(COUNTIF($B$1:TableData[[#This Row],[Table Name]],TableData[[#This Row],[Table Name]])-1)</f>
        <v>Resource Roles-14</v>
      </c>
      <c r="B52" s="14" t="s">
        <v>94</v>
      </c>
      <c r="C5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2107114</v>
      </c>
      <c r="D52" s="13">
        <v>2106114</v>
      </c>
      <c r="E52" s="14">
        <v>2104101</v>
      </c>
      <c r="F52" s="14" t="s">
        <v>1127</v>
      </c>
      <c r="G52" s="116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5" t="str">
        <f>[Table Name]&amp;"-"&amp;(COUNTIF($B$1:TableData[[#This Row],[Table Name]],TableData[[#This Row],[Table Name]])-1)</f>
        <v>Resource Roles-15</v>
      </c>
      <c r="B53" s="14" t="s">
        <v>94</v>
      </c>
      <c r="C5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2107115</v>
      </c>
      <c r="D53" s="13">
        <v>2106115</v>
      </c>
      <c r="E53" s="14">
        <v>2104101</v>
      </c>
      <c r="F53" s="14" t="s">
        <v>1127</v>
      </c>
      <c r="G53" s="116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5" t="str">
        <f>[Table Name]&amp;"-"&amp;(COUNTIF($B$1:TableData[[#This Row],[Table Name]],TableData[[#This Row],[Table Name]])-1)</f>
        <v>Resource Roles-16</v>
      </c>
      <c r="B54" s="14" t="s">
        <v>94</v>
      </c>
      <c r="C5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2107116</v>
      </c>
      <c r="D54" s="13">
        <v>2106116</v>
      </c>
      <c r="E54" s="14">
        <v>2104101</v>
      </c>
      <c r="F54" s="14" t="s">
        <v>1127</v>
      </c>
      <c r="G54" s="116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5" t="str">
        <f>[Table Name]&amp;"-"&amp;(COUNTIF($B$1:TableData[[#This Row],[Table Name]],TableData[[#This Row],[Table Name]])-1)</f>
        <v>Resource Roles-17</v>
      </c>
      <c r="B55" s="14" t="s">
        <v>94</v>
      </c>
      <c r="C5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2107117</v>
      </c>
      <c r="D55" s="13">
        <v>2106117</v>
      </c>
      <c r="E55" s="14">
        <v>2104101</v>
      </c>
      <c r="F55" s="14" t="s">
        <v>1127</v>
      </c>
      <c r="G55" s="116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15" t="str">
        <f>[Table Name]&amp;"-"&amp;(COUNTIF($B$1:TableData[[#This Row],[Table Name]],TableData[[#This Row],[Table Name]])-1)</f>
        <v>Resource Roles-18</v>
      </c>
      <c r="B56" s="14" t="s">
        <v>94</v>
      </c>
      <c r="C5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2107118</v>
      </c>
      <c r="D56" s="13">
        <v>2106118</v>
      </c>
      <c r="E56" s="14">
        <v>2104101</v>
      </c>
      <c r="F56" s="14" t="s">
        <v>1127</v>
      </c>
      <c r="G56" s="116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>
      <c r="A57" s="15" t="str">
        <f>[Table Name]&amp;"-"&amp;(COUNTIF($B$1:TableData[[#This Row],[Table Name]],TableData[[#This Row],[Table Name]])-1)</f>
        <v>Resource Roles-19</v>
      </c>
      <c r="B57" s="14" t="s">
        <v>94</v>
      </c>
      <c r="C5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2107119</v>
      </c>
      <c r="D57" s="13">
        <v>2106119</v>
      </c>
      <c r="E57" s="14">
        <v>2104101</v>
      </c>
      <c r="F57" s="14" t="s">
        <v>1127</v>
      </c>
      <c r="G57" s="116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>
      <c r="A58" s="15" t="str">
        <f>[Table Name]&amp;"-"&amp;(COUNTIF($B$1:TableData[[#This Row],[Table Name]],TableData[[#This Row],[Table Name]])-1)</f>
        <v>Resource Roles-20</v>
      </c>
      <c r="B58" s="14" t="s">
        <v>94</v>
      </c>
      <c r="C5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2107120</v>
      </c>
      <c r="D58" s="13">
        <v>2106120</v>
      </c>
      <c r="E58" s="14">
        <v>2104101</v>
      </c>
      <c r="F58" s="14" t="s">
        <v>1127</v>
      </c>
      <c r="G58" s="116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>
      <c r="A59" s="15" t="str">
        <f>[Table Name]&amp;"-"&amp;(COUNTIF($B$1:TableData[[#This Row],[Table Name]],TableData[[#This Row],[Table Name]])-1)</f>
        <v>Resource Roles-21</v>
      </c>
      <c r="B59" s="14" t="s">
        <v>94</v>
      </c>
      <c r="C5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2107121</v>
      </c>
      <c r="D59" s="13">
        <v>2106121</v>
      </c>
      <c r="E59" s="14">
        <v>2104101</v>
      </c>
      <c r="F59" s="14" t="s">
        <v>1127</v>
      </c>
      <c r="G59" s="116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>
      <c r="A60" s="15" t="str">
        <f>[Table Name]&amp;"-"&amp;(COUNTIF($B$1:TableData[[#This Row],[Table Name]],TableData[[#This Row],[Table Name]])-1)</f>
        <v>Resource Roles-22</v>
      </c>
      <c r="B60" s="14" t="s">
        <v>94</v>
      </c>
      <c r="C6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2107122</v>
      </c>
      <c r="D60" s="13">
        <v>2106122</v>
      </c>
      <c r="E60" s="14">
        <v>2104101</v>
      </c>
      <c r="F60" s="14" t="s">
        <v>1127</v>
      </c>
      <c r="G60" s="116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>
      <c r="A61" s="15" t="str">
        <f>[Table Name]&amp;"-"&amp;(COUNTIF($B$1:TableData[[#This Row],[Table Name]],TableData[[#This Row],[Table Name]])-1)</f>
        <v>Resource Roles-23</v>
      </c>
      <c r="B61" s="14" t="s">
        <v>94</v>
      </c>
      <c r="C6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2107123</v>
      </c>
      <c r="D61" s="13">
        <v>2106123</v>
      </c>
      <c r="E61" s="14">
        <v>2104101</v>
      </c>
      <c r="F61" s="14" t="s">
        <v>1127</v>
      </c>
      <c r="G61" s="116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>
      <c r="A62" s="15" t="str">
        <f>[Table Name]&amp;"-"&amp;(COUNTIF($B$1:TableData[[#This Row],[Table Name]],TableData[[#This Row],[Table Name]])-1)</f>
        <v>Resource Roles-24</v>
      </c>
      <c r="B62" s="14" t="s">
        <v>94</v>
      </c>
      <c r="C6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2107124</v>
      </c>
      <c r="D62" s="13">
        <v>2106124</v>
      </c>
      <c r="E62" s="14">
        <v>2104101</v>
      </c>
      <c r="F62" s="14" t="s">
        <v>1127</v>
      </c>
      <c r="G62" s="116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>
      <c r="A63" s="15" t="str">
        <f>[Table Name]&amp;"-"&amp;(COUNTIF($B$1:TableData[[#This Row],[Table Name]],TableData[[#This Row],[Table Name]])-1)</f>
        <v>Resource Roles-25</v>
      </c>
      <c r="B63" s="14" t="s">
        <v>94</v>
      </c>
      <c r="C6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2107125</v>
      </c>
      <c r="D63" s="13">
        <v>2106125</v>
      </c>
      <c r="E63" s="14">
        <v>2104101</v>
      </c>
      <c r="F63" s="14" t="s">
        <v>1127</v>
      </c>
      <c r="G63" s="116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>
      <c r="A64" s="68" t="str">
        <f>[Table Name]&amp;"-"&amp;(COUNTIF($B$1:TableData[[#This Row],[Table Name]],TableData[[#This Row],[Table Name]])-1)</f>
        <v>Resource Roles-26</v>
      </c>
      <c r="B64" s="14" t="s">
        <v>94</v>
      </c>
      <c r="C64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2107126</v>
      </c>
      <c r="D64" s="108">
        <v>2106126</v>
      </c>
      <c r="E64" s="14">
        <v>2104101</v>
      </c>
      <c r="F64" s="14" t="s">
        <v>1127</v>
      </c>
      <c r="G64" s="11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</row>
    <row r="65" spans="1:18">
      <c r="A65" s="68" t="str">
        <f>[Table Name]&amp;"-"&amp;(COUNTIF($B$1:TableData[[#This Row],[Table Name]],TableData[[#This Row],[Table Name]])-1)</f>
        <v>Resource Roles-27</v>
      </c>
      <c r="B65" s="14" t="s">
        <v>94</v>
      </c>
      <c r="C65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2107127</v>
      </c>
      <c r="D65" s="108">
        <v>2106127</v>
      </c>
      <c r="E65" s="14">
        <v>2104101</v>
      </c>
      <c r="F65" s="14" t="s">
        <v>1127</v>
      </c>
      <c r="G65" s="11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</row>
    <row r="66" spans="1:18">
      <c r="A66" s="68" t="str">
        <f>[Table Name]&amp;"-"&amp;(COUNTIF($B$1:TableData[[#This Row],[Table Name]],TableData[[#This Row],[Table Name]])-1)</f>
        <v>Resource Roles-28</v>
      </c>
      <c r="B66" s="14" t="s">
        <v>94</v>
      </c>
      <c r="C6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2107128</v>
      </c>
      <c r="D66" s="108">
        <v>2106128</v>
      </c>
      <c r="E66" s="14">
        <v>2104101</v>
      </c>
      <c r="F66" s="14" t="s">
        <v>1127</v>
      </c>
      <c r="G66" s="11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</row>
    <row r="67" spans="1:18">
      <c r="A67" s="69" t="str">
        <f>[Table Name]&amp;"-"&amp;(COUNTIF($B$1:TableData[[#This Row],[Table Name]],TableData[[#This Row],[Table Name]])-1)</f>
        <v>Resource Roles-29</v>
      </c>
      <c r="B67" s="14" t="s">
        <v>94</v>
      </c>
      <c r="C6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2107129</v>
      </c>
      <c r="D67" s="108">
        <v>2106104</v>
      </c>
      <c r="E67" s="14">
        <v>2104103</v>
      </c>
      <c r="F67" s="107" t="s">
        <v>2034</v>
      </c>
      <c r="G67" s="115" t="s">
        <v>2035</v>
      </c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</row>
    <row r="68" spans="1:18">
      <c r="A68" s="69" t="str">
        <f>[Table Name]&amp;"-"&amp;(COUNTIF($B$1:TableData[[#This Row],[Table Name]],TableData[[#This Row],[Table Name]])-1)</f>
        <v>Resource Roles-30</v>
      </c>
      <c r="B68" s="14" t="s">
        <v>94</v>
      </c>
      <c r="C6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2107130</v>
      </c>
      <c r="D68" s="107">
        <v>2106105</v>
      </c>
      <c r="E68" s="14">
        <v>2104103</v>
      </c>
      <c r="F68" s="107" t="s">
        <v>1127</v>
      </c>
      <c r="G68" s="115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</row>
    <row r="69" spans="1:18">
      <c r="A69" s="69" t="str">
        <f>[Table Name]&amp;"-"&amp;(COUNTIF($B$1:TableData[[#This Row],[Table Name]],TableData[[#This Row],[Table Name]])-1)</f>
        <v>Resource Roles-31</v>
      </c>
      <c r="B69" s="14" t="s">
        <v>94</v>
      </c>
      <c r="C6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2107131</v>
      </c>
      <c r="D69" s="107">
        <v>2106113</v>
      </c>
      <c r="E69" s="14">
        <v>2104103</v>
      </c>
      <c r="F69" s="107" t="s">
        <v>1127</v>
      </c>
      <c r="G69" s="115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</row>
    <row r="70" spans="1:18">
      <c r="A70" s="69" t="str">
        <f>[Table Name]&amp;"-"&amp;(COUNTIF($B$1:TableData[[#This Row],[Table Name]],TableData[[#This Row],[Table Name]])-1)</f>
        <v>Resource Roles-32</v>
      </c>
      <c r="B70" s="14" t="s">
        <v>94</v>
      </c>
      <c r="C7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2107132</v>
      </c>
      <c r="D70" s="107">
        <v>2106114</v>
      </c>
      <c r="E70" s="14">
        <v>2104103</v>
      </c>
      <c r="F70" s="107" t="s">
        <v>1127</v>
      </c>
      <c r="G70" s="115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</row>
    <row r="71" spans="1:18">
      <c r="A71" s="69" t="str">
        <f>[Table Name]&amp;"-"&amp;(COUNTIF($B$1:TableData[[#This Row],[Table Name]],TableData[[#This Row],[Table Name]])-1)</f>
        <v>Resource Roles-33</v>
      </c>
      <c r="B71" s="14" t="s">
        <v>94</v>
      </c>
      <c r="C7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2107133</v>
      </c>
      <c r="D71" s="107">
        <v>2106117</v>
      </c>
      <c r="E71" s="14">
        <v>2104103</v>
      </c>
      <c r="F71" s="107" t="s">
        <v>1127</v>
      </c>
      <c r="G71" s="115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</row>
    <row r="72" spans="1:18">
      <c r="A72" s="68" t="str">
        <f>[Table Name]&amp;"-"&amp;(COUNTIF($B$1:TableData[[#This Row],[Table Name]],TableData[[#This Row],[Table Name]])-1)</f>
        <v>Resource Roles-34</v>
      </c>
      <c r="B72" s="14" t="s">
        <v>94</v>
      </c>
      <c r="C72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2107134</v>
      </c>
      <c r="D72" s="108">
        <v>2106118</v>
      </c>
      <c r="E72" s="14">
        <v>2104103</v>
      </c>
      <c r="F72" s="108" t="s">
        <v>2036</v>
      </c>
      <c r="G72" s="118">
        <v>2133127</v>
      </c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</row>
    <row r="73" spans="1:18">
      <c r="A73" s="68" t="str">
        <f>[Table Name]&amp;"-"&amp;(COUNTIF($B$1:TableData[[#This Row],[Table Name]],TableData[[#This Row],[Table Name]])-1)</f>
        <v>Resource Roles-35</v>
      </c>
      <c r="B73" s="14" t="s">
        <v>94</v>
      </c>
      <c r="C73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2107135</v>
      </c>
      <c r="D73" s="108">
        <v>2106119</v>
      </c>
      <c r="E73" s="14">
        <v>2104103</v>
      </c>
      <c r="F73" s="108" t="s">
        <v>1127</v>
      </c>
      <c r="G73" s="11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</row>
    <row r="74" spans="1:18">
      <c r="A74" s="68" t="str">
        <f>[Table Name]&amp;"-"&amp;(COUNTIF($B$1:TableData[[#This Row],[Table Name]],TableData[[#This Row],[Table Name]])-1)</f>
        <v>Resource Roles-36</v>
      </c>
      <c r="B74" s="14" t="s">
        <v>94</v>
      </c>
      <c r="C74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2107136</v>
      </c>
      <c r="D74" s="108">
        <v>2106120</v>
      </c>
      <c r="E74" s="14">
        <v>2104103</v>
      </c>
      <c r="F74" s="108" t="s">
        <v>2036</v>
      </c>
      <c r="G74" s="118">
        <v>2133176</v>
      </c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</row>
    <row r="75" spans="1:18">
      <c r="A75" s="68" t="str">
        <f>[Table Name]&amp;"-"&amp;(COUNTIF($B$1:TableData[[#This Row],[Table Name]],TableData[[#This Row],[Table Name]])-1)</f>
        <v>Resource Roles-37</v>
      </c>
      <c r="B75" s="14" t="s">
        <v>94</v>
      </c>
      <c r="C75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2107137</v>
      </c>
      <c r="D75" s="108">
        <v>2106121</v>
      </c>
      <c r="E75" s="14">
        <v>2104103</v>
      </c>
      <c r="F75" s="108" t="s">
        <v>2036</v>
      </c>
      <c r="G75" s="118" t="s">
        <v>2053</v>
      </c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</row>
    <row r="76" spans="1:18">
      <c r="A76" s="68" t="str">
        <f>[Table Name]&amp;"-"&amp;(COUNTIF($B$1:TableData[[#This Row],[Table Name]],TableData[[#This Row],[Table Name]])-1)</f>
        <v>Resource Roles-38</v>
      </c>
      <c r="B76" s="14" t="s">
        <v>94</v>
      </c>
      <c r="C7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2107138</v>
      </c>
      <c r="D76" s="108">
        <v>2106122</v>
      </c>
      <c r="E76" s="14">
        <v>2104103</v>
      </c>
      <c r="F76" s="108" t="s">
        <v>1127</v>
      </c>
      <c r="G76" s="11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</row>
    <row r="77" spans="1:18">
      <c r="A77" s="68" t="str">
        <f>[Table Name]&amp;"-"&amp;(COUNTIF($B$1:TableData[[#This Row],[Table Name]],TableData[[#This Row],[Table Name]])-1)</f>
        <v>Resource Roles-39</v>
      </c>
      <c r="B77" s="14" t="s">
        <v>94</v>
      </c>
      <c r="C77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2107139</v>
      </c>
      <c r="D77" s="108">
        <v>2106123</v>
      </c>
      <c r="E77" s="14">
        <v>2104103</v>
      </c>
      <c r="F77" s="108" t="s">
        <v>2034</v>
      </c>
      <c r="G77" s="118" t="s">
        <v>2054</v>
      </c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</row>
    <row r="78" spans="1:18">
      <c r="A78" s="68" t="str">
        <f>[Table Name]&amp;"-"&amp;(COUNTIF($B$1:TableData[[#This Row],[Table Name]],TableData[[#This Row],[Table Name]])-1)</f>
        <v>Resource Roles-40</v>
      </c>
      <c r="B78" s="14" t="s">
        <v>94</v>
      </c>
      <c r="C78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2107140</v>
      </c>
      <c r="D78" s="108">
        <v>2106124</v>
      </c>
      <c r="E78" s="14">
        <v>2104103</v>
      </c>
      <c r="F78" s="108" t="s">
        <v>2036</v>
      </c>
      <c r="G78" s="118" t="s">
        <v>2060</v>
      </c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</row>
    <row r="79" spans="1:18">
      <c r="A79" s="68" t="str">
        <f>[Table Name]&amp;"-"&amp;(COUNTIF($B$1:TableData[[#This Row],[Table Name]],TableData[[#This Row],[Table Name]])-1)</f>
        <v>Resource Roles-41</v>
      </c>
      <c r="B79" s="14" t="s">
        <v>94</v>
      </c>
      <c r="C79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2107141</v>
      </c>
      <c r="D79" s="108">
        <v>2106125</v>
      </c>
      <c r="E79" s="14">
        <v>2104103</v>
      </c>
      <c r="F79" s="108" t="s">
        <v>2036</v>
      </c>
      <c r="G79" s="118" t="s">
        <v>2065</v>
      </c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</row>
    <row r="80" spans="1:18">
      <c r="A80" s="68" t="str">
        <f>[Table Name]&amp;"-"&amp;(COUNTIF($B$1:TableData[[#This Row],[Table Name]],TableData[[#This Row],[Table Name]])-1)</f>
        <v>Resource Roles-42</v>
      </c>
      <c r="B80" s="14" t="s">
        <v>94</v>
      </c>
      <c r="C80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2107142</v>
      </c>
      <c r="D80" s="108">
        <v>2106126</v>
      </c>
      <c r="E80" s="14">
        <v>2104103</v>
      </c>
      <c r="F80" s="108" t="s">
        <v>1127</v>
      </c>
      <c r="G80" s="11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</row>
    <row r="81" spans="1:18">
      <c r="A81" s="68" t="str">
        <f>[Table Name]&amp;"-"&amp;(COUNTIF($B$1:TableData[[#This Row],[Table Name]],TableData[[#This Row],[Table Name]])-1)</f>
        <v>Resource Roles-43</v>
      </c>
      <c r="B81" s="14" t="s">
        <v>94</v>
      </c>
      <c r="C81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2107143</v>
      </c>
      <c r="D81" s="108">
        <v>2106127</v>
      </c>
      <c r="E81" s="14">
        <v>2104103</v>
      </c>
      <c r="F81" s="108" t="s">
        <v>2036</v>
      </c>
      <c r="G81" s="118" t="s">
        <v>2072</v>
      </c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</row>
    <row r="82" spans="1:18">
      <c r="A82" s="69" t="str">
        <f>[Table Name]&amp;"-"&amp;(COUNTIF($B$1:TableData[[#This Row],[Table Name]],TableData[[#This Row],[Table Name]])-1)</f>
        <v>Resource Roles-44</v>
      </c>
      <c r="B82" s="14" t="s">
        <v>94</v>
      </c>
      <c r="C8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2107144</v>
      </c>
      <c r="D82" s="107">
        <v>2106128</v>
      </c>
      <c r="E82" s="14">
        <v>2104103</v>
      </c>
      <c r="F82" s="107" t="s">
        <v>1127</v>
      </c>
      <c r="G82" s="115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</row>
    <row r="83" spans="1:18">
      <c r="A83" s="69" t="str">
        <f>[Table Name]&amp;"-"&amp;(COUNTIF($B$1:TableData[[#This Row],[Table Name]],TableData[[#This Row],[Table Name]])-1)</f>
        <v>Resource Roles-45</v>
      </c>
      <c r="B83" s="14" t="s">
        <v>94</v>
      </c>
      <c r="C8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2107145</v>
      </c>
      <c r="D83" s="107">
        <v>2106123</v>
      </c>
      <c r="E83" s="14">
        <v>2104104</v>
      </c>
      <c r="F83" s="107" t="s">
        <v>2034</v>
      </c>
      <c r="G83" s="115" t="s">
        <v>2073</v>
      </c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67"/>
  <sheetViews>
    <sheetView topLeftCell="A8" workbookViewId="0">
      <selection activeCell="I17" sqref="I1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2101100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AUTO_INCREMENT=2101101');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2101100');\DB::statement('ALTER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2102100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AUTO_INCREMENT=2102101');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2102100');\DB::statement('ALTER TABLE `__groups` AUTO_INCREMENT=1');</v>
      </c>
    </row>
    <row r="4" spans="1:11">
      <c r="A4" s="5" t="s">
        <v>756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2103100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AUTO_INCREMENT=2103101');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2103100');\DB::statement('ALTER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2104100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AUTO_INCREMENT=2104101');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2104100');\DB::statement('ALTER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2105100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AUTO_INCREMENT=2105101');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2105100');\DB::statement('ALTER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2106100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AUTO_INCREMENT=2106101');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2106100');\DB::statement('ALTER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2107100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AUTO_INCREMENT=2107101');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2107100');\DB::statement('ALTER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2108100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AUTO_INCREMENT=2108101');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2108100');\DB::statement('ALTER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2109100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AUTO_INCREMENT=2109101');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2109100');\DB::statement('ALTER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2110100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AUTO_INCREMENT=2110101');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2110100');\DB::statement('ALTER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2111100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AUTO_INCREMENT=2111101');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2111100');\DB::statement('ALTER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2112100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AUTO_INCREMENT=2112101');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2112100');\DB::statement('ALTER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2113100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AUTO_INCREMENT=2113101');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2113100');\DB::statement('ALTER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2114100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AUTO_INCREMENT=2114101');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2114100');\DB::statement('ALTER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2115100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AUTO_INCREMENT=2115101');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2115100');\DB::statement('ALTER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2116100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AUTO_INCREMENT=2116101');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2116100');\DB::statement('ALTER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2117100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AUTO_INCREMENT=2117101');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2117100');\DB::statement('ALTER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2118100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AUTO_INCREMENT=2118101');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2118100');\DB::statement('ALTER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2119100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AUTO_INCREMENT=2119101');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2119100');\DB::statement('ALTER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2120100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AUTO_INCREMENT=2120101');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2120100');\DB::statement('ALTER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2121100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AUTO_INCREMENT=2121101');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2121100');\DB::statement('ALTER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2122100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AUTO_INCREMENT=2122101');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2122100');\DB::statement('ALTER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2123100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AUTO_INCREMENT=2123101');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2123100');\DB::statement('ALTER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2124100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AUTO_INCREMENT=2124101');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2124100');\DB::statement('ALTER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2125100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AUTO_INCREMENT=2125101');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2125100');\DB::statement('ALTER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2126100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AUTO_INCREMENT=2126101');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2126100');\DB::statement('ALTER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2127100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AUTO_INCREMENT=2127101');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2127100');\DB::statement('ALTER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2128100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AUTO_INCREMENT=2128101');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2128100');\DB::statement('ALTER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2129100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AUTO_INCREMENT=2129101');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2129100');\DB::statement('ALTER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2130100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AUTO_INCREMENT=2130101');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2130100');\DB::statement('ALTER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2131100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AUTO_INCREMENT=2131101');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2131100');\DB::statement('ALTER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2132100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AUTO_INCREMENT=2132101');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2132100');\DB::statement('ALTER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2133100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AUTO_INCREMENT=2133101');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2133100');\DB::statement('ALTER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2134100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AUTO_INCREMENT=2134101');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2134100');\DB::statement('ALTER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2135100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AUTO_INCREMENT=2135101');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2135100');\DB::statement('ALTER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2136100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AUTO_INCREMENT=2136101');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2136100');\DB::statement('ALTER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2137100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AUTO_INCREMENT=2137101');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2137100');\DB::statement('ALTER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2138100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AUTO_INCREMENT=2138101');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2138100');\DB::statement('ALTER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2139100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AUTO_INCREMENT=2139101');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2139100');\DB::statement('ALTER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2140100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AUTO_INCREMENT=2140101');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2140100');\DB::statement('ALTER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2141100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AUTO_INCREMENT=2141101');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2141100');\DB::statement('ALTER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2142100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AUTO_INCREMENT=2142101');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2142100');\DB::statement('ALTER TABLE `__resource_dashboard_section_items` AUTO_INCREMENT=1');</v>
      </c>
    </row>
    <row r="44" spans="1:11">
      <c r="A44" s="60" t="s">
        <v>777</v>
      </c>
      <c r="B44" s="60" t="s">
        <v>759</v>
      </c>
      <c r="C44" s="60" t="str">
        <f>VLOOKUP([Table Name],Tables[],4,0)</f>
        <v>Firumon\LLM\Model</v>
      </c>
      <c r="D44" s="60" t="str">
        <f>VLOOKUP([Table Name],Tables[],5,0)</f>
        <v>Hub</v>
      </c>
      <c r="E44" s="1" t="s">
        <v>161</v>
      </c>
      <c r="F44" s="1" t="s">
        <v>341</v>
      </c>
      <c r="G44" s="11">
        <v>2</v>
      </c>
      <c r="H44" s="6" t="s">
        <v>776</v>
      </c>
      <c r="I44" s="64"/>
      <c r="J44" s="61" t="str">
        <f>IF(ISNUMBER([Last ID]),"\DB::statement('ALTER TABLE `" &amp;VLOOKUP(SeedMap[[#This Row],[Table Name]],Tables[[Name]:[Table]],2,0) &amp; "`  AUTO_INCREMENT=" &amp; [Last ID]+1&amp;"');","")</f>
        <v/>
      </c>
      <c r="K4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60" t="s">
        <v>778</v>
      </c>
      <c r="B45" s="60" t="s">
        <v>760</v>
      </c>
      <c r="C45" s="60" t="str">
        <f>VLOOKUP([Table Name],Tables[],4,0)</f>
        <v>Firumon\LLM\Model</v>
      </c>
      <c r="D45" s="60" t="str">
        <f>VLOOKUP([Table Name],Tables[],5,0)</f>
        <v>Service</v>
      </c>
      <c r="E45" s="1" t="s">
        <v>161</v>
      </c>
      <c r="F45" s="1" t="s">
        <v>341</v>
      </c>
      <c r="G45" s="11">
        <v>2</v>
      </c>
      <c r="H45" s="6" t="s">
        <v>776</v>
      </c>
      <c r="I45" s="64"/>
      <c r="J45" s="61" t="str">
        <f>IF(ISNUMBER([Last ID]),"\DB::statement('ALTER TABLE `" &amp;VLOOKUP(SeedMap[[#This Row],[Table Name]],Tables[[Name]:[Table]],2,0) &amp; "`  AUTO_INCREMENT=" &amp; [Last ID]+1&amp;"');","")</f>
        <v/>
      </c>
      <c r="K4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60" t="s">
        <v>779</v>
      </c>
      <c r="B46" s="60" t="s">
        <v>761</v>
      </c>
      <c r="C46" s="60" t="str">
        <f>VLOOKUP([Table Name],Tables[],4,0)</f>
        <v>Firumon\LLM\Model</v>
      </c>
      <c r="D46" s="60" t="str">
        <f>VLOOKUP([Table Name],Tables[],5,0)</f>
        <v>Item</v>
      </c>
      <c r="E46" s="1" t="s">
        <v>161</v>
      </c>
      <c r="F46" s="1" t="s">
        <v>341</v>
      </c>
      <c r="G46" s="11">
        <v>2</v>
      </c>
      <c r="H46" s="6" t="s">
        <v>776</v>
      </c>
      <c r="I46" s="64"/>
      <c r="J46" s="61" t="str">
        <f>IF(ISNUMBER([Last ID]),"\DB::statement('ALTER TABLE `" &amp;VLOOKUP(SeedMap[[#This Row],[Table Name]],Tables[[Name]:[Table]],2,0) &amp; "`  AUTO_INCREMENT=" &amp; [Last ID]+1&amp;"');","")</f>
        <v/>
      </c>
      <c r="K4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60" t="s">
        <v>780</v>
      </c>
      <c r="B47" s="60" t="s">
        <v>762</v>
      </c>
      <c r="C47" s="60" t="str">
        <f>VLOOKUP([Table Name],Tables[],4,0)</f>
        <v>Firumon\LLM\Model</v>
      </c>
      <c r="D47" s="60" t="str">
        <f>VLOOKUP([Table Name],Tables[],5,0)</f>
        <v>ItemService</v>
      </c>
      <c r="E47" s="1" t="s">
        <v>161</v>
      </c>
      <c r="F47" s="1" t="s">
        <v>341</v>
      </c>
      <c r="G47" s="11">
        <v>2</v>
      </c>
      <c r="H47" s="6" t="s">
        <v>776</v>
      </c>
      <c r="I47" s="64"/>
      <c r="J47" s="61" t="str">
        <f>IF(ISNUMBER([Last ID]),"\DB::statement('ALTER TABLE `" &amp;VLOOKUP(SeedMap[[#This Row],[Table Name]],Tables[[Name]:[Table]],2,0) &amp; "`  AUTO_INCREMENT=" &amp; [Last ID]+1&amp;"');","")</f>
        <v/>
      </c>
      <c r="K4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60" t="s">
        <v>781</v>
      </c>
      <c r="B48" s="60" t="s">
        <v>765</v>
      </c>
      <c r="C48" s="60" t="str">
        <f>VLOOKUP([Table Name],Tables[],4,0)</f>
        <v>Firumon\LLM\Model</v>
      </c>
      <c r="D48" s="60" t="str">
        <f>VLOOKUP([Table Name],Tables[],5,0)</f>
        <v>UserService</v>
      </c>
      <c r="E48" s="1" t="s">
        <v>161</v>
      </c>
      <c r="F48" s="1" t="s">
        <v>341</v>
      </c>
      <c r="G48" s="11">
        <v>2</v>
      </c>
      <c r="H48" s="6" t="s">
        <v>776</v>
      </c>
      <c r="I48" s="64"/>
      <c r="J48" s="61" t="str">
        <f>IF(ISNUMBER([Last ID]),"\DB::statement('ALTER TABLE `" &amp;VLOOKUP(SeedMap[[#This Row],[Table Name]],Tables[[Name]:[Table]],2,0) &amp; "`  AUTO_INCREMENT=" &amp; [Last ID]+1&amp;"');","")</f>
        <v/>
      </c>
      <c r="K4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60" t="s">
        <v>782</v>
      </c>
      <c r="B49" s="60" t="s">
        <v>766</v>
      </c>
      <c r="C49" s="60" t="str">
        <f>VLOOKUP([Table Name],Tables[],4,0)</f>
        <v>Firumon\LLM\Model</v>
      </c>
      <c r="D49" s="60" t="str">
        <f>VLOOKUP([Table Name],Tables[],5,0)</f>
        <v>HubUser</v>
      </c>
      <c r="E49" s="1" t="s">
        <v>161</v>
      </c>
      <c r="F49" s="1" t="s">
        <v>341</v>
      </c>
      <c r="G49" s="11">
        <v>2</v>
      </c>
      <c r="H49" s="6" t="s">
        <v>776</v>
      </c>
      <c r="I49" s="64"/>
      <c r="J49" s="61" t="str">
        <f>IF(ISNUMBER([Last ID]),"\DB::statement('ALTER TABLE `" &amp;VLOOKUP(SeedMap[[#This Row],[Table Name]],Tables[[Name]:[Table]],2,0) &amp; "`  AUTO_INCREMENT=" &amp; [Last ID]+1&amp;"');","")</f>
        <v/>
      </c>
      <c r="K4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60" t="s">
        <v>1029</v>
      </c>
      <c r="B50" s="60" t="s">
        <v>1015</v>
      </c>
      <c r="C50" s="60" t="str">
        <f>VLOOKUP([Table Name],Tables[],4,0)</f>
        <v>Firumon\LLM\Model</v>
      </c>
      <c r="D50" s="60" t="str">
        <f>VLOOKUP([Table Name],Tables[],5,0)</f>
        <v>Shelf</v>
      </c>
      <c r="E50" s="1" t="s">
        <v>161</v>
      </c>
      <c r="F50" s="1" t="s">
        <v>341</v>
      </c>
      <c r="G50" s="11">
        <v>2</v>
      </c>
      <c r="H50" s="6" t="s">
        <v>776</v>
      </c>
      <c r="I50" s="64"/>
      <c r="J50" s="61" t="str">
        <f>IF(ISNUMBER([Last ID]),"\DB::statement('ALTER TABLE `" &amp;VLOOKUP(SeedMap[[#This Row],[Table Name]],Tables[[Name]:[Table]],2,0) &amp; "`  AUTO_INCREMENT=" &amp; [Last ID]+1&amp;"');","")</f>
        <v/>
      </c>
      <c r="K5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60" t="s">
        <v>1030</v>
      </c>
      <c r="B51" s="60" t="s">
        <v>1019</v>
      </c>
      <c r="C51" s="60" t="str">
        <f>VLOOKUP([Table Name],Tables[],4,0)</f>
        <v>Firumon\LLM\Model</v>
      </c>
      <c r="D51" s="60" t="str">
        <f>VLOOKUP([Table Name],Tables[],5,0)</f>
        <v>HubDefaultShelf</v>
      </c>
      <c r="E51" s="1" t="s">
        <v>161</v>
      </c>
      <c r="F51" s="1" t="s">
        <v>341</v>
      </c>
      <c r="G51" s="11">
        <v>2</v>
      </c>
      <c r="H51" s="6" t="s">
        <v>776</v>
      </c>
      <c r="I51" s="64"/>
      <c r="J51" s="61" t="str">
        <f>IF(ISNUMBER([Last ID]),"\DB::statement('ALTER TABLE `" &amp;VLOOKUP(SeedMap[[#This Row],[Table Name]],Tables[[Name]:[Table]],2,0) &amp; "`  AUTO_INCREMENT=" &amp; [Last ID]+1&amp;"');","")</f>
        <v/>
      </c>
      <c r="K5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60" t="s">
        <v>783</v>
      </c>
      <c r="B52" s="60" t="s">
        <v>763</v>
      </c>
      <c r="C52" s="60" t="str">
        <f>VLOOKUP([Table Name],Tables[],4,0)</f>
        <v>Firumon\LLM\Model</v>
      </c>
      <c r="D52" s="60" t="str">
        <f>VLOOKUP([Table Name],Tables[],5,0)</f>
        <v>Pricelist</v>
      </c>
      <c r="E52" s="1" t="s">
        <v>161</v>
      </c>
      <c r="F52" s="1" t="s">
        <v>341</v>
      </c>
      <c r="G52" s="11">
        <v>2</v>
      </c>
      <c r="H52" s="6" t="s">
        <v>776</v>
      </c>
      <c r="I52" s="64"/>
      <c r="J52" s="61" t="str">
        <f>IF(ISNUMBER([Last ID]),"\DB::statement('ALTER TABLE `" &amp;VLOOKUP(SeedMap[[#This Row],[Table Name]],Tables[[Name]:[Table]],2,0) &amp; "`  AUTO_INCREMENT=" &amp; [Last ID]+1&amp;"');","")</f>
        <v/>
      </c>
      <c r="K5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60" t="s">
        <v>784</v>
      </c>
      <c r="B53" s="60" t="s">
        <v>764</v>
      </c>
      <c r="C53" s="60" t="str">
        <f>VLOOKUP([Table Name],Tables[],4,0)</f>
        <v>Firumon\LLM\Model</v>
      </c>
      <c r="D53" s="60" t="str">
        <f>VLOOKUP([Table Name],Tables[],5,0)</f>
        <v>PricelistContent</v>
      </c>
      <c r="E53" s="1" t="s">
        <v>161</v>
      </c>
      <c r="F53" s="1" t="s">
        <v>341</v>
      </c>
      <c r="G53" s="11">
        <v>2</v>
      </c>
      <c r="H53" s="6" t="s">
        <v>776</v>
      </c>
      <c r="I53" s="64"/>
      <c r="J53" s="61" t="str">
        <f>IF(ISNUMBER([Last ID]),"\DB::statement('ALTER TABLE `" &amp;VLOOKUP(SeedMap[[#This Row],[Table Name]],Tables[[Name]:[Table]],2,0) &amp; "`  AUTO_INCREMENT=" &amp; [Last ID]+1&amp;"');","")</f>
        <v/>
      </c>
      <c r="K5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60" t="s">
        <v>785</v>
      </c>
      <c r="B54" s="60" t="s">
        <v>767</v>
      </c>
      <c r="C54" s="60" t="str">
        <f>VLOOKUP([Table Name],Tables[],4,0)</f>
        <v>Firumon\LLM\Model</v>
      </c>
      <c r="D54" s="60" t="str">
        <f>VLOOKUP([Table Name],Tables[],5,0)</f>
        <v>Customer</v>
      </c>
      <c r="E54" s="1" t="s">
        <v>161</v>
      </c>
      <c r="F54" s="1" t="s">
        <v>341</v>
      </c>
      <c r="G54" s="11">
        <v>2</v>
      </c>
      <c r="H54" s="6" t="s">
        <v>776</v>
      </c>
      <c r="I54" s="64"/>
      <c r="J54" s="61" t="str">
        <f>IF(ISNUMBER([Last ID]),"\DB::statement('ALTER TABLE `" &amp;VLOOKUP(SeedMap[[#This Row],[Table Name]],Tables[[Name]:[Table]],2,0) &amp; "`  AUTO_INCREMENT=" &amp; [Last ID]+1&amp;"');","")</f>
        <v/>
      </c>
      <c r="K5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60" t="s">
        <v>998</v>
      </c>
      <c r="B55" s="60" t="s">
        <v>1148</v>
      </c>
      <c r="C55" s="60" t="str">
        <f>VLOOKUP([Table Name],Tables[],4,0)</f>
        <v>Firumon\LLM\Model</v>
      </c>
      <c r="D55" s="60" t="str">
        <f>VLOOKUP([Table Name],Tables[],5,0)</f>
        <v>CustomerDetail</v>
      </c>
      <c r="E55" s="1" t="s">
        <v>161</v>
      </c>
      <c r="F55" s="1" t="s">
        <v>341</v>
      </c>
      <c r="G55" s="11">
        <v>2</v>
      </c>
      <c r="H55" s="6" t="s">
        <v>776</v>
      </c>
      <c r="I55" s="64"/>
      <c r="J55" s="61" t="str">
        <f>IF(ISNUMBER([Last ID]),"\DB::statement('ALTER TABLE `" &amp;VLOOKUP(SeedMap[[#This Row],[Table Name]],Tables[[Name]:[Table]],2,0) &amp; "`  AUTO_INCREMENT=" &amp; [Last ID]+1&amp;"');","")</f>
        <v/>
      </c>
      <c r="K5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60" t="s">
        <v>786</v>
      </c>
      <c r="B56" s="60" t="s">
        <v>770</v>
      </c>
      <c r="C56" s="60" t="str">
        <f>VLOOKUP([Table Name],Tables[],4,0)</f>
        <v>Firumon\LLM\Model</v>
      </c>
      <c r="D56" s="60" t="str">
        <f>VLOOKUP([Table Name],Tables[],5,0)</f>
        <v>IdentityLabel</v>
      </c>
      <c r="E56" s="1" t="s">
        <v>161</v>
      </c>
      <c r="F56" s="1" t="s">
        <v>341</v>
      </c>
      <c r="G56" s="11">
        <v>2</v>
      </c>
      <c r="H56" s="6" t="s">
        <v>776</v>
      </c>
      <c r="I56" s="64"/>
      <c r="J56" s="61" t="str">
        <f>IF(ISNUMBER([Last ID]),"\DB::statement('ALTER TABLE `" &amp;VLOOKUP(SeedMap[[#This Row],[Table Name]],Tables[[Name]:[Table]],2,0) &amp; "`  AUTO_INCREMENT=" &amp; [Last ID]+1&amp;"');","")</f>
        <v/>
      </c>
      <c r="K5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60" t="s">
        <v>787</v>
      </c>
      <c r="B57" s="60" t="s">
        <v>768</v>
      </c>
      <c r="C57" s="60" t="str">
        <f>VLOOKUP([Table Name],Tables[],4,0)</f>
        <v>Firumon\LLM\Model</v>
      </c>
      <c r="D57" s="60" t="str">
        <f>VLOOKUP([Table Name],Tables[],5,0)</f>
        <v>Order</v>
      </c>
      <c r="E57" s="1" t="s">
        <v>161</v>
      </c>
      <c r="F57" s="1" t="s">
        <v>341</v>
      </c>
      <c r="G57" s="11">
        <v>2</v>
      </c>
      <c r="H57" s="6" t="s">
        <v>776</v>
      </c>
      <c r="I57" s="64"/>
      <c r="J57" s="61" t="str">
        <f>IF(ISNUMBER([Last ID]),"\DB::statement('ALTER TABLE `" &amp;VLOOKUP(SeedMap[[#This Row],[Table Name]],Tables[[Name]:[Table]],2,0) &amp; "`  AUTO_INCREMENT=" &amp; [Last ID]+1&amp;"');","")</f>
        <v/>
      </c>
      <c r="K5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60" t="s">
        <v>788</v>
      </c>
      <c r="B58" s="60" t="s">
        <v>769</v>
      </c>
      <c r="C58" s="60" t="str">
        <f>VLOOKUP([Table Name],Tables[],4,0)</f>
        <v>Firumon\LLM\Model</v>
      </c>
      <c r="D58" s="60" t="str">
        <f>VLOOKUP([Table Name],Tables[],5,0)</f>
        <v>OrderItem</v>
      </c>
      <c r="E58" s="1" t="s">
        <v>161</v>
      </c>
      <c r="F58" s="1" t="s">
        <v>341</v>
      </c>
      <c r="G58" s="11">
        <v>2</v>
      </c>
      <c r="H58" s="6" t="s">
        <v>776</v>
      </c>
      <c r="I58" s="64"/>
      <c r="J58" s="61" t="str">
        <f>IF(ISNUMBER([Last ID]),"\DB::statement('ALTER TABLE `" &amp;VLOOKUP(SeedMap[[#This Row],[Table Name]],Tables[[Name]:[Table]],2,0) &amp; "`  AUTO_INCREMENT=" &amp; [Last ID]+1&amp;"');","")</f>
        <v/>
      </c>
      <c r="K5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60" t="s">
        <v>789</v>
      </c>
      <c r="B59" s="60" t="s">
        <v>771</v>
      </c>
      <c r="C59" s="60" t="str">
        <f>VLOOKUP([Table Name],Tables[],4,0)</f>
        <v>Firumon\LLM\Model</v>
      </c>
      <c r="D59" s="60" t="str">
        <f>VLOOKUP([Table Name],Tables[],5,0)</f>
        <v>OrderItemService</v>
      </c>
      <c r="E59" s="1" t="s">
        <v>161</v>
      </c>
      <c r="F59" s="1" t="s">
        <v>341</v>
      </c>
      <c r="G59" s="11">
        <v>2</v>
      </c>
      <c r="H59" s="6" t="s">
        <v>776</v>
      </c>
      <c r="I59" s="64"/>
      <c r="J59" s="61" t="str">
        <f>IF(ISNUMBER([Last ID]),"\DB::statement('ALTER TABLE `" &amp;VLOOKUP(SeedMap[[#This Row],[Table Name]],Tables[[Name]:[Table]],2,0) &amp; "`  AUTO_INCREMENT=" &amp; [Last ID]+1&amp;"');","")</f>
        <v/>
      </c>
      <c r="K5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60" t="s">
        <v>893</v>
      </c>
      <c r="B60" s="60" t="s">
        <v>842</v>
      </c>
      <c r="C60" s="60" t="str">
        <f>VLOOKUP([Table Name],Tables[],4,0)</f>
        <v>Firumon\LLM\Model</v>
      </c>
      <c r="D60" s="60" t="str">
        <f>VLOOKUP([Table Name],Tables[],5,0)</f>
        <v>Invoice</v>
      </c>
      <c r="E60" s="1" t="s">
        <v>161</v>
      </c>
      <c r="F60" s="1" t="s">
        <v>341</v>
      </c>
      <c r="G60" s="11">
        <v>2</v>
      </c>
      <c r="H60" s="6" t="s">
        <v>776</v>
      </c>
      <c r="I60" s="64"/>
      <c r="J60" s="61" t="str">
        <f>IF(ISNUMBER([Last ID]),"\DB::statement('ALTER TABLE `" &amp;VLOOKUP(SeedMap[[#This Row],[Table Name]],Tables[[Name]:[Table]],2,0) &amp; "`  AUTO_INCREMENT=" &amp; [Last ID]+1&amp;"');","")</f>
        <v/>
      </c>
      <c r="K6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60" t="s">
        <v>894</v>
      </c>
      <c r="B61" s="60" t="s">
        <v>843</v>
      </c>
      <c r="C61" s="60" t="str">
        <f>VLOOKUP([Table Name],Tables[],4,0)</f>
        <v>Firumon\LLM\Model</v>
      </c>
      <c r="D61" s="60" t="str">
        <f>VLOOKUP([Table Name],Tables[],5,0)</f>
        <v>InvoiceItem</v>
      </c>
      <c r="E61" s="1" t="s">
        <v>161</v>
      </c>
      <c r="F61" s="1" t="s">
        <v>341</v>
      </c>
      <c r="G61" s="11">
        <v>2</v>
      </c>
      <c r="H61" s="6" t="s">
        <v>776</v>
      </c>
      <c r="I61" s="64"/>
      <c r="J61" s="61" t="str">
        <f>IF(ISNUMBER([Last ID]),"\DB::statement('ALTER TABLE `" &amp;VLOOKUP(SeedMap[[#This Row],[Table Name]],Tables[[Name]:[Table]],2,0) &amp; "`  AUTO_INCREMENT=" &amp; [Last ID]+1&amp;"');","")</f>
        <v/>
      </c>
      <c r="K6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60" t="s">
        <v>790</v>
      </c>
      <c r="B62" s="60" t="s">
        <v>772</v>
      </c>
      <c r="C62" s="60" t="str">
        <f>VLOOKUP([Table Name],Tables[],4,0)</f>
        <v>Firumon\LLM\Model</v>
      </c>
      <c r="D62" s="60" t="str">
        <f>VLOOKUP([Table Name],Tables[],5,0)</f>
        <v>OrderItemServiceUser</v>
      </c>
      <c r="E62" s="1" t="s">
        <v>161</v>
      </c>
      <c r="F62" s="1" t="s">
        <v>341</v>
      </c>
      <c r="G62" s="11">
        <v>2</v>
      </c>
      <c r="H62" s="6" t="s">
        <v>776</v>
      </c>
      <c r="I62" s="64"/>
      <c r="J62" s="61" t="str">
        <f>IF(ISNUMBER([Last ID]),"\DB::statement('ALTER TABLE `" &amp;VLOOKUP(SeedMap[[#This Row],[Table Name]],Tables[[Name]:[Table]],2,0) &amp; "`  AUTO_INCREMENT=" &amp; [Last ID]+1&amp;"');","")</f>
        <v/>
      </c>
      <c r="K6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60" t="s">
        <v>791</v>
      </c>
      <c r="B63" s="60" t="s">
        <v>773</v>
      </c>
      <c r="C63" s="60" t="str">
        <f>VLOOKUP([Table Name],Tables[],4,0)</f>
        <v>Firumon\LLM\Model</v>
      </c>
      <c r="D63" s="60" t="str">
        <f>VLOOKUP([Table Name],Tables[],5,0)</f>
        <v>Receipt</v>
      </c>
      <c r="E63" s="1" t="s">
        <v>161</v>
      </c>
      <c r="F63" s="1" t="s">
        <v>341</v>
      </c>
      <c r="G63" s="11">
        <v>2</v>
      </c>
      <c r="H63" s="6" t="s">
        <v>776</v>
      </c>
      <c r="I63" s="64"/>
      <c r="J63" s="61" t="str">
        <f>IF(ISNUMBER([Last ID]),"\DB::statement('ALTER TABLE `" &amp;VLOOKUP(SeedMap[[#This Row],[Table Name]],Tables[[Name]:[Table]],2,0) &amp; "`  AUTO_INCREMENT=" &amp; [Last ID]+1&amp;"');","")</f>
        <v/>
      </c>
      <c r="K6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60" t="s">
        <v>912</v>
      </c>
      <c r="B64" s="60" t="s">
        <v>852</v>
      </c>
      <c r="C64" s="60" t="str">
        <f>VLOOKUP([Table Name],Tables[],4,0)</f>
        <v>Firumon\LLM\Model</v>
      </c>
      <c r="D64" s="60" t="str">
        <f>VLOOKUP([Table Name],Tables[],5,0)</f>
        <v>Delivery</v>
      </c>
      <c r="E64" s="1" t="s">
        <v>161</v>
      </c>
      <c r="F64" s="1" t="s">
        <v>341</v>
      </c>
      <c r="G64" s="11">
        <v>2</v>
      </c>
      <c r="H64" s="6" t="s">
        <v>776</v>
      </c>
      <c r="I64" s="64"/>
      <c r="J64" s="61" t="str">
        <f>IF(ISNUMBER([Last ID]),"\DB::statement('ALTER TABLE `" &amp;VLOOKUP(SeedMap[[#This Row],[Table Name]],Tables[[Name]:[Table]],2,0) &amp; "`  AUTO_INCREMENT=" &amp; [Last ID]+1&amp;"');","")</f>
        <v/>
      </c>
      <c r="K6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60" t="s">
        <v>1003</v>
      </c>
      <c r="B65" s="62" t="s">
        <v>999</v>
      </c>
      <c r="C65" s="62" t="str">
        <f>VLOOKUP([Table Name],Tables[],4,0)</f>
        <v>Firumon\LLM\Model</v>
      </c>
      <c r="D65" s="62" t="str">
        <f>VLOOKUP([Table Name],Tables[],5,0)</f>
        <v>DeliveryItem</v>
      </c>
      <c r="E65" s="1" t="s">
        <v>161</v>
      </c>
      <c r="F65" s="1" t="s">
        <v>341</v>
      </c>
      <c r="G65" s="11">
        <v>2</v>
      </c>
      <c r="H65" s="6" t="s">
        <v>776</v>
      </c>
      <c r="I65" s="65"/>
      <c r="J65" s="63" t="str">
        <f>IF(ISNUMBER([Last ID]),"\DB::statement('ALTER TABLE `" &amp;VLOOKUP(SeedMap[[#This Row],[Table Name]],Tables[[Name]:[Table]],2,0) &amp; "`  AUTO_INCREMENT=" &amp; [Last ID]+1&amp;"');","")</f>
        <v/>
      </c>
      <c r="K65" s="63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62" t="s">
        <v>792</v>
      </c>
      <c r="B66" s="60" t="s">
        <v>774</v>
      </c>
      <c r="C66" s="60" t="str">
        <f>VLOOKUP([Table Name],Tables[],4,0)</f>
        <v>Firumon\LLM\Model</v>
      </c>
      <c r="D66" s="60" t="str">
        <f>VLOOKUP([Table Name],Tables[],5,0)</f>
        <v>HubShift</v>
      </c>
      <c r="E66" s="1" t="s">
        <v>161</v>
      </c>
      <c r="F66" s="1" t="s">
        <v>341</v>
      </c>
      <c r="G66" s="11">
        <v>2</v>
      </c>
      <c r="H66" s="6" t="s">
        <v>776</v>
      </c>
      <c r="I66" s="64"/>
      <c r="J66" s="61" t="str">
        <f>IF(ISNUMBER([Last ID]),"\DB::statement('ALTER TABLE `" &amp;VLOOKUP(SeedMap[[#This Row],[Table Name]],Tables[[Name]:[Table]],2,0) &amp; "`  AUTO_INCREMENT=" &amp; [Last ID]+1&amp;"');","")</f>
        <v/>
      </c>
      <c r="K6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60" t="s">
        <v>793</v>
      </c>
      <c r="B67" s="60" t="s">
        <v>775</v>
      </c>
      <c r="C67" s="60" t="str">
        <f>VLOOKUP([Table Name],Tables[],4,0)</f>
        <v>Firumon\LLM\Model</v>
      </c>
      <c r="D67" s="60" t="str">
        <f>VLOOKUP([Table Name],Tables[],5,0)</f>
        <v>HubShiftItem</v>
      </c>
      <c r="E67" s="1" t="s">
        <v>161</v>
      </c>
      <c r="F67" s="1" t="s">
        <v>341</v>
      </c>
      <c r="G67" s="11">
        <v>2</v>
      </c>
      <c r="H67" s="6" t="s">
        <v>776</v>
      </c>
      <c r="I67" s="64"/>
      <c r="J67" s="61" t="str">
        <f>IF(ISNUMBER([Last ID]),"\DB::statement('ALTER TABLE `" &amp;VLOOKUP(SeedMap[[#This Row],[Table Name]],Tables[[Name]:[Table]],2,0) &amp; "`  AUTO_INCREMENT=" &amp; [Last ID]+1&amp;"');","")</f>
        <v/>
      </c>
      <c r="K6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7">
      <formula1>TableNames</formula1>
    </dataValidation>
    <dataValidation type="list" allowBlank="1" showInputMessage="1" showErrorMessage="1" sqref="H2:H67">
      <formula1>"truncate,query"</formula1>
    </dataValidation>
  </dataValidations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58"/>
  <sheetViews>
    <sheetView topLeftCell="A24" workbookViewId="0">
      <selection activeCell="D42" sqref="D42"/>
    </sheetView>
  </sheetViews>
  <sheetFormatPr defaultRowHeight="15"/>
  <cols>
    <col min="1" max="16384" width="9.140625" style="20"/>
  </cols>
  <sheetData>
    <row r="1" spans="1:20" s="28" customFormat="1" ht="15" customHeight="1">
      <c r="A1" s="122" t="s">
        <v>94</v>
      </c>
      <c r="B1" s="122"/>
      <c r="C1" s="122"/>
      <c r="D1" s="122"/>
      <c r="E1" s="123" t="str">
        <f>"\"&amp;VLOOKUP($A$1,SeedMap[],3,0)&amp;"\"&amp;VLOOKUP($A$1,SeedMap[],4,0)&amp;"::"&amp;VLOOKUP($A$1,SeedMap[],8,0)&amp;"()"</f>
        <v>\Milestone\Appframe\Model\ResourceRole::query()</v>
      </c>
      <c r="F1" s="123"/>
      <c r="G1" s="123"/>
      <c r="H1" s="123"/>
      <c r="I1" s="124" t="s">
        <v>73</v>
      </c>
      <c r="J1" s="124"/>
      <c r="K1" s="124"/>
      <c r="L1" s="124"/>
      <c r="M1" s="124"/>
      <c r="N1" s="124"/>
      <c r="O1" s="124"/>
      <c r="P1" s="124"/>
      <c r="Q1" s="124"/>
      <c r="R1" s="124"/>
      <c r="S1" s="23" t="str">
        <f>""</f>
        <v/>
      </c>
      <c r="T1" s="10"/>
    </row>
    <row r="2" spans="1:20" s="28" customFormat="1" ht="15" customHeight="1">
      <c r="A2" s="122"/>
      <c r="B2" s="122"/>
      <c r="C2" s="122"/>
      <c r="D2" s="122"/>
      <c r="E2" s="123" t="str">
        <f>VLOOKUP($A$1,SeedMap[],5,0)</f>
        <v>TableData</v>
      </c>
      <c r="F2" s="123"/>
      <c r="G2" s="123"/>
      <c r="H2" s="123"/>
      <c r="I2" s="124" t="s">
        <v>72</v>
      </c>
      <c r="J2" s="124"/>
      <c r="K2" s="124"/>
      <c r="L2" s="124"/>
      <c r="M2" s="124"/>
      <c r="N2" s="124"/>
      <c r="O2" s="124"/>
      <c r="P2" s="124"/>
      <c r="Q2" s="124"/>
      <c r="R2" s="124"/>
      <c r="S2" s="23" t="str">
        <f>";"</f>
        <v>;</v>
      </c>
      <c r="T2" s="10"/>
    </row>
    <row r="3" spans="1:20" s="28" customFormat="1" ht="15" customHeight="1">
      <c r="A3" s="122"/>
      <c r="B3" s="122"/>
      <c r="C3" s="122"/>
      <c r="D3" s="122"/>
      <c r="E3" s="123" t="str">
        <f>VLOOKUP($A$1,SeedMap[],6,0)</f>
        <v>[[TRCode]:[15]]</v>
      </c>
      <c r="F3" s="123"/>
      <c r="G3" s="123"/>
      <c r="H3" s="123"/>
      <c r="I3" s="124" t="s">
        <v>158</v>
      </c>
      <c r="J3" s="124"/>
      <c r="K3" s="124"/>
      <c r="L3" s="124"/>
      <c r="M3" s="124"/>
      <c r="N3" s="124"/>
      <c r="O3" s="124"/>
      <c r="P3" s="124"/>
      <c r="Q3" s="124"/>
      <c r="R3" s="124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role</v>
      </c>
      <c r="F5" s="25" t="str">
        <f t="shared" ca="1" si="1"/>
        <v>actions_availability</v>
      </c>
      <c r="G5" s="25" t="str">
        <f t="shared" ca="1" si="1"/>
        <v>actions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>
      <c r="A6" s="24"/>
      <c r="B6" s="119" t="str">
        <f>$I$1</f>
        <v>$_ = \DB::statement('SELECT @@GLOBAL.foreign_key_checks');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0"/>
      <c r="T6" s="10"/>
    </row>
    <row r="7" spans="1:20">
      <c r="A7" s="24"/>
      <c r="B7" s="120" t="str">
        <f>$I$2</f>
        <v>\DB::statement('set foreign_key_checks = 0');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</row>
    <row r="8" spans="1:20">
      <c r="A8" s="24"/>
      <c r="B8" s="121" t="str">
        <f>$E$1</f>
        <v>\Milestone\Appframe\Model\ResourceRole::query()</v>
      </c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'2107101',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'2106101', </v>
      </c>
      <c r="E9" s="50" t="str">
        <f t="shared" ca="1" si="2"/>
        <v xml:space="preserve">'role' =&gt; '2104101', </v>
      </c>
      <c r="F9" s="50" t="str">
        <f t="shared" ca="1" si="2"/>
        <v xml:space="preserve">'actions_availability' =&gt; 'All',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'2107102', </v>
      </c>
      <c r="D10" s="50" t="str">
        <f t="shared" ca="1" si="2"/>
        <v xml:space="preserve">'resource' =&gt; '2106102', </v>
      </c>
      <c r="E10" s="50" t="str">
        <f t="shared" ca="1" si="2"/>
        <v xml:space="preserve">'role' =&gt; '2104101', </v>
      </c>
      <c r="F10" s="50" t="str">
        <f t="shared" ca="1" si="2"/>
        <v xml:space="preserve">'actions_availability' =&gt; 'All',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'2107103', </v>
      </c>
      <c r="D11" s="50" t="str">
        <f t="shared" ca="1" si="2"/>
        <v xml:space="preserve">'resource' =&gt; '2106103', </v>
      </c>
      <c r="E11" s="50" t="str">
        <f t="shared" ca="1" si="2"/>
        <v xml:space="preserve">'role' =&gt; '2104101', </v>
      </c>
      <c r="F11" s="50" t="str">
        <f t="shared" ca="1" si="2"/>
        <v xml:space="preserve">'actions_availability' =&gt; 'All',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'2107104', </v>
      </c>
      <c r="D12" s="50" t="str">
        <f t="shared" ca="1" si="2"/>
        <v xml:space="preserve">'resource' =&gt; '2106104', </v>
      </c>
      <c r="E12" s="50" t="str">
        <f t="shared" ca="1" si="2"/>
        <v xml:space="preserve">'role' =&gt; '2104101', </v>
      </c>
      <c r="F12" s="50" t="str">
        <f t="shared" ca="1" si="2"/>
        <v xml:space="preserve">'actions_availability' =&gt; 'All',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'2107105', </v>
      </c>
      <c r="D13" s="50" t="str">
        <f t="shared" ca="1" si="2"/>
        <v xml:space="preserve">'resource' =&gt; '2106105', </v>
      </c>
      <c r="E13" s="50" t="str">
        <f t="shared" ca="1" si="2"/>
        <v xml:space="preserve">'role' =&gt; '2104101', </v>
      </c>
      <c r="F13" s="50" t="str">
        <f t="shared" ca="1" si="2"/>
        <v xml:space="preserve">'actions_availability' =&gt; 'All',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'2107106', </v>
      </c>
      <c r="D14" s="50" t="str">
        <f t="shared" ca="1" si="2"/>
        <v xml:space="preserve">'resource' =&gt; '2106106', </v>
      </c>
      <c r="E14" s="50" t="str">
        <f t="shared" ca="1" si="2"/>
        <v xml:space="preserve">'role' =&gt; '2104101', </v>
      </c>
      <c r="F14" s="50" t="str">
        <f t="shared" ca="1" si="2"/>
        <v xml:space="preserve">'actions_availability' =&gt; 'All', </v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'2107107', </v>
      </c>
      <c r="D15" s="50" t="str">
        <f t="shared" ca="1" si="2"/>
        <v xml:space="preserve">'resource' =&gt; '2106107', </v>
      </c>
      <c r="E15" s="50" t="str">
        <f t="shared" ca="1" si="2"/>
        <v xml:space="preserve">'role' =&gt; '2104101', </v>
      </c>
      <c r="F15" s="50" t="str">
        <f t="shared" ca="1" si="2"/>
        <v xml:space="preserve">'actions_availability' =&gt; 'All', </v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'2107108', </v>
      </c>
      <c r="D16" s="50" t="str">
        <f t="shared" ca="1" si="2"/>
        <v xml:space="preserve">'resource' =&gt; '2106108', </v>
      </c>
      <c r="E16" s="50" t="str">
        <f t="shared" ca="1" si="2"/>
        <v xml:space="preserve">'role' =&gt; '2104101', </v>
      </c>
      <c r="F16" s="50" t="str">
        <f t="shared" ca="1" si="2"/>
        <v xml:space="preserve">'actions_availability' =&gt; 'All', </v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'2107109', </v>
      </c>
      <c r="D17" s="50" t="str">
        <f t="shared" ca="1" si="2"/>
        <v xml:space="preserve">'resource' =&gt; '2106109', </v>
      </c>
      <c r="E17" s="50" t="str">
        <f t="shared" ca="1" si="2"/>
        <v xml:space="preserve">'role' =&gt; '2104101', </v>
      </c>
      <c r="F17" s="50" t="str">
        <f t="shared" ca="1" si="2"/>
        <v xml:space="preserve">'actions_availability' =&gt; 'All', </v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'2107110', </v>
      </c>
      <c r="D18" s="50" t="str">
        <f t="shared" ca="1" si="2"/>
        <v xml:space="preserve">'resource' =&gt; '2106110', </v>
      </c>
      <c r="E18" s="50" t="str">
        <f t="shared" ca="1" si="2"/>
        <v xml:space="preserve">'role' =&gt; '2104101', </v>
      </c>
      <c r="F18" s="50" t="str">
        <f t="shared" ca="1" si="2"/>
        <v xml:space="preserve">'actions_availability' =&gt; 'All', </v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'2107111', </v>
      </c>
      <c r="D19" s="50" t="str">
        <f t="shared" ca="1" si="2"/>
        <v xml:space="preserve">'resource' =&gt; '2106111', </v>
      </c>
      <c r="E19" s="50" t="str">
        <f t="shared" ca="1" si="2"/>
        <v xml:space="preserve">'role' =&gt; '2104101', </v>
      </c>
      <c r="F19" s="50" t="str">
        <f t="shared" ca="1" si="2"/>
        <v xml:space="preserve">'actions_availability' =&gt; 'All', </v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'2107112', </v>
      </c>
      <c r="D20" s="50" t="str">
        <f t="shared" ca="1" si="2"/>
        <v xml:space="preserve">'resource' =&gt; '2106112', </v>
      </c>
      <c r="E20" s="50" t="str">
        <f t="shared" ca="1" si="2"/>
        <v xml:space="preserve">'role' =&gt; '2104101', </v>
      </c>
      <c r="F20" s="50" t="str">
        <f t="shared" ca="1" si="2"/>
        <v xml:space="preserve">'actions_availability' =&gt; 'All', </v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'2107113', </v>
      </c>
      <c r="D21" s="50" t="str">
        <f t="shared" ca="1" si="2"/>
        <v xml:space="preserve">'resource' =&gt; '2106113', </v>
      </c>
      <c r="E21" s="50" t="str">
        <f t="shared" ca="1" si="2"/>
        <v xml:space="preserve">'role' =&gt; '2104101', </v>
      </c>
      <c r="F21" s="50" t="str">
        <f t="shared" ca="1" si="2"/>
        <v xml:space="preserve">'actions_availability' =&gt; 'All', </v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'2107114', </v>
      </c>
      <c r="D22" s="50" t="str">
        <f t="shared" ca="1" si="2"/>
        <v xml:space="preserve">'resource' =&gt; '2106114', </v>
      </c>
      <c r="E22" s="50" t="str">
        <f t="shared" ca="1" si="2"/>
        <v xml:space="preserve">'role' =&gt; '2104101', </v>
      </c>
      <c r="F22" s="50" t="str">
        <f t="shared" ca="1" si="2"/>
        <v xml:space="preserve">'actions_availability' =&gt; 'All', </v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'2107115', </v>
      </c>
      <c r="D23" s="50" t="str">
        <f t="shared" ca="1" si="2"/>
        <v xml:space="preserve">'resource' =&gt; '2106115', </v>
      </c>
      <c r="E23" s="50" t="str">
        <f t="shared" ca="1" si="2"/>
        <v xml:space="preserve">'role' =&gt; '2104101', </v>
      </c>
      <c r="F23" s="50" t="str">
        <f t="shared" ca="1" si="2"/>
        <v xml:space="preserve">'actions_availability' =&gt; 'All', </v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'2107116', </v>
      </c>
      <c r="D24" s="50" t="str">
        <f t="shared" ca="1" si="2"/>
        <v xml:space="preserve">'resource' =&gt; '2106116', </v>
      </c>
      <c r="E24" s="50" t="str">
        <f t="shared" ca="1" si="2"/>
        <v xml:space="preserve">'role' =&gt; '2104101', </v>
      </c>
      <c r="F24" s="50" t="str">
        <f t="shared" ca="1" si="2"/>
        <v xml:space="preserve">'actions_availability' =&gt; 'All', </v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'2107117', </v>
      </c>
      <c r="D25" s="50" t="str">
        <f t="shared" ca="1" si="4"/>
        <v xml:space="preserve">'resource' =&gt; '2106117', </v>
      </c>
      <c r="E25" s="50" t="str">
        <f t="shared" ca="1" si="4"/>
        <v xml:space="preserve">'role' =&gt; '2104101', </v>
      </c>
      <c r="F25" s="50" t="str">
        <f t="shared" ca="1" si="4"/>
        <v xml:space="preserve">'actions_availability' =&gt; 'All', </v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'2107118', </v>
      </c>
      <c r="D26" s="50" t="str">
        <f t="shared" ca="1" si="4"/>
        <v xml:space="preserve">'resource' =&gt; '2106118', </v>
      </c>
      <c r="E26" s="50" t="str">
        <f t="shared" ca="1" si="4"/>
        <v xml:space="preserve">'role' =&gt; '2104101', </v>
      </c>
      <c r="F26" s="50" t="str">
        <f t="shared" ca="1" si="4"/>
        <v xml:space="preserve">'actions_availability' =&gt; 'All', </v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'2107119', </v>
      </c>
      <c r="D27" s="50" t="str">
        <f t="shared" ca="1" si="4"/>
        <v xml:space="preserve">'resource' =&gt; '2106119', </v>
      </c>
      <c r="E27" s="50" t="str">
        <f t="shared" ca="1" si="4"/>
        <v xml:space="preserve">'role' =&gt; '2104101', </v>
      </c>
      <c r="F27" s="50" t="str">
        <f t="shared" ca="1" si="4"/>
        <v xml:space="preserve">'actions_availability' =&gt; 'All', </v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'2107120', </v>
      </c>
      <c r="D28" s="50" t="str">
        <f t="shared" ca="1" si="4"/>
        <v xml:space="preserve">'resource' =&gt; '2106120', </v>
      </c>
      <c r="E28" s="50" t="str">
        <f t="shared" ca="1" si="4"/>
        <v xml:space="preserve">'role' =&gt; '2104101', </v>
      </c>
      <c r="F28" s="50" t="str">
        <f t="shared" ca="1" si="4"/>
        <v xml:space="preserve">'actions_availability' =&gt; 'All', </v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'2107121', </v>
      </c>
      <c r="D29" s="50" t="str">
        <f t="shared" ca="1" si="4"/>
        <v xml:space="preserve">'resource' =&gt; '2106121', </v>
      </c>
      <c r="E29" s="50" t="str">
        <f t="shared" ca="1" si="4"/>
        <v xml:space="preserve">'role' =&gt; '2104101', </v>
      </c>
      <c r="F29" s="50" t="str">
        <f t="shared" ca="1" si="4"/>
        <v xml:space="preserve">'actions_availability' =&gt; 'All', </v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'2107122', </v>
      </c>
      <c r="D30" s="50" t="str">
        <f t="shared" ca="1" si="4"/>
        <v xml:space="preserve">'resource' =&gt; '2106122', </v>
      </c>
      <c r="E30" s="50" t="str">
        <f t="shared" ca="1" si="4"/>
        <v xml:space="preserve">'role' =&gt; '2104101', </v>
      </c>
      <c r="F30" s="50" t="str">
        <f t="shared" ca="1" si="4"/>
        <v xml:space="preserve">'actions_availability' =&gt; 'All', </v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'2107123', </v>
      </c>
      <c r="D31" s="50" t="str">
        <f t="shared" ca="1" si="4"/>
        <v xml:space="preserve">'resource' =&gt; '2106123', </v>
      </c>
      <c r="E31" s="50" t="str">
        <f t="shared" ca="1" si="4"/>
        <v xml:space="preserve">'role' =&gt; '2104101', </v>
      </c>
      <c r="F31" s="50" t="str">
        <f t="shared" ca="1" si="4"/>
        <v xml:space="preserve">'actions_availability' =&gt; 'All', </v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'2107124', </v>
      </c>
      <c r="D32" s="50" t="str">
        <f t="shared" ca="1" si="4"/>
        <v xml:space="preserve">'resource' =&gt; '2106124', </v>
      </c>
      <c r="E32" s="50" t="str">
        <f t="shared" ca="1" si="4"/>
        <v xml:space="preserve">'role' =&gt; '2104101', </v>
      </c>
      <c r="F32" s="50" t="str">
        <f t="shared" ca="1" si="4"/>
        <v xml:space="preserve">'actions_availability' =&gt; 'All', </v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'2107125', </v>
      </c>
      <c r="D33" s="50" t="str">
        <f t="shared" ca="1" si="4"/>
        <v xml:space="preserve">'resource' =&gt; '2106125', </v>
      </c>
      <c r="E33" s="50" t="str">
        <f t="shared" ca="1" si="4"/>
        <v xml:space="preserve">'role' =&gt; '2104101', </v>
      </c>
      <c r="F33" s="50" t="str">
        <f t="shared" ca="1" si="4"/>
        <v xml:space="preserve">'actions_availability' =&gt; 'All', </v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'2107126', </v>
      </c>
      <c r="D34" s="50" t="str">
        <f t="shared" ca="1" si="4"/>
        <v xml:space="preserve">'resource' =&gt; '2106126', </v>
      </c>
      <c r="E34" s="50" t="str">
        <f t="shared" ca="1" si="4"/>
        <v xml:space="preserve">'role' =&gt; '2104101', </v>
      </c>
      <c r="F34" s="50" t="str">
        <f t="shared" ca="1" si="4"/>
        <v xml:space="preserve">'actions_availability' =&gt; 'All', </v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'2107127', </v>
      </c>
      <c r="D35" s="50" t="str">
        <f t="shared" ca="1" si="4"/>
        <v xml:space="preserve">'resource' =&gt; '2106127', </v>
      </c>
      <c r="E35" s="50" t="str">
        <f t="shared" ca="1" si="4"/>
        <v xml:space="preserve">'role' =&gt; '2104101', </v>
      </c>
      <c r="F35" s="50" t="str">
        <f t="shared" ca="1" si="4"/>
        <v xml:space="preserve">'actions_availability' =&gt; 'All', </v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'2107128', </v>
      </c>
      <c r="D36" s="50" t="str">
        <f t="shared" ca="1" si="4"/>
        <v xml:space="preserve">'resource' =&gt; '2106128', </v>
      </c>
      <c r="E36" s="50" t="str">
        <f t="shared" ca="1" si="4"/>
        <v xml:space="preserve">'role' =&gt; '2104101', </v>
      </c>
      <c r="F36" s="50" t="str">
        <f t="shared" ca="1" si="4"/>
        <v xml:space="preserve">'actions_availability' =&gt; 'All', </v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'2107129', </v>
      </c>
      <c r="D37" s="50" t="str">
        <f t="shared" ca="1" si="4"/>
        <v xml:space="preserve">'resource' =&gt; '2106104', </v>
      </c>
      <c r="E37" s="50" t="str">
        <f t="shared" ca="1" si="4"/>
        <v xml:space="preserve">'role' =&gt; '2104103', </v>
      </c>
      <c r="F37" s="50" t="str">
        <f t="shared" ca="1" si="4"/>
        <v xml:space="preserve">'actions_availability' =&gt; 'Only', </v>
      </c>
      <c r="G37" s="50" t="str">
        <f t="shared" ca="1" si="4"/>
        <v xml:space="preserve">'actions' =&gt; '2133119,2133181', </v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'2107130', </v>
      </c>
      <c r="D38" s="50" t="str">
        <f t="shared" ca="1" si="4"/>
        <v xml:space="preserve">'resource' =&gt; '2106105', </v>
      </c>
      <c r="E38" s="50" t="str">
        <f t="shared" ca="1" si="4"/>
        <v xml:space="preserve">'role' =&gt; '2104103', </v>
      </c>
      <c r="F38" s="50" t="str">
        <f t="shared" ca="1" si="4"/>
        <v xml:space="preserve">'actions_availability' =&gt; 'All', </v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'2107131', </v>
      </c>
      <c r="D39" s="50" t="str">
        <f t="shared" ca="1" si="4"/>
        <v xml:space="preserve">'resource' =&gt; '2106113', </v>
      </c>
      <c r="E39" s="50" t="str">
        <f t="shared" ca="1" si="4"/>
        <v xml:space="preserve">'role' =&gt; '2104103', </v>
      </c>
      <c r="F39" s="50" t="str">
        <f t="shared" ca="1" si="4"/>
        <v xml:space="preserve">'actions_availability' =&gt; 'All', </v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'2107132', </v>
      </c>
      <c r="D40" s="50" t="str">
        <f t="shared" ca="1" si="4"/>
        <v xml:space="preserve">'resource' =&gt; '2106114', </v>
      </c>
      <c r="E40" s="50" t="str">
        <f t="shared" ca="1" si="4"/>
        <v xml:space="preserve">'role' =&gt; '2104103', </v>
      </c>
      <c r="F40" s="50" t="str">
        <f t="shared" ca="1" si="4"/>
        <v xml:space="preserve">'actions_availability' =&gt; 'All', </v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'2107133', </v>
      </c>
      <c r="D41" s="50" t="str">
        <f t="shared" ca="1" si="6"/>
        <v xml:space="preserve">'resource' =&gt; '2106117', </v>
      </c>
      <c r="E41" s="50" t="str">
        <f t="shared" ca="1" si="6"/>
        <v xml:space="preserve">'role' =&gt; '2104103', </v>
      </c>
      <c r="F41" s="50" t="str">
        <f t="shared" ca="1" si="6"/>
        <v xml:space="preserve">'actions_availability' =&gt; 'All', </v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'2107134', </v>
      </c>
      <c r="D42" s="50" t="str">
        <f t="shared" ca="1" si="6"/>
        <v xml:space="preserve">'resource' =&gt; '2106118', </v>
      </c>
      <c r="E42" s="50" t="str">
        <f t="shared" ca="1" si="6"/>
        <v xml:space="preserve">'role' =&gt; '2104103', </v>
      </c>
      <c r="F42" s="50" t="str">
        <f t="shared" ca="1" si="6"/>
        <v xml:space="preserve">'actions_availability' =&gt; 'Except', </v>
      </c>
      <c r="G42" s="50" t="str">
        <f t="shared" ca="1" si="6"/>
        <v xml:space="preserve">'actions' =&gt; '2133127', </v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'2107135', </v>
      </c>
      <c r="D43" s="50" t="str">
        <f t="shared" ca="1" si="6"/>
        <v xml:space="preserve">'resource' =&gt; '2106119', </v>
      </c>
      <c r="E43" s="50" t="str">
        <f t="shared" ca="1" si="6"/>
        <v xml:space="preserve">'role' =&gt; '2104103', </v>
      </c>
      <c r="F43" s="50" t="str">
        <f t="shared" ca="1" si="6"/>
        <v xml:space="preserve">'actions_availability' =&gt; 'All', </v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'2107136', </v>
      </c>
      <c r="D44" s="50" t="str">
        <f t="shared" ca="1" si="6"/>
        <v xml:space="preserve">'resource' =&gt; '2106120', </v>
      </c>
      <c r="E44" s="50" t="str">
        <f t="shared" ca="1" si="6"/>
        <v xml:space="preserve">'role' =&gt; '2104103', </v>
      </c>
      <c r="F44" s="50" t="str">
        <f t="shared" ca="1" si="6"/>
        <v xml:space="preserve">'actions_availability' =&gt; 'Except', </v>
      </c>
      <c r="G44" s="50" t="str">
        <f t="shared" ca="1" si="6"/>
        <v xml:space="preserve">'actions' =&gt; '2133176', </v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'2107137', </v>
      </c>
      <c r="D45" s="50" t="str">
        <f t="shared" ca="1" si="6"/>
        <v xml:space="preserve">'resource' =&gt; '2106121', </v>
      </c>
      <c r="E45" s="50" t="str">
        <f t="shared" ca="1" si="6"/>
        <v xml:space="preserve">'role' =&gt; '2104103', </v>
      </c>
      <c r="F45" s="50" t="str">
        <f t="shared" ca="1" si="6"/>
        <v xml:space="preserve">'actions_availability' =&gt; 'Except', </v>
      </c>
      <c r="G45" s="50" t="str">
        <f t="shared" ca="1" si="6"/>
        <v xml:space="preserve">'actions' =&gt; '2133128,2133172,2133177', </v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'2107138', </v>
      </c>
      <c r="D46" s="50" t="str">
        <f t="shared" ca="1" si="6"/>
        <v xml:space="preserve">'resource' =&gt; '2106122', </v>
      </c>
      <c r="E46" s="50" t="str">
        <f t="shared" ca="1" si="6"/>
        <v xml:space="preserve">'role' =&gt; '2104103', </v>
      </c>
      <c r="F46" s="50" t="str">
        <f t="shared" ca="1" si="6"/>
        <v xml:space="preserve">'actions_availability' =&gt; 'All', </v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'2107139', </v>
      </c>
      <c r="D47" s="50" t="str">
        <f t="shared" ca="1" si="6"/>
        <v xml:space="preserve">'resource' =&gt; '2106123', </v>
      </c>
      <c r="E47" s="50" t="str">
        <f t="shared" ca="1" si="6"/>
        <v xml:space="preserve">'role' =&gt; '2104103', </v>
      </c>
      <c r="F47" s="50" t="str">
        <f t="shared" ca="1" si="6"/>
        <v xml:space="preserve">'actions_availability' =&gt; 'Only', </v>
      </c>
      <c r="G47" s="50" t="str">
        <f t="shared" ca="1" si="6"/>
        <v xml:space="preserve">'actions' =&gt; '2133185,2133187,2133188,2133189', </v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'2107140', </v>
      </c>
      <c r="D48" s="50" t="str">
        <f t="shared" ca="1" si="6"/>
        <v xml:space="preserve">'resource' =&gt; '2106124', </v>
      </c>
      <c r="E48" s="50" t="str">
        <f t="shared" ca="1" si="6"/>
        <v xml:space="preserve">'role' =&gt; '2104103', </v>
      </c>
      <c r="F48" s="50" t="str">
        <f t="shared" ca="1" si="6"/>
        <v xml:space="preserve">'actions_availability' =&gt; 'Except', </v>
      </c>
      <c r="G48" s="50" t="str">
        <f t="shared" ca="1" si="6"/>
        <v xml:space="preserve">'actions' =&gt; '2133129', </v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'2107141', </v>
      </c>
      <c r="D49" s="50" t="str">
        <f t="shared" ca="1" si="6"/>
        <v xml:space="preserve">'resource' =&gt; '2106125', </v>
      </c>
      <c r="E49" s="50" t="str">
        <f t="shared" ca="1" si="6"/>
        <v xml:space="preserve">'role' =&gt; '2104103', </v>
      </c>
      <c r="F49" s="50" t="str">
        <f t="shared" ca="1" si="6"/>
        <v xml:space="preserve">'actions_availability' =&gt; 'Except', </v>
      </c>
      <c r="G49" s="50" t="str">
        <f t="shared" ca="1" si="6"/>
        <v xml:space="preserve">'actions' =&gt; '2133130', </v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'2107142', </v>
      </c>
      <c r="D50" s="50" t="str">
        <f t="shared" ca="1" si="6"/>
        <v xml:space="preserve">'resource' =&gt; '2106126', </v>
      </c>
      <c r="E50" s="50" t="str">
        <f t="shared" ca="1" si="6"/>
        <v xml:space="preserve">'role' =&gt; '2104103', </v>
      </c>
      <c r="F50" s="50" t="str">
        <f t="shared" ca="1" si="6"/>
        <v xml:space="preserve">'actions_availability' =&gt; 'All', </v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'2107143', </v>
      </c>
      <c r="D51" s="50" t="str">
        <f t="shared" ca="1" si="6"/>
        <v xml:space="preserve">'resource' =&gt; '2106127', </v>
      </c>
      <c r="E51" s="50" t="str">
        <f t="shared" ca="1" si="6"/>
        <v xml:space="preserve">'role' =&gt; '2104103', </v>
      </c>
      <c r="F51" s="50" t="str">
        <f t="shared" ca="1" si="6"/>
        <v xml:space="preserve">'actions_availability' =&gt; 'Except', </v>
      </c>
      <c r="G51" s="50" t="str">
        <f t="shared" ca="1" si="6"/>
        <v xml:space="preserve">'actions' =&gt; '2133131', </v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>
      <c r="A52" s="21">
        <v>44</v>
      </c>
      <c r="B52" s="22" t="str">
        <f t="shared" ca="1" si="3"/>
        <v>-&gt;create([</v>
      </c>
      <c r="C52" s="50" t="str">
        <f t="shared" ca="1" si="6"/>
        <v xml:space="preserve">'id' =&gt; '2107144', </v>
      </c>
      <c r="D52" s="50" t="str">
        <f t="shared" ca="1" si="6"/>
        <v xml:space="preserve">'resource' =&gt; '2106128', </v>
      </c>
      <c r="E52" s="50" t="str">
        <f t="shared" ca="1" si="6"/>
        <v xml:space="preserve">'role' =&gt; '2104103', </v>
      </c>
      <c r="F52" s="50" t="str">
        <f t="shared" ca="1" si="6"/>
        <v xml:space="preserve">'actions_availability' =&gt; 'All', </v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>])</v>
      </c>
    </row>
    <row r="53" spans="1:18">
      <c r="A53" s="21">
        <v>45</v>
      </c>
      <c r="B53" s="22" t="str">
        <f t="shared" ca="1" si="3"/>
        <v>-&gt;create([</v>
      </c>
      <c r="C53" s="50" t="str">
        <f t="shared" ca="1" si="6"/>
        <v xml:space="preserve">'id' =&gt; '2107145', </v>
      </c>
      <c r="D53" s="50" t="str">
        <f t="shared" ca="1" si="6"/>
        <v xml:space="preserve">'resource' =&gt; '2106123', </v>
      </c>
      <c r="E53" s="50" t="str">
        <f t="shared" ca="1" si="6"/>
        <v xml:space="preserve">'role' =&gt; '2104104', </v>
      </c>
      <c r="F53" s="50" t="str">
        <f t="shared" ca="1" si="6"/>
        <v xml:space="preserve">'actions_availability' =&gt; 'Only', </v>
      </c>
      <c r="G53" s="50" t="str">
        <f t="shared" ca="1" si="6"/>
        <v xml:space="preserve">'actions' =&gt; '2133185,2133190,2133191,2133192,2133193,2133194', </v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>])</v>
      </c>
    </row>
    <row r="54" spans="1:18">
      <c r="A54" s="21">
        <v>46</v>
      </c>
      <c r="B54" s="22" t="str">
        <f t="shared" ca="1" si="3"/>
        <v>;</v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>\DB::statement('set foreign_key_checks = ' . $_);</v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6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4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5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114" t="str">
        <f t="shared" ca="1" si="21"/>
        <v/>
      </c>
      <c r="D205" s="114" t="str">
        <f t="shared" ca="1" si="21"/>
        <v/>
      </c>
      <c r="E205" s="114" t="str">
        <f t="shared" ca="1" si="21"/>
        <v/>
      </c>
      <c r="F205" s="114" t="str">
        <f t="shared" ca="1" si="21"/>
        <v/>
      </c>
      <c r="G205" s="114" t="str">
        <f t="shared" ca="1" si="21"/>
        <v/>
      </c>
      <c r="H205" s="114" t="str">
        <f t="shared" ca="1" si="21"/>
        <v/>
      </c>
      <c r="I205" s="114" t="str">
        <f t="shared" ca="1" si="21"/>
        <v/>
      </c>
      <c r="J205" s="114" t="str">
        <f t="shared" ca="1" si="21"/>
        <v/>
      </c>
      <c r="K205" s="114" t="str">
        <f t="shared" ca="1" si="21"/>
        <v/>
      </c>
      <c r="L205" s="114" t="str">
        <f t="shared" ca="1" si="21"/>
        <v/>
      </c>
      <c r="M205" s="114" t="str">
        <f t="shared" ca="1" si="21"/>
        <v/>
      </c>
      <c r="N205" s="114" t="str">
        <f t="shared" ca="1" si="21"/>
        <v/>
      </c>
      <c r="O205" s="114" t="str">
        <f t="shared" ca="1" si="21"/>
        <v/>
      </c>
      <c r="P205" s="114" t="str">
        <f t="shared" ca="1" si="21"/>
        <v/>
      </c>
      <c r="Q205" s="114" t="str">
        <f t="shared" ca="1" si="21"/>
        <v/>
      </c>
      <c r="R205" s="114" t="str">
        <f t="shared" ref="R205:R209" ca="1" si="24">IF(B205=$S$4,$T$4,"")</f>
        <v/>
      </c>
    </row>
    <row r="206" spans="1:18">
      <c r="A206" s="21">
        <v>198</v>
      </c>
      <c r="B206" s="22" t="str">
        <f t="shared" ca="1" si="23"/>
        <v/>
      </c>
      <c r="C206" s="114" t="str">
        <f t="shared" ca="1" si="21"/>
        <v/>
      </c>
      <c r="D206" s="114" t="str">
        <f t="shared" ca="1" si="21"/>
        <v/>
      </c>
      <c r="E206" s="114" t="str">
        <f t="shared" ca="1" si="21"/>
        <v/>
      </c>
      <c r="F206" s="114" t="str">
        <f t="shared" ca="1" si="21"/>
        <v/>
      </c>
      <c r="G206" s="114" t="str">
        <f t="shared" ca="1" si="21"/>
        <v/>
      </c>
      <c r="H206" s="114" t="str">
        <f t="shared" ca="1" si="21"/>
        <v/>
      </c>
      <c r="I206" s="114" t="str">
        <f t="shared" ca="1" si="21"/>
        <v/>
      </c>
      <c r="J206" s="114" t="str">
        <f t="shared" ca="1" si="21"/>
        <v/>
      </c>
      <c r="K206" s="114" t="str">
        <f t="shared" ca="1" si="21"/>
        <v/>
      </c>
      <c r="L206" s="114" t="str">
        <f t="shared" ca="1" si="21"/>
        <v/>
      </c>
      <c r="M206" s="114" t="str">
        <f t="shared" ca="1" si="21"/>
        <v/>
      </c>
      <c r="N206" s="114" t="str">
        <f t="shared" ca="1" si="21"/>
        <v/>
      </c>
      <c r="O206" s="114" t="str">
        <f t="shared" ca="1" si="21"/>
        <v/>
      </c>
      <c r="P206" s="114" t="str">
        <f t="shared" ca="1" si="21"/>
        <v/>
      </c>
      <c r="Q206" s="114" t="str">
        <f t="shared" ca="1" si="21"/>
        <v/>
      </c>
      <c r="R206" s="114" t="str">
        <f t="shared" ca="1" si="24"/>
        <v/>
      </c>
    </row>
    <row r="207" spans="1:18">
      <c r="A207" s="21">
        <v>199</v>
      </c>
      <c r="B207" s="22" t="str">
        <f t="shared" ca="1" si="23"/>
        <v/>
      </c>
      <c r="C207" s="114" t="str">
        <f t="shared" ref="C207:Q222" ca="1" si="25">IF(AND($B207=$S$4,C$5&lt;&gt;""),IF(VLOOKUP($A$1&amp;"-"&amp;$A207,INDIRECT($E$2&amp;$E$3),C$4+$B$4,0)="","","'"&amp;C$5&amp;"' =&gt; '"&amp;VLOOKUP($A$1&amp;"-"&amp;$A207,INDIRECT($E$2&amp;$E$3),C$4+$B$4,0)&amp;"', "),"")</f>
        <v/>
      </c>
      <c r="D207" s="114" t="str">
        <f t="shared" ca="1" si="25"/>
        <v/>
      </c>
      <c r="E207" s="114" t="str">
        <f t="shared" ca="1" si="25"/>
        <v/>
      </c>
      <c r="F207" s="114" t="str">
        <f t="shared" ca="1" si="25"/>
        <v/>
      </c>
      <c r="G207" s="114" t="str">
        <f t="shared" ca="1" si="25"/>
        <v/>
      </c>
      <c r="H207" s="114" t="str">
        <f t="shared" ca="1" si="25"/>
        <v/>
      </c>
      <c r="I207" s="114" t="str">
        <f t="shared" ca="1" si="25"/>
        <v/>
      </c>
      <c r="J207" s="114" t="str">
        <f t="shared" ca="1" si="25"/>
        <v/>
      </c>
      <c r="K207" s="114" t="str">
        <f t="shared" ca="1" si="25"/>
        <v/>
      </c>
      <c r="L207" s="114" t="str">
        <f t="shared" ca="1" si="25"/>
        <v/>
      </c>
      <c r="M207" s="114" t="str">
        <f t="shared" ca="1" si="25"/>
        <v/>
      </c>
      <c r="N207" s="114" t="str">
        <f t="shared" ca="1" si="25"/>
        <v/>
      </c>
      <c r="O207" s="114" t="str">
        <f t="shared" ca="1" si="25"/>
        <v/>
      </c>
      <c r="P207" s="114" t="str">
        <f t="shared" ca="1" si="25"/>
        <v/>
      </c>
      <c r="Q207" s="114" t="str">
        <f t="shared" ca="1" si="25"/>
        <v/>
      </c>
      <c r="R207" s="114" t="str">
        <f t="shared" ca="1" si="24"/>
        <v/>
      </c>
    </row>
    <row r="208" spans="1:18">
      <c r="A208" s="21">
        <v>200</v>
      </c>
      <c r="B208" s="22" t="str">
        <f t="shared" ca="1" si="23"/>
        <v/>
      </c>
      <c r="C208" s="114" t="str">
        <f t="shared" ca="1" si="25"/>
        <v/>
      </c>
      <c r="D208" s="114" t="str">
        <f t="shared" ca="1" si="25"/>
        <v/>
      </c>
      <c r="E208" s="114" t="str">
        <f t="shared" ca="1" si="25"/>
        <v/>
      </c>
      <c r="F208" s="114" t="str">
        <f t="shared" ca="1" si="25"/>
        <v/>
      </c>
      <c r="G208" s="114" t="str">
        <f t="shared" ca="1" si="25"/>
        <v/>
      </c>
      <c r="H208" s="114" t="str">
        <f t="shared" ca="1" si="25"/>
        <v/>
      </c>
      <c r="I208" s="114" t="str">
        <f t="shared" ca="1" si="25"/>
        <v/>
      </c>
      <c r="J208" s="114" t="str">
        <f t="shared" ca="1" si="25"/>
        <v/>
      </c>
      <c r="K208" s="114" t="str">
        <f t="shared" ca="1" si="25"/>
        <v/>
      </c>
      <c r="L208" s="114" t="str">
        <f t="shared" ca="1" si="25"/>
        <v/>
      </c>
      <c r="M208" s="114" t="str">
        <f t="shared" ca="1" si="25"/>
        <v/>
      </c>
      <c r="N208" s="114" t="str">
        <f t="shared" ca="1" si="25"/>
        <v/>
      </c>
      <c r="O208" s="114" t="str">
        <f t="shared" ca="1" si="25"/>
        <v/>
      </c>
      <c r="P208" s="114" t="str">
        <f t="shared" ca="1" si="25"/>
        <v/>
      </c>
      <c r="Q208" s="114" t="str">
        <f t="shared" ca="1" si="25"/>
        <v/>
      </c>
      <c r="R208" s="114" t="str">
        <f t="shared" ca="1" si="24"/>
        <v/>
      </c>
    </row>
    <row r="209" spans="1:18">
      <c r="A209" s="21">
        <v>201</v>
      </c>
      <c r="B209" s="22" t="str">
        <f t="shared" ca="1" si="23"/>
        <v/>
      </c>
      <c r="C209" s="114" t="str">
        <f t="shared" ca="1" si="25"/>
        <v/>
      </c>
      <c r="D209" s="114" t="str">
        <f t="shared" ca="1" si="25"/>
        <v/>
      </c>
      <c r="E209" s="114" t="str">
        <f t="shared" ca="1" si="25"/>
        <v/>
      </c>
      <c r="F209" s="114" t="str">
        <f t="shared" ca="1" si="25"/>
        <v/>
      </c>
      <c r="G209" s="114" t="str">
        <f t="shared" ca="1" si="25"/>
        <v/>
      </c>
      <c r="H209" s="114" t="str">
        <f t="shared" ca="1" si="25"/>
        <v/>
      </c>
      <c r="I209" s="114" t="str">
        <f t="shared" ca="1" si="25"/>
        <v/>
      </c>
      <c r="J209" s="114" t="str">
        <f t="shared" ca="1" si="25"/>
        <v/>
      </c>
      <c r="K209" s="114" t="str">
        <f t="shared" ca="1" si="25"/>
        <v/>
      </c>
      <c r="L209" s="114" t="str">
        <f t="shared" ca="1" si="25"/>
        <v/>
      </c>
      <c r="M209" s="114" t="str">
        <f t="shared" ca="1" si="25"/>
        <v/>
      </c>
      <c r="N209" s="114" t="str">
        <f t="shared" ca="1" si="25"/>
        <v/>
      </c>
      <c r="O209" s="114" t="str">
        <f t="shared" ca="1" si="25"/>
        <v/>
      </c>
      <c r="P209" s="114" t="str">
        <f t="shared" ca="1" si="25"/>
        <v/>
      </c>
      <c r="Q209" s="114" t="str">
        <f t="shared" ca="1" si="25"/>
        <v/>
      </c>
      <c r="R209" s="114" t="str">
        <f t="shared" ca="1" si="24"/>
        <v/>
      </c>
    </row>
    <row r="210" spans="1:18">
      <c r="A210" s="21">
        <v>202</v>
      </c>
      <c r="B210" s="22" t="str">
        <f t="shared" ca="1" si="23"/>
        <v/>
      </c>
      <c r="C210" s="114" t="str">
        <f t="shared" ca="1" si="25"/>
        <v/>
      </c>
      <c r="D210" s="114" t="str">
        <f t="shared" ca="1" si="25"/>
        <v/>
      </c>
      <c r="E210" s="114" t="str">
        <f t="shared" ca="1" si="25"/>
        <v/>
      </c>
      <c r="F210" s="114" t="str">
        <f t="shared" ca="1" si="25"/>
        <v/>
      </c>
      <c r="G210" s="114" t="str">
        <f t="shared" ca="1" si="25"/>
        <v/>
      </c>
      <c r="H210" s="114" t="str">
        <f t="shared" ca="1" si="25"/>
        <v/>
      </c>
      <c r="I210" s="114" t="str">
        <f t="shared" ca="1" si="25"/>
        <v/>
      </c>
      <c r="J210" s="114" t="str">
        <f t="shared" ca="1" si="25"/>
        <v/>
      </c>
      <c r="K210" s="114" t="str">
        <f t="shared" ca="1" si="25"/>
        <v/>
      </c>
      <c r="L210" s="114" t="str">
        <f t="shared" ca="1" si="25"/>
        <v/>
      </c>
      <c r="M210" s="114" t="str">
        <f t="shared" ca="1" si="25"/>
        <v/>
      </c>
      <c r="N210" s="114" t="str">
        <f t="shared" ca="1" si="25"/>
        <v/>
      </c>
      <c r="O210" s="114" t="str">
        <f t="shared" ca="1" si="25"/>
        <v/>
      </c>
      <c r="P210" s="114" t="str">
        <f t="shared" ca="1" si="25"/>
        <v/>
      </c>
      <c r="Q210" s="114" t="str">
        <f t="shared" ca="1" si="25"/>
        <v/>
      </c>
      <c r="R210" s="114" t="str">
        <f t="shared" ref="R210:R258" ca="1" si="26">IF(B210=$S$4,$T$4,"")</f>
        <v/>
      </c>
    </row>
    <row r="211" spans="1:18">
      <c r="A211" s="21">
        <v>203</v>
      </c>
      <c r="B211" s="22" t="str">
        <f t="shared" ca="1" si="23"/>
        <v/>
      </c>
      <c r="C211" s="114" t="str">
        <f t="shared" ca="1" si="25"/>
        <v/>
      </c>
      <c r="D211" s="114" t="str">
        <f t="shared" ca="1" si="25"/>
        <v/>
      </c>
      <c r="E211" s="114" t="str">
        <f t="shared" ca="1" si="25"/>
        <v/>
      </c>
      <c r="F211" s="114" t="str">
        <f t="shared" ca="1" si="25"/>
        <v/>
      </c>
      <c r="G211" s="114" t="str">
        <f t="shared" ca="1" si="25"/>
        <v/>
      </c>
      <c r="H211" s="114" t="str">
        <f t="shared" ca="1" si="25"/>
        <v/>
      </c>
      <c r="I211" s="114" t="str">
        <f t="shared" ca="1" si="25"/>
        <v/>
      </c>
      <c r="J211" s="114" t="str">
        <f t="shared" ca="1" si="25"/>
        <v/>
      </c>
      <c r="K211" s="114" t="str">
        <f t="shared" ca="1" si="25"/>
        <v/>
      </c>
      <c r="L211" s="114" t="str">
        <f t="shared" ca="1" si="25"/>
        <v/>
      </c>
      <c r="M211" s="114" t="str">
        <f t="shared" ca="1" si="25"/>
        <v/>
      </c>
      <c r="N211" s="114" t="str">
        <f t="shared" ca="1" si="25"/>
        <v/>
      </c>
      <c r="O211" s="114" t="str">
        <f t="shared" ca="1" si="25"/>
        <v/>
      </c>
      <c r="P211" s="114" t="str">
        <f t="shared" ca="1" si="25"/>
        <v/>
      </c>
      <c r="Q211" s="114" t="str">
        <f t="shared" ca="1" si="25"/>
        <v/>
      </c>
      <c r="R211" s="114" t="str">
        <f t="shared" ca="1" si="26"/>
        <v/>
      </c>
    </row>
    <row r="212" spans="1:18">
      <c r="A212" s="21">
        <v>204</v>
      </c>
      <c r="B212" s="22" t="str">
        <f t="shared" ca="1" si="23"/>
        <v/>
      </c>
      <c r="C212" s="114" t="str">
        <f t="shared" ca="1" si="25"/>
        <v/>
      </c>
      <c r="D212" s="114" t="str">
        <f t="shared" ca="1" si="25"/>
        <v/>
      </c>
      <c r="E212" s="114" t="str">
        <f t="shared" ca="1" si="25"/>
        <v/>
      </c>
      <c r="F212" s="114" t="str">
        <f t="shared" ca="1" si="25"/>
        <v/>
      </c>
      <c r="G212" s="114" t="str">
        <f t="shared" ca="1" si="25"/>
        <v/>
      </c>
      <c r="H212" s="114" t="str">
        <f t="shared" ca="1" si="25"/>
        <v/>
      </c>
      <c r="I212" s="114" t="str">
        <f t="shared" ca="1" si="25"/>
        <v/>
      </c>
      <c r="J212" s="114" t="str">
        <f t="shared" ca="1" si="25"/>
        <v/>
      </c>
      <c r="K212" s="114" t="str">
        <f t="shared" ca="1" si="25"/>
        <v/>
      </c>
      <c r="L212" s="114" t="str">
        <f t="shared" ca="1" si="25"/>
        <v/>
      </c>
      <c r="M212" s="114" t="str">
        <f t="shared" ca="1" si="25"/>
        <v/>
      </c>
      <c r="N212" s="114" t="str">
        <f t="shared" ca="1" si="25"/>
        <v/>
      </c>
      <c r="O212" s="114" t="str">
        <f t="shared" ca="1" si="25"/>
        <v/>
      </c>
      <c r="P212" s="114" t="str">
        <f t="shared" ca="1" si="25"/>
        <v/>
      </c>
      <c r="Q212" s="114" t="str">
        <f t="shared" ca="1" si="25"/>
        <v/>
      </c>
      <c r="R212" s="114" t="str">
        <f t="shared" ca="1" si="26"/>
        <v/>
      </c>
    </row>
    <row r="213" spans="1:18">
      <c r="A213" s="21">
        <v>205</v>
      </c>
      <c r="B213" s="22" t="str">
        <f t="shared" ca="1" si="23"/>
        <v/>
      </c>
      <c r="C213" s="114" t="str">
        <f t="shared" ca="1" si="25"/>
        <v/>
      </c>
      <c r="D213" s="114" t="str">
        <f t="shared" ca="1" si="25"/>
        <v/>
      </c>
      <c r="E213" s="114" t="str">
        <f t="shared" ca="1" si="25"/>
        <v/>
      </c>
      <c r="F213" s="114" t="str">
        <f t="shared" ca="1" si="25"/>
        <v/>
      </c>
      <c r="G213" s="114" t="str">
        <f t="shared" ca="1" si="25"/>
        <v/>
      </c>
      <c r="H213" s="114" t="str">
        <f t="shared" ca="1" si="25"/>
        <v/>
      </c>
      <c r="I213" s="114" t="str">
        <f t="shared" ca="1" si="25"/>
        <v/>
      </c>
      <c r="J213" s="114" t="str">
        <f t="shared" ca="1" si="25"/>
        <v/>
      </c>
      <c r="K213" s="114" t="str">
        <f t="shared" ca="1" si="25"/>
        <v/>
      </c>
      <c r="L213" s="114" t="str">
        <f t="shared" ca="1" si="25"/>
        <v/>
      </c>
      <c r="M213" s="114" t="str">
        <f t="shared" ca="1" si="25"/>
        <v/>
      </c>
      <c r="N213" s="114" t="str">
        <f t="shared" ca="1" si="25"/>
        <v/>
      </c>
      <c r="O213" s="114" t="str">
        <f t="shared" ca="1" si="25"/>
        <v/>
      </c>
      <c r="P213" s="114" t="str">
        <f t="shared" ca="1" si="25"/>
        <v/>
      </c>
      <c r="Q213" s="114" t="str">
        <f t="shared" ca="1" si="25"/>
        <v/>
      </c>
      <c r="R213" s="114" t="str">
        <f t="shared" ca="1" si="26"/>
        <v/>
      </c>
    </row>
    <row r="214" spans="1:18">
      <c r="A214" s="21">
        <v>206</v>
      </c>
      <c r="B214" s="22" t="str">
        <f t="shared" ca="1" si="23"/>
        <v/>
      </c>
      <c r="C214" s="114" t="str">
        <f t="shared" ca="1" si="25"/>
        <v/>
      </c>
      <c r="D214" s="114" t="str">
        <f t="shared" ca="1" si="25"/>
        <v/>
      </c>
      <c r="E214" s="114" t="str">
        <f t="shared" ca="1" si="25"/>
        <v/>
      </c>
      <c r="F214" s="114" t="str">
        <f t="shared" ca="1" si="25"/>
        <v/>
      </c>
      <c r="G214" s="114" t="str">
        <f t="shared" ca="1" si="25"/>
        <v/>
      </c>
      <c r="H214" s="114" t="str">
        <f t="shared" ca="1" si="25"/>
        <v/>
      </c>
      <c r="I214" s="114" t="str">
        <f t="shared" ca="1" si="25"/>
        <v/>
      </c>
      <c r="J214" s="114" t="str">
        <f t="shared" ca="1" si="25"/>
        <v/>
      </c>
      <c r="K214" s="114" t="str">
        <f t="shared" ca="1" si="25"/>
        <v/>
      </c>
      <c r="L214" s="114" t="str">
        <f t="shared" ca="1" si="25"/>
        <v/>
      </c>
      <c r="M214" s="114" t="str">
        <f t="shared" ca="1" si="25"/>
        <v/>
      </c>
      <c r="N214" s="114" t="str">
        <f t="shared" ca="1" si="25"/>
        <v/>
      </c>
      <c r="O214" s="114" t="str">
        <f t="shared" ca="1" si="25"/>
        <v/>
      </c>
      <c r="P214" s="114" t="str">
        <f t="shared" ca="1" si="25"/>
        <v/>
      </c>
      <c r="Q214" s="114" t="str">
        <f t="shared" ca="1" si="25"/>
        <v/>
      </c>
      <c r="R214" s="114" t="str">
        <f t="shared" ca="1" si="26"/>
        <v/>
      </c>
    </row>
    <row r="215" spans="1:18">
      <c r="A215" s="21">
        <v>207</v>
      </c>
      <c r="B215" s="22" t="str">
        <f t="shared" ca="1" si="23"/>
        <v/>
      </c>
      <c r="C215" s="114" t="str">
        <f t="shared" ca="1" si="25"/>
        <v/>
      </c>
      <c r="D215" s="114" t="str">
        <f t="shared" ca="1" si="25"/>
        <v/>
      </c>
      <c r="E215" s="114" t="str">
        <f t="shared" ca="1" si="25"/>
        <v/>
      </c>
      <c r="F215" s="114" t="str">
        <f t="shared" ca="1" si="25"/>
        <v/>
      </c>
      <c r="G215" s="114" t="str">
        <f t="shared" ca="1" si="25"/>
        <v/>
      </c>
      <c r="H215" s="114" t="str">
        <f t="shared" ca="1" si="25"/>
        <v/>
      </c>
      <c r="I215" s="114" t="str">
        <f t="shared" ca="1" si="25"/>
        <v/>
      </c>
      <c r="J215" s="114" t="str">
        <f t="shared" ca="1" si="25"/>
        <v/>
      </c>
      <c r="K215" s="114" t="str">
        <f t="shared" ca="1" si="25"/>
        <v/>
      </c>
      <c r="L215" s="114" t="str">
        <f t="shared" ca="1" si="25"/>
        <v/>
      </c>
      <c r="M215" s="114" t="str">
        <f t="shared" ca="1" si="25"/>
        <v/>
      </c>
      <c r="N215" s="114" t="str">
        <f t="shared" ca="1" si="25"/>
        <v/>
      </c>
      <c r="O215" s="114" t="str">
        <f t="shared" ca="1" si="25"/>
        <v/>
      </c>
      <c r="P215" s="114" t="str">
        <f t="shared" ca="1" si="25"/>
        <v/>
      </c>
      <c r="Q215" s="114" t="str">
        <f t="shared" ca="1" si="25"/>
        <v/>
      </c>
      <c r="R215" s="114" t="str">
        <f t="shared" ca="1" si="26"/>
        <v/>
      </c>
    </row>
    <row r="216" spans="1:18">
      <c r="A216" s="21">
        <v>208</v>
      </c>
      <c r="B216" s="22" t="str">
        <f t="shared" ca="1" si="23"/>
        <v/>
      </c>
      <c r="C216" s="114" t="str">
        <f t="shared" ca="1" si="25"/>
        <v/>
      </c>
      <c r="D216" s="114" t="str">
        <f t="shared" ca="1" si="25"/>
        <v/>
      </c>
      <c r="E216" s="114" t="str">
        <f t="shared" ca="1" si="25"/>
        <v/>
      </c>
      <c r="F216" s="114" t="str">
        <f t="shared" ca="1" si="25"/>
        <v/>
      </c>
      <c r="G216" s="114" t="str">
        <f t="shared" ca="1" si="25"/>
        <v/>
      </c>
      <c r="H216" s="114" t="str">
        <f t="shared" ca="1" si="25"/>
        <v/>
      </c>
      <c r="I216" s="114" t="str">
        <f t="shared" ca="1" si="25"/>
        <v/>
      </c>
      <c r="J216" s="114" t="str">
        <f t="shared" ca="1" si="25"/>
        <v/>
      </c>
      <c r="K216" s="114" t="str">
        <f t="shared" ca="1" si="25"/>
        <v/>
      </c>
      <c r="L216" s="114" t="str">
        <f t="shared" ca="1" si="25"/>
        <v/>
      </c>
      <c r="M216" s="114" t="str">
        <f t="shared" ca="1" si="25"/>
        <v/>
      </c>
      <c r="N216" s="114" t="str">
        <f t="shared" ca="1" si="25"/>
        <v/>
      </c>
      <c r="O216" s="114" t="str">
        <f t="shared" ca="1" si="25"/>
        <v/>
      </c>
      <c r="P216" s="114" t="str">
        <f t="shared" ca="1" si="25"/>
        <v/>
      </c>
      <c r="Q216" s="114" t="str">
        <f t="shared" ca="1" si="25"/>
        <v/>
      </c>
      <c r="R216" s="114" t="str">
        <f t="shared" ca="1" si="26"/>
        <v/>
      </c>
    </row>
    <row r="217" spans="1:18">
      <c r="A217" s="21">
        <v>209</v>
      </c>
      <c r="B217" s="22" t="str">
        <f t="shared" ca="1" si="23"/>
        <v/>
      </c>
      <c r="C217" s="114" t="str">
        <f t="shared" ca="1" si="25"/>
        <v/>
      </c>
      <c r="D217" s="114" t="str">
        <f t="shared" ca="1" si="25"/>
        <v/>
      </c>
      <c r="E217" s="114" t="str">
        <f t="shared" ca="1" si="25"/>
        <v/>
      </c>
      <c r="F217" s="114" t="str">
        <f t="shared" ca="1" si="25"/>
        <v/>
      </c>
      <c r="G217" s="114" t="str">
        <f t="shared" ca="1" si="25"/>
        <v/>
      </c>
      <c r="H217" s="114" t="str">
        <f t="shared" ca="1" si="25"/>
        <v/>
      </c>
      <c r="I217" s="114" t="str">
        <f t="shared" ca="1" si="25"/>
        <v/>
      </c>
      <c r="J217" s="114" t="str">
        <f t="shared" ca="1" si="25"/>
        <v/>
      </c>
      <c r="K217" s="114" t="str">
        <f t="shared" ca="1" si="25"/>
        <v/>
      </c>
      <c r="L217" s="114" t="str">
        <f t="shared" ca="1" si="25"/>
        <v/>
      </c>
      <c r="M217" s="114" t="str">
        <f t="shared" ca="1" si="25"/>
        <v/>
      </c>
      <c r="N217" s="114" t="str">
        <f t="shared" ca="1" si="25"/>
        <v/>
      </c>
      <c r="O217" s="114" t="str">
        <f t="shared" ca="1" si="25"/>
        <v/>
      </c>
      <c r="P217" s="114" t="str">
        <f t="shared" ca="1" si="25"/>
        <v/>
      </c>
      <c r="Q217" s="114" t="str">
        <f t="shared" ca="1" si="25"/>
        <v/>
      </c>
      <c r="R217" s="114" t="str">
        <f t="shared" ca="1" si="26"/>
        <v/>
      </c>
    </row>
    <row r="218" spans="1:18">
      <c r="A218" s="21">
        <v>210</v>
      </c>
      <c r="B218" s="22" t="str">
        <f t="shared" ca="1" si="23"/>
        <v/>
      </c>
      <c r="C218" s="114" t="str">
        <f t="shared" ca="1" si="25"/>
        <v/>
      </c>
      <c r="D218" s="114" t="str">
        <f t="shared" ca="1" si="25"/>
        <v/>
      </c>
      <c r="E218" s="114" t="str">
        <f t="shared" ca="1" si="25"/>
        <v/>
      </c>
      <c r="F218" s="114" t="str">
        <f t="shared" ca="1" si="25"/>
        <v/>
      </c>
      <c r="G218" s="114" t="str">
        <f t="shared" ca="1" si="25"/>
        <v/>
      </c>
      <c r="H218" s="114" t="str">
        <f t="shared" ca="1" si="25"/>
        <v/>
      </c>
      <c r="I218" s="114" t="str">
        <f t="shared" ca="1" si="25"/>
        <v/>
      </c>
      <c r="J218" s="114" t="str">
        <f t="shared" ca="1" si="25"/>
        <v/>
      </c>
      <c r="K218" s="114" t="str">
        <f t="shared" ca="1" si="25"/>
        <v/>
      </c>
      <c r="L218" s="114" t="str">
        <f t="shared" ca="1" si="25"/>
        <v/>
      </c>
      <c r="M218" s="114" t="str">
        <f t="shared" ca="1" si="25"/>
        <v/>
      </c>
      <c r="N218" s="114" t="str">
        <f t="shared" ca="1" si="25"/>
        <v/>
      </c>
      <c r="O218" s="114" t="str">
        <f t="shared" ca="1" si="25"/>
        <v/>
      </c>
      <c r="P218" s="114" t="str">
        <f t="shared" ca="1" si="25"/>
        <v/>
      </c>
      <c r="Q218" s="114" t="str">
        <f t="shared" ca="1" si="25"/>
        <v/>
      </c>
      <c r="R218" s="114" t="str">
        <f t="shared" ca="1" si="26"/>
        <v/>
      </c>
    </row>
    <row r="219" spans="1:18">
      <c r="A219" s="21">
        <v>211</v>
      </c>
      <c r="B219" s="22" t="str">
        <f t="shared" ca="1" si="23"/>
        <v/>
      </c>
      <c r="C219" s="114" t="str">
        <f t="shared" ca="1" si="25"/>
        <v/>
      </c>
      <c r="D219" s="114" t="str">
        <f t="shared" ca="1" si="25"/>
        <v/>
      </c>
      <c r="E219" s="114" t="str">
        <f t="shared" ca="1" si="25"/>
        <v/>
      </c>
      <c r="F219" s="114" t="str">
        <f t="shared" ca="1" si="25"/>
        <v/>
      </c>
      <c r="G219" s="114" t="str">
        <f t="shared" ca="1" si="25"/>
        <v/>
      </c>
      <c r="H219" s="114" t="str">
        <f t="shared" ca="1" si="25"/>
        <v/>
      </c>
      <c r="I219" s="114" t="str">
        <f t="shared" ca="1" si="25"/>
        <v/>
      </c>
      <c r="J219" s="114" t="str">
        <f t="shared" ca="1" si="25"/>
        <v/>
      </c>
      <c r="K219" s="114" t="str">
        <f t="shared" ca="1" si="25"/>
        <v/>
      </c>
      <c r="L219" s="114" t="str">
        <f t="shared" ca="1" si="25"/>
        <v/>
      </c>
      <c r="M219" s="114" t="str">
        <f t="shared" ca="1" si="25"/>
        <v/>
      </c>
      <c r="N219" s="114" t="str">
        <f t="shared" ca="1" si="25"/>
        <v/>
      </c>
      <c r="O219" s="114" t="str">
        <f t="shared" ca="1" si="25"/>
        <v/>
      </c>
      <c r="P219" s="114" t="str">
        <f t="shared" ca="1" si="25"/>
        <v/>
      </c>
      <c r="Q219" s="114" t="str">
        <f t="shared" ca="1" si="25"/>
        <v/>
      </c>
      <c r="R219" s="114" t="str">
        <f t="shared" ca="1" si="26"/>
        <v/>
      </c>
    </row>
    <row r="220" spans="1:18">
      <c r="A220" s="21">
        <v>212</v>
      </c>
      <c r="B220" s="22" t="str">
        <f t="shared" ca="1" si="23"/>
        <v/>
      </c>
      <c r="C220" s="114" t="str">
        <f t="shared" ca="1" si="25"/>
        <v/>
      </c>
      <c r="D220" s="114" t="str">
        <f t="shared" ca="1" si="25"/>
        <v/>
      </c>
      <c r="E220" s="114" t="str">
        <f t="shared" ca="1" si="25"/>
        <v/>
      </c>
      <c r="F220" s="114" t="str">
        <f t="shared" ca="1" si="25"/>
        <v/>
      </c>
      <c r="G220" s="114" t="str">
        <f t="shared" ca="1" si="25"/>
        <v/>
      </c>
      <c r="H220" s="114" t="str">
        <f t="shared" ca="1" si="25"/>
        <v/>
      </c>
      <c r="I220" s="114" t="str">
        <f t="shared" ca="1" si="25"/>
        <v/>
      </c>
      <c r="J220" s="114" t="str">
        <f t="shared" ca="1" si="25"/>
        <v/>
      </c>
      <c r="K220" s="114" t="str">
        <f t="shared" ca="1" si="25"/>
        <v/>
      </c>
      <c r="L220" s="114" t="str">
        <f t="shared" ca="1" si="25"/>
        <v/>
      </c>
      <c r="M220" s="114" t="str">
        <f t="shared" ca="1" si="25"/>
        <v/>
      </c>
      <c r="N220" s="114" t="str">
        <f t="shared" ca="1" si="25"/>
        <v/>
      </c>
      <c r="O220" s="114" t="str">
        <f t="shared" ca="1" si="25"/>
        <v/>
      </c>
      <c r="P220" s="114" t="str">
        <f t="shared" ca="1" si="25"/>
        <v/>
      </c>
      <c r="Q220" s="114" t="str">
        <f t="shared" ca="1" si="25"/>
        <v/>
      </c>
      <c r="R220" s="114" t="str">
        <f t="shared" ca="1" si="26"/>
        <v/>
      </c>
    </row>
    <row r="221" spans="1:18">
      <c r="A221" s="21">
        <v>213</v>
      </c>
      <c r="B221" s="22" t="str">
        <f t="shared" ca="1" si="23"/>
        <v/>
      </c>
      <c r="C221" s="114" t="str">
        <f t="shared" ca="1" si="25"/>
        <v/>
      </c>
      <c r="D221" s="114" t="str">
        <f t="shared" ca="1" si="25"/>
        <v/>
      </c>
      <c r="E221" s="114" t="str">
        <f t="shared" ca="1" si="25"/>
        <v/>
      </c>
      <c r="F221" s="114" t="str">
        <f t="shared" ca="1" si="25"/>
        <v/>
      </c>
      <c r="G221" s="114" t="str">
        <f t="shared" ca="1" si="25"/>
        <v/>
      </c>
      <c r="H221" s="114" t="str">
        <f t="shared" ca="1" si="25"/>
        <v/>
      </c>
      <c r="I221" s="114" t="str">
        <f t="shared" ca="1" si="25"/>
        <v/>
      </c>
      <c r="J221" s="114" t="str">
        <f t="shared" ca="1" si="25"/>
        <v/>
      </c>
      <c r="K221" s="114" t="str">
        <f t="shared" ca="1" si="25"/>
        <v/>
      </c>
      <c r="L221" s="114" t="str">
        <f t="shared" ca="1" si="25"/>
        <v/>
      </c>
      <c r="M221" s="114" t="str">
        <f t="shared" ca="1" si="25"/>
        <v/>
      </c>
      <c r="N221" s="114" t="str">
        <f t="shared" ca="1" si="25"/>
        <v/>
      </c>
      <c r="O221" s="114" t="str">
        <f t="shared" ca="1" si="25"/>
        <v/>
      </c>
      <c r="P221" s="114" t="str">
        <f t="shared" ca="1" si="25"/>
        <v/>
      </c>
      <c r="Q221" s="114" t="str">
        <f t="shared" ca="1" si="25"/>
        <v/>
      </c>
      <c r="R221" s="114" t="str">
        <f t="shared" ca="1" si="26"/>
        <v/>
      </c>
    </row>
    <row r="222" spans="1:18">
      <c r="A222" s="21">
        <v>214</v>
      </c>
      <c r="B222" s="22" t="str">
        <f t="shared" ca="1" si="23"/>
        <v/>
      </c>
      <c r="C222" s="114" t="str">
        <f t="shared" ca="1" si="25"/>
        <v/>
      </c>
      <c r="D222" s="114" t="str">
        <f t="shared" ca="1" si="25"/>
        <v/>
      </c>
      <c r="E222" s="114" t="str">
        <f t="shared" ca="1" si="25"/>
        <v/>
      </c>
      <c r="F222" s="114" t="str">
        <f t="shared" ca="1" si="25"/>
        <v/>
      </c>
      <c r="G222" s="114" t="str">
        <f t="shared" ca="1" si="25"/>
        <v/>
      </c>
      <c r="H222" s="114" t="str">
        <f t="shared" ca="1" si="25"/>
        <v/>
      </c>
      <c r="I222" s="114" t="str">
        <f t="shared" ca="1" si="25"/>
        <v/>
      </c>
      <c r="J222" s="114" t="str">
        <f t="shared" ca="1" si="25"/>
        <v/>
      </c>
      <c r="K222" s="114" t="str">
        <f t="shared" ca="1" si="25"/>
        <v/>
      </c>
      <c r="L222" s="114" t="str">
        <f t="shared" ca="1" si="25"/>
        <v/>
      </c>
      <c r="M222" s="114" t="str">
        <f t="shared" ca="1" si="25"/>
        <v/>
      </c>
      <c r="N222" s="114" t="str">
        <f t="shared" ca="1" si="25"/>
        <v/>
      </c>
      <c r="O222" s="114" t="str">
        <f t="shared" ca="1" si="25"/>
        <v/>
      </c>
      <c r="P222" s="114" t="str">
        <f t="shared" ca="1" si="25"/>
        <v/>
      </c>
      <c r="Q222" s="114" t="str">
        <f t="shared" ca="1" si="25"/>
        <v/>
      </c>
      <c r="R222" s="114" t="str">
        <f t="shared" ca="1" si="26"/>
        <v/>
      </c>
    </row>
    <row r="223" spans="1:18">
      <c r="A223" s="21">
        <v>215</v>
      </c>
      <c r="B223" s="22" t="str">
        <f t="shared" ca="1" si="23"/>
        <v/>
      </c>
      <c r="C223" s="114" t="str">
        <f t="shared" ref="C223:Q239" ca="1" si="27">IF(AND($B223=$S$4,C$5&lt;&gt;""),IF(VLOOKUP($A$1&amp;"-"&amp;$A223,INDIRECT($E$2&amp;$E$3),C$4+$B$4,0)="","","'"&amp;C$5&amp;"' =&gt; '"&amp;VLOOKUP($A$1&amp;"-"&amp;$A223,INDIRECT($E$2&amp;$E$3),C$4+$B$4,0)&amp;"', "),"")</f>
        <v/>
      </c>
      <c r="D223" s="114" t="str">
        <f t="shared" ca="1" si="27"/>
        <v/>
      </c>
      <c r="E223" s="114" t="str">
        <f t="shared" ca="1" si="27"/>
        <v/>
      </c>
      <c r="F223" s="114" t="str">
        <f t="shared" ca="1" si="27"/>
        <v/>
      </c>
      <c r="G223" s="114" t="str">
        <f t="shared" ca="1" si="27"/>
        <v/>
      </c>
      <c r="H223" s="114" t="str">
        <f t="shared" ca="1" si="27"/>
        <v/>
      </c>
      <c r="I223" s="114" t="str">
        <f t="shared" ca="1" si="27"/>
        <v/>
      </c>
      <c r="J223" s="114" t="str">
        <f t="shared" ca="1" si="27"/>
        <v/>
      </c>
      <c r="K223" s="114" t="str">
        <f t="shared" ca="1" si="27"/>
        <v/>
      </c>
      <c r="L223" s="114" t="str">
        <f t="shared" ca="1" si="27"/>
        <v/>
      </c>
      <c r="M223" s="114" t="str">
        <f t="shared" ca="1" si="27"/>
        <v/>
      </c>
      <c r="N223" s="114" t="str">
        <f t="shared" ca="1" si="27"/>
        <v/>
      </c>
      <c r="O223" s="114" t="str">
        <f t="shared" ca="1" si="27"/>
        <v/>
      </c>
      <c r="P223" s="114" t="str">
        <f t="shared" ca="1" si="27"/>
        <v/>
      </c>
      <c r="Q223" s="114" t="str">
        <f t="shared" ca="1" si="27"/>
        <v/>
      </c>
      <c r="R223" s="114" t="str">
        <f t="shared" ca="1" si="26"/>
        <v/>
      </c>
    </row>
    <row r="224" spans="1:18">
      <c r="A224" s="21">
        <v>216</v>
      </c>
      <c r="B224" s="22" t="str">
        <f t="shared" ca="1" si="23"/>
        <v/>
      </c>
      <c r="C224" s="114" t="str">
        <f t="shared" ca="1" si="27"/>
        <v/>
      </c>
      <c r="D224" s="114" t="str">
        <f t="shared" ca="1" si="27"/>
        <v/>
      </c>
      <c r="E224" s="114" t="str">
        <f t="shared" ca="1" si="27"/>
        <v/>
      </c>
      <c r="F224" s="114" t="str">
        <f t="shared" ca="1" si="27"/>
        <v/>
      </c>
      <c r="G224" s="114" t="str">
        <f t="shared" ca="1" si="27"/>
        <v/>
      </c>
      <c r="H224" s="114" t="str">
        <f t="shared" ca="1" si="27"/>
        <v/>
      </c>
      <c r="I224" s="114" t="str">
        <f t="shared" ca="1" si="27"/>
        <v/>
      </c>
      <c r="J224" s="114" t="str">
        <f t="shared" ca="1" si="27"/>
        <v/>
      </c>
      <c r="K224" s="114" t="str">
        <f t="shared" ca="1" si="27"/>
        <v/>
      </c>
      <c r="L224" s="114" t="str">
        <f t="shared" ca="1" si="27"/>
        <v/>
      </c>
      <c r="M224" s="114" t="str">
        <f t="shared" ca="1" si="27"/>
        <v/>
      </c>
      <c r="N224" s="114" t="str">
        <f t="shared" ca="1" si="27"/>
        <v/>
      </c>
      <c r="O224" s="114" t="str">
        <f t="shared" ca="1" si="27"/>
        <v/>
      </c>
      <c r="P224" s="114" t="str">
        <f t="shared" ca="1" si="27"/>
        <v/>
      </c>
      <c r="Q224" s="114" t="str">
        <f t="shared" ca="1" si="27"/>
        <v/>
      </c>
      <c r="R224" s="114" t="str">
        <f t="shared" ca="1" si="26"/>
        <v/>
      </c>
    </row>
    <row r="225" spans="1:18">
      <c r="A225" s="21">
        <v>217</v>
      </c>
      <c r="B225" s="22" t="str">
        <f t="shared" ca="1" si="23"/>
        <v/>
      </c>
      <c r="C225" s="114" t="str">
        <f t="shared" ca="1" si="27"/>
        <v/>
      </c>
      <c r="D225" s="114" t="str">
        <f t="shared" ca="1" si="27"/>
        <v/>
      </c>
      <c r="E225" s="114" t="str">
        <f t="shared" ca="1" si="27"/>
        <v/>
      </c>
      <c r="F225" s="114" t="str">
        <f t="shared" ca="1" si="27"/>
        <v/>
      </c>
      <c r="G225" s="114" t="str">
        <f t="shared" ca="1" si="27"/>
        <v/>
      </c>
      <c r="H225" s="114" t="str">
        <f t="shared" ca="1" si="27"/>
        <v/>
      </c>
      <c r="I225" s="114" t="str">
        <f t="shared" ca="1" si="27"/>
        <v/>
      </c>
      <c r="J225" s="114" t="str">
        <f t="shared" ca="1" si="27"/>
        <v/>
      </c>
      <c r="K225" s="114" t="str">
        <f t="shared" ca="1" si="27"/>
        <v/>
      </c>
      <c r="L225" s="114" t="str">
        <f t="shared" ca="1" si="27"/>
        <v/>
      </c>
      <c r="M225" s="114" t="str">
        <f t="shared" ca="1" si="27"/>
        <v/>
      </c>
      <c r="N225" s="114" t="str">
        <f t="shared" ca="1" si="27"/>
        <v/>
      </c>
      <c r="O225" s="114" t="str">
        <f t="shared" ca="1" si="27"/>
        <v/>
      </c>
      <c r="P225" s="114" t="str">
        <f t="shared" ca="1" si="27"/>
        <v/>
      </c>
      <c r="Q225" s="114" t="str">
        <f t="shared" ca="1" si="27"/>
        <v/>
      </c>
      <c r="R225" s="114" t="str">
        <f t="shared" ca="1" si="26"/>
        <v/>
      </c>
    </row>
    <row r="226" spans="1:18">
      <c r="A226" s="21">
        <v>218</v>
      </c>
      <c r="B226" s="22" t="str">
        <f t="shared" ca="1" si="23"/>
        <v/>
      </c>
      <c r="C226" s="114" t="str">
        <f t="shared" ca="1" si="27"/>
        <v/>
      </c>
      <c r="D226" s="114" t="str">
        <f t="shared" ca="1" si="27"/>
        <v/>
      </c>
      <c r="E226" s="114" t="str">
        <f t="shared" ca="1" si="27"/>
        <v/>
      </c>
      <c r="F226" s="114" t="str">
        <f t="shared" ca="1" si="27"/>
        <v/>
      </c>
      <c r="G226" s="114" t="str">
        <f t="shared" ca="1" si="27"/>
        <v/>
      </c>
      <c r="H226" s="114" t="str">
        <f t="shared" ca="1" si="27"/>
        <v/>
      </c>
      <c r="I226" s="114" t="str">
        <f t="shared" ca="1" si="27"/>
        <v/>
      </c>
      <c r="J226" s="114" t="str">
        <f t="shared" ca="1" si="27"/>
        <v/>
      </c>
      <c r="K226" s="114" t="str">
        <f t="shared" ca="1" si="27"/>
        <v/>
      </c>
      <c r="L226" s="114" t="str">
        <f t="shared" ca="1" si="27"/>
        <v/>
      </c>
      <c r="M226" s="114" t="str">
        <f t="shared" ca="1" si="27"/>
        <v/>
      </c>
      <c r="N226" s="114" t="str">
        <f t="shared" ca="1" si="27"/>
        <v/>
      </c>
      <c r="O226" s="114" t="str">
        <f t="shared" ca="1" si="27"/>
        <v/>
      </c>
      <c r="P226" s="114" t="str">
        <f t="shared" ca="1" si="27"/>
        <v/>
      </c>
      <c r="Q226" s="114" t="str">
        <f t="shared" ca="1" si="27"/>
        <v/>
      </c>
      <c r="R226" s="114" t="str">
        <f t="shared" ca="1" si="26"/>
        <v/>
      </c>
    </row>
    <row r="227" spans="1:18">
      <c r="A227" s="21">
        <v>219</v>
      </c>
      <c r="B227" s="22" t="str">
        <f t="shared" ca="1" si="23"/>
        <v/>
      </c>
      <c r="C227" s="114" t="str">
        <f t="shared" ca="1" si="27"/>
        <v/>
      </c>
      <c r="D227" s="114" t="str">
        <f t="shared" ca="1" si="27"/>
        <v/>
      </c>
      <c r="E227" s="114" t="str">
        <f t="shared" ca="1" si="27"/>
        <v/>
      </c>
      <c r="F227" s="114" t="str">
        <f t="shared" ca="1" si="27"/>
        <v/>
      </c>
      <c r="G227" s="114" t="str">
        <f t="shared" ca="1" si="27"/>
        <v/>
      </c>
      <c r="H227" s="114" t="str">
        <f t="shared" ca="1" si="27"/>
        <v/>
      </c>
      <c r="I227" s="114" t="str">
        <f t="shared" ca="1" si="27"/>
        <v/>
      </c>
      <c r="J227" s="114" t="str">
        <f t="shared" ca="1" si="27"/>
        <v/>
      </c>
      <c r="K227" s="114" t="str">
        <f t="shared" ca="1" si="27"/>
        <v/>
      </c>
      <c r="L227" s="114" t="str">
        <f t="shared" ca="1" si="27"/>
        <v/>
      </c>
      <c r="M227" s="114" t="str">
        <f t="shared" ca="1" si="27"/>
        <v/>
      </c>
      <c r="N227" s="114" t="str">
        <f t="shared" ca="1" si="27"/>
        <v/>
      </c>
      <c r="O227" s="114" t="str">
        <f t="shared" ca="1" si="27"/>
        <v/>
      </c>
      <c r="P227" s="114" t="str">
        <f t="shared" ca="1" si="27"/>
        <v/>
      </c>
      <c r="Q227" s="114" t="str">
        <f t="shared" ca="1" si="27"/>
        <v/>
      </c>
      <c r="R227" s="114" t="str">
        <f t="shared" ca="1" si="26"/>
        <v/>
      </c>
    </row>
    <row r="228" spans="1:18">
      <c r="A228" s="21">
        <v>220</v>
      </c>
      <c r="B228" s="22" t="str">
        <f t="shared" ca="1" si="23"/>
        <v/>
      </c>
      <c r="C228" s="114" t="str">
        <f t="shared" ca="1" si="27"/>
        <v/>
      </c>
      <c r="D228" s="114" t="str">
        <f t="shared" ca="1" si="27"/>
        <v/>
      </c>
      <c r="E228" s="114" t="str">
        <f t="shared" ca="1" si="27"/>
        <v/>
      </c>
      <c r="F228" s="114" t="str">
        <f t="shared" ca="1" si="27"/>
        <v/>
      </c>
      <c r="G228" s="114" t="str">
        <f t="shared" ca="1" si="27"/>
        <v/>
      </c>
      <c r="H228" s="114" t="str">
        <f t="shared" ca="1" si="27"/>
        <v/>
      </c>
      <c r="I228" s="114" t="str">
        <f t="shared" ca="1" si="27"/>
        <v/>
      </c>
      <c r="J228" s="114" t="str">
        <f t="shared" ca="1" si="27"/>
        <v/>
      </c>
      <c r="K228" s="114" t="str">
        <f t="shared" ca="1" si="27"/>
        <v/>
      </c>
      <c r="L228" s="114" t="str">
        <f t="shared" ca="1" si="27"/>
        <v/>
      </c>
      <c r="M228" s="114" t="str">
        <f t="shared" ca="1" si="27"/>
        <v/>
      </c>
      <c r="N228" s="114" t="str">
        <f t="shared" ca="1" si="27"/>
        <v/>
      </c>
      <c r="O228" s="114" t="str">
        <f t="shared" ca="1" si="27"/>
        <v/>
      </c>
      <c r="P228" s="114" t="str">
        <f t="shared" ca="1" si="27"/>
        <v/>
      </c>
      <c r="Q228" s="114" t="str">
        <f t="shared" ca="1" si="27"/>
        <v/>
      </c>
      <c r="R228" s="114" t="str">
        <f t="shared" ca="1" si="26"/>
        <v/>
      </c>
    </row>
    <row r="229" spans="1:18">
      <c r="A229" s="21">
        <v>221</v>
      </c>
      <c r="B229" s="22" t="str">
        <f t="shared" ca="1" si="23"/>
        <v/>
      </c>
      <c r="C229" s="114" t="str">
        <f t="shared" ca="1" si="27"/>
        <v/>
      </c>
      <c r="D229" s="114" t="str">
        <f t="shared" ca="1" si="27"/>
        <v/>
      </c>
      <c r="E229" s="114" t="str">
        <f t="shared" ca="1" si="27"/>
        <v/>
      </c>
      <c r="F229" s="114" t="str">
        <f t="shared" ca="1" si="27"/>
        <v/>
      </c>
      <c r="G229" s="114" t="str">
        <f t="shared" ca="1" si="27"/>
        <v/>
      </c>
      <c r="H229" s="114" t="str">
        <f t="shared" ca="1" si="27"/>
        <v/>
      </c>
      <c r="I229" s="114" t="str">
        <f t="shared" ca="1" si="27"/>
        <v/>
      </c>
      <c r="J229" s="114" t="str">
        <f t="shared" ca="1" si="27"/>
        <v/>
      </c>
      <c r="K229" s="114" t="str">
        <f t="shared" ca="1" si="27"/>
        <v/>
      </c>
      <c r="L229" s="114" t="str">
        <f t="shared" ca="1" si="27"/>
        <v/>
      </c>
      <c r="M229" s="114" t="str">
        <f t="shared" ca="1" si="27"/>
        <v/>
      </c>
      <c r="N229" s="114" t="str">
        <f t="shared" ca="1" si="27"/>
        <v/>
      </c>
      <c r="O229" s="114" t="str">
        <f t="shared" ca="1" si="27"/>
        <v/>
      </c>
      <c r="P229" s="114" t="str">
        <f t="shared" ca="1" si="27"/>
        <v/>
      </c>
      <c r="Q229" s="114" t="str">
        <f t="shared" ca="1" si="27"/>
        <v/>
      </c>
      <c r="R229" s="114" t="str">
        <f t="shared" ca="1" si="26"/>
        <v/>
      </c>
    </row>
    <row r="230" spans="1:18">
      <c r="A230" s="21">
        <v>222</v>
      </c>
      <c r="B230" s="22" t="str">
        <f t="shared" ca="1" si="23"/>
        <v/>
      </c>
      <c r="C230" s="114" t="str">
        <f t="shared" ca="1" si="27"/>
        <v/>
      </c>
      <c r="D230" s="114" t="str">
        <f t="shared" ca="1" si="27"/>
        <v/>
      </c>
      <c r="E230" s="114" t="str">
        <f t="shared" ca="1" si="27"/>
        <v/>
      </c>
      <c r="F230" s="114" t="str">
        <f t="shared" ca="1" si="27"/>
        <v/>
      </c>
      <c r="G230" s="114" t="str">
        <f t="shared" ca="1" si="27"/>
        <v/>
      </c>
      <c r="H230" s="114" t="str">
        <f t="shared" ca="1" si="27"/>
        <v/>
      </c>
      <c r="I230" s="114" t="str">
        <f t="shared" ca="1" si="27"/>
        <v/>
      </c>
      <c r="J230" s="114" t="str">
        <f t="shared" ca="1" si="27"/>
        <v/>
      </c>
      <c r="K230" s="114" t="str">
        <f t="shared" ca="1" si="27"/>
        <v/>
      </c>
      <c r="L230" s="114" t="str">
        <f t="shared" ca="1" si="27"/>
        <v/>
      </c>
      <c r="M230" s="114" t="str">
        <f t="shared" ca="1" si="27"/>
        <v/>
      </c>
      <c r="N230" s="114" t="str">
        <f t="shared" ca="1" si="27"/>
        <v/>
      </c>
      <c r="O230" s="114" t="str">
        <f t="shared" ca="1" si="27"/>
        <v/>
      </c>
      <c r="P230" s="114" t="str">
        <f t="shared" ca="1" si="27"/>
        <v/>
      </c>
      <c r="Q230" s="114" t="str">
        <f t="shared" ca="1" si="27"/>
        <v/>
      </c>
      <c r="R230" s="114" t="str">
        <f t="shared" ca="1" si="26"/>
        <v/>
      </c>
    </row>
    <row r="231" spans="1:18">
      <c r="A231" s="21">
        <v>223</v>
      </c>
      <c r="B231" s="22" t="str">
        <f t="shared" ca="1" si="23"/>
        <v/>
      </c>
      <c r="C231" s="114" t="str">
        <f t="shared" ca="1" si="27"/>
        <v/>
      </c>
      <c r="D231" s="114" t="str">
        <f t="shared" ca="1" si="27"/>
        <v/>
      </c>
      <c r="E231" s="114" t="str">
        <f t="shared" ca="1" si="27"/>
        <v/>
      </c>
      <c r="F231" s="114" t="str">
        <f t="shared" ca="1" si="27"/>
        <v/>
      </c>
      <c r="G231" s="114" t="str">
        <f t="shared" ca="1" si="27"/>
        <v/>
      </c>
      <c r="H231" s="114" t="str">
        <f t="shared" ca="1" si="27"/>
        <v/>
      </c>
      <c r="I231" s="114" t="str">
        <f t="shared" ca="1" si="27"/>
        <v/>
      </c>
      <c r="J231" s="114" t="str">
        <f t="shared" ca="1" si="27"/>
        <v/>
      </c>
      <c r="K231" s="114" t="str">
        <f t="shared" ca="1" si="27"/>
        <v/>
      </c>
      <c r="L231" s="114" t="str">
        <f t="shared" ca="1" si="27"/>
        <v/>
      </c>
      <c r="M231" s="114" t="str">
        <f t="shared" ca="1" si="27"/>
        <v/>
      </c>
      <c r="N231" s="114" t="str">
        <f t="shared" ca="1" si="27"/>
        <v/>
      </c>
      <c r="O231" s="114" t="str">
        <f t="shared" ca="1" si="27"/>
        <v/>
      </c>
      <c r="P231" s="114" t="str">
        <f t="shared" ca="1" si="27"/>
        <v/>
      </c>
      <c r="Q231" s="114" t="str">
        <f t="shared" ca="1" si="27"/>
        <v/>
      </c>
      <c r="R231" s="114" t="str">
        <f t="shared" ca="1" si="26"/>
        <v/>
      </c>
    </row>
    <row r="232" spans="1:18">
      <c r="A232" s="21">
        <v>224</v>
      </c>
      <c r="B232" s="22" t="str">
        <f t="shared" ca="1" si="23"/>
        <v/>
      </c>
      <c r="C232" s="114" t="str">
        <f t="shared" ca="1" si="27"/>
        <v/>
      </c>
      <c r="D232" s="114" t="str">
        <f t="shared" ca="1" si="27"/>
        <v/>
      </c>
      <c r="E232" s="114" t="str">
        <f t="shared" ca="1" si="27"/>
        <v/>
      </c>
      <c r="F232" s="114" t="str">
        <f t="shared" ca="1" si="27"/>
        <v/>
      </c>
      <c r="G232" s="114" t="str">
        <f t="shared" ca="1" si="27"/>
        <v/>
      </c>
      <c r="H232" s="114" t="str">
        <f t="shared" ca="1" si="27"/>
        <v/>
      </c>
      <c r="I232" s="114" t="str">
        <f t="shared" ca="1" si="27"/>
        <v/>
      </c>
      <c r="J232" s="114" t="str">
        <f t="shared" ca="1" si="27"/>
        <v/>
      </c>
      <c r="K232" s="114" t="str">
        <f t="shared" ca="1" si="27"/>
        <v/>
      </c>
      <c r="L232" s="114" t="str">
        <f t="shared" ca="1" si="27"/>
        <v/>
      </c>
      <c r="M232" s="114" t="str">
        <f t="shared" ca="1" si="27"/>
        <v/>
      </c>
      <c r="N232" s="114" t="str">
        <f t="shared" ca="1" si="27"/>
        <v/>
      </c>
      <c r="O232" s="114" t="str">
        <f t="shared" ca="1" si="27"/>
        <v/>
      </c>
      <c r="P232" s="114" t="str">
        <f t="shared" ca="1" si="27"/>
        <v/>
      </c>
      <c r="Q232" s="114" t="str">
        <f t="shared" ca="1" si="27"/>
        <v/>
      </c>
      <c r="R232" s="114" t="str">
        <f t="shared" ca="1" si="26"/>
        <v/>
      </c>
    </row>
    <row r="233" spans="1:18">
      <c r="A233" s="21">
        <v>225</v>
      </c>
      <c r="B233" s="22" t="str">
        <f t="shared" ca="1" si="23"/>
        <v/>
      </c>
      <c r="C233" s="114" t="str">
        <f t="shared" ca="1" si="27"/>
        <v/>
      </c>
      <c r="D233" s="114" t="str">
        <f t="shared" ca="1" si="27"/>
        <v/>
      </c>
      <c r="E233" s="114" t="str">
        <f t="shared" ca="1" si="27"/>
        <v/>
      </c>
      <c r="F233" s="114" t="str">
        <f t="shared" ca="1" si="27"/>
        <v/>
      </c>
      <c r="G233" s="114" t="str">
        <f t="shared" ca="1" si="27"/>
        <v/>
      </c>
      <c r="H233" s="114" t="str">
        <f t="shared" ca="1" si="27"/>
        <v/>
      </c>
      <c r="I233" s="114" t="str">
        <f t="shared" ca="1" si="27"/>
        <v/>
      </c>
      <c r="J233" s="114" t="str">
        <f t="shared" ca="1" si="27"/>
        <v/>
      </c>
      <c r="K233" s="114" t="str">
        <f t="shared" ca="1" si="27"/>
        <v/>
      </c>
      <c r="L233" s="114" t="str">
        <f t="shared" ca="1" si="27"/>
        <v/>
      </c>
      <c r="M233" s="114" t="str">
        <f t="shared" ca="1" si="27"/>
        <v/>
      </c>
      <c r="N233" s="114" t="str">
        <f t="shared" ca="1" si="27"/>
        <v/>
      </c>
      <c r="O233" s="114" t="str">
        <f t="shared" ca="1" si="27"/>
        <v/>
      </c>
      <c r="P233" s="114" t="str">
        <f t="shared" ca="1" si="27"/>
        <v/>
      </c>
      <c r="Q233" s="114" t="str">
        <f t="shared" ca="1" si="27"/>
        <v/>
      </c>
      <c r="R233" s="114" t="str">
        <f t="shared" ca="1" si="26"/>
        <v/>
      </c>
    </row>
    <row r="234" spans="1:18">
      <c r="A234" s="21">
        <v>226</v>
      </c>
      <c r="B234" s="22" t="str">
        <f t="shared" ca="1" si="23"/>
        <v/>
      </c>
      <c r="C234" s="114" t="str">
        <f t="shared" ca="1" si="27"/>
        <v/>
      </c>
      <c r="D234" s="114" t="str">
        <f t="shared" ca="1" si="27"/>
        <v/>
      </c>
      <c r="E234" s="114" t="str">
        <f t="shared" ca="1" si="27"/>
        <v/>
      </c>
      <c r="F234" s="114" t="str">
        <f t="shared" ca="1" si="27"/>
        <v/>
      </c>
      <c r="G234" s="114" t="str">
        <f t="shared" ca="1" si="27"/>
        <v/>
      </c>
      <c r="H234" s="114" t="str">
        <f t="shared" ca="1" si="27"/>
        <v/>
      </c>
      <c r="I234" s="114" t="str">
        <f t="shared" ca="1" si="27"/>
        <v/>
      </c>
      <c r="J234" s="114" t="str">
        <f t="shared" ca="1" si="27"/>
        <v/>
      </c>
      <c r="K234" s="114" t="str">
        <f t="shared" ca="1" si="27"/>
        <v/>
      </c>
      <c r="L234" s="114" t="str">
        <f t="shared" ca="1" si="27"/>
        <v/>
      </c>
      <c r="M234" s="114" t="str">
        <f t="shared" ca="1" si="27"/>
        <v/>
      </c>
      <c r="N234" s="114" t="str">
        <f t="shared" ca="1" si="27"/>
        <v/>
      </c>
      <c r="O234" s="114" t="str">
        <f t="shared" ca="1" si="27"/>
        <v/>
      </c>
      <c r="P234" s="114" t="str">
        <f t="shared" ca="1" si="27"/>
        <v/>
      </c>
      <c r="Q234" s="114" t="str">
        <f t="shared" ca="1" si="27"/>
        <v/>
      </c>
      <c r="R234" s="114" t="str">
        <f t="shared" ca="1" si="26"/>
        <v/>
      </c>
    </row>
    <row r="235" spans="1:18">
      <c r="A235" s="21">
        <v>227</v>
      </c>
      <c r="B235" s="22" t="str">
        <f t="shared" ca="1" si="23"/>
        <v/>
      </c>
      <c r="C235" s="114" t="str">
        <f t="shared" ca="1" si="27"/>
        <v/>
      </c>
      <c r="D235" s="114" t="str">
        <f t="shared" ca="1" si="27"/>
        <v/>
      </c>
      <c r="E235" s="114" t="str">
        <f t="shared" ca="1" si="27"/>
        <v/>
      </c>
      <c r="F235" s="114" t="str">
        <f t="shared" ca="1" si="27"/>
        <v/>
      </c>
      <c r="G235" s="114" t="str">
        <f t="shared" ca="1" si="27"/>
        <v/>
      </c>
      <c r="H235" s="114" t="str">
        <f t="shared" ca="1" si="27"/>
        <v/>
      </c>
      <c r="I235" s="114" t="str">
        <f t="shared" ca="1" si="27"/>
        <v/>
      </c>
      <c r="J235" s="114" t="str">
        <f t="shared" ca="1" si="27"/>
        <v/>
      </c>
      <c r="K235" s="114" t="str">
        <f t="shared" ca="1" si="27"/>
        <v/>
      </c>
      <c r="L235" s="114" t="str">
        <f t="shared" ca="1" si="27"/>
        <v/>
      </c>
      <c r="M235" s="114" t="str">
        <f t="shared" ca="1" si="27"/>
        <v/>
      </c>
      <c r="N235" s="114" t="str">
        <f t="shared" ca="1" si="27"/>
        <v/>
      </c>
      <c r="O235" s="114" t="str">
        <f t="shared" ca="1" si="27"/>
        <v/>
      </c>
      <c r="P235" s="114" t="str">
        <f t="shared" ca="1" si="27"/>
        <v/>
      </c>
      <c r="Q235" s="114" t="str">
        <f t="shared" ca="1" si="27"/>
        <v/>
      </c>
      <c r="R235" s="114" t="str">
        <f t="shared" ca="1" si="26"/>
        <v/>
      </c>
    </row>
    <row r="236" spans="1:18">
      <c r="A236" s="21">
        <v>228</v>
      </c>
      <c r="B236" s="22" t="str">
        <f t="shared" ca="1" si="23"/>
        <v/>
      </c>
      <c r="C236" s="114" t="str">
        <f t="shared" ca="1" si="27"/>
        <v/>
      </c>
      <c r="D236" s="114" t="str">
        <f t="shared" ca="1" si="27"/>
        <v/>
      </c>
      <c r="E236" s="114" t="str">
        <f t="shared" ca="1" si="27"/>
        <v/>
      </c>
      <c r="F236" s="114" t="str">
        <f t="shared" ca="1" si="27"/>
        <v/>
      </c>
      <c r="G236" s="114" t="str">
        <f t="shared" ca="1" si="27"/>
        <v/>
      </c>
      <c r="H236" s="114" t="str">
        <f t="shared" ca="1" si="27"/>
        <v/>
      </c>
      <c r="I236" s="114" t="str">
        <f t="shared" ca="1" si="27"/>
        <v/>
      </c>
      <c r="J236" s="114" t="str">
        <f t="shared" ca="1" si="27"/>
        <v/>
      </c>
      <c r="K236" s="114" t="str">
        <f t="shared" ca="1" si="27"/>
        <v/>
      </c>
      <c r="L236" s="114" t="str">
        <f t="shared" ca="1" si="27"/>
        <v/>
      </c>
      <c r="M236" s="114" t="str">
        <f t="shared" ca="1" si="27"/>
        <v/>
      </c>
      <c r="N236" s="114" t="str">
        <f t="shared" ca="1" si="27"/>
        <v/>
      </c>
      <c r="O236" s="114" t="str">
        <f t="shared" ca="1" si="27"/>
        <v/>
      </c>
      <c r="P236" s="114" t="str">
        <f t="shared" ca="1" si="27"/>
        <v/>
      </c>
      <c r="Q236" s="114" t="str">
        <f t="shared" ca="1" si="27"/>
        <v/>
      </c>
      <c r="R236" s="114" t="str">
        <f t="shared" ca="1" si="26"/>
        <v/>
      </c>
    </row>
    <row r="237" spans="1:18">
      <c r="A237" s="21">
        <v>229</v>
      </c>
      <c r="B237" s="22" t="str">
        <f t="shared" ca="1" si="23"/>
        <v/>
      </c>
      <c r="C237" s="114" t="str">
        <f t="shared" ca="1" si="27"/>
        <v/>
      </c>
      <c r="D237" s="114" t="str">
        <f t="shared" ca="1" si="27"/>
        <v/>
      </c>
      <c r="E237" s="114" t="str">
        <f t="shared" ca="1" si="27"/>
        <v/>
      </c>
      <c r="F237" s="114" t="str">
        <f t="shared" ca="1" si="27"/>
        <v/>
      </c>
      <c r="G237" s="114" t="str">
        <f t="shared" ca="1" si="27"/>
        <v/>
      </c>
      <c r="H237" s="114" t="str">
        <f t="shared" ca="1" si="27"/>
        <v/>
      </c>
      <c r="I237" s="114" t="str">
        <f t="shared" ca="1" si="27"/>
        <v/>
      </c>
      <c r="J237" s="114" t="str">
        <f t="shared" ca="1" si="27"/>
        <v/>
      </c>
      <c r="K237" s="114" t="str">
        <f t="shared" ca="1" si="27"/>
        <v/>
      </c>
      <c r="L237" s="114" t="str">
        <f t="shared" ca="1" si="27"/>
        <v/>
      </c>
      <c r="M237" s="114" t="str">
        <f t="shared" ca="1" si="27"/>
        <v/>
      </c>
      <c r="N237" s="114" t="str">
        <f t="shared" ca="1" si="27"/>
        <v/>
      </c>
      <c r="O237" s="114" t="str">
        <f t="shared" ca="1" si="27"/>
        <v/>
      </c>
      <c r="P237" s="114" t="str">
        <f t="shared" ca="1" si="27"/>
        <v/>
      </c>
      <c r="Q237" s="114" t="str">
        <f t="shared" ca="1" si="27"/>
        <v/>
      </c>
      <c r="R237" s="114" t="str">
        <f t="shared" ca="1" si="26"/>
        <v/>
      </c>
    </row>
    <row r="238" spans="1:18">
      <c r="A238" s="21">
        <v>230</v>
      </c>
      <c r="B238" s="22" t="str">
        <f t="shared" ca="1" si="23"/>
        <v/>
      </c>
      <c r="C238" s="114" t="str">
        <f t="shared" ca="1" si="27"/>
        <v/>
      </c>
      <c r="D238" s="114" t="str">
        <f t="shared" ca="1" si="27"/>
        <v/>
      </c>
      <c r="E238" s="114" t="str">
        <f t="shared" ca="1" si="27"/>
        <v/>
      </c>
      <c r="F238" s="114" t="str">
        <f t="shared" ca="1" si="27"/>
        <v/>
      </c>
      <c r="G238" s="114" t="str">
        <f t="shared" ca="1" si="27"/>
        <v/>
      </c>
      <c r="H238" s="114" t="str">
        <f t="shared" ca="1" si="27"/>
        <v/>
      </c>
      <c r="I238" s="114" t="str">
        <f t="shared" ca="1" si="27"/>
        <v/>
      </c>
      <c r="J238" s="114" t="str">
        <f t="shared" ca="1" si="27"/>
        <v/>
      </c>
      <c r="K238" s="114" t="str">
        <f t="shared" ca="1" si="27"/>
        <v/>
      </c>
      <c r="L238" s="114" t="str">
        <f t="shared" ca="1" si="27"/>
        <v/>
      </c>
      <c r="M238" s="114" t="str">
        <f t="shared" ca="1" si="27"/>
        <v/>
      </c>
      <c r="N238" s="114" t="str">
        <f t="shared" ca="1" si="27"/>
        <v/>
      </c>
      <c r="O238" s="114" t="str">
        <f t="shared" ca="1" si="27"/>
        <v/>
      </c>
      <c r="P238" s="114" t="str">
        <f t="shared" ca="1" si="27"/>
        <v/>
      </c>
      <c r="Q238" s="114" t="str">
        <f t="shared" ca="1" si="27"/>
        <v/>
      </c>
      <c r="R238" s="114" t="str">
        <f t="shared" ca="1" si="26"/>
        <v/>
      </c>
    </row>
    <row r="239" spans="1:18">
      <c r="A239" s="21">
        <v>231</v>
      </c>
      <c r="B239" s="22" t="str">
        <f t="shared" ca="1" si="23"/>
        <v/>
      </c>
      <c r="C239" s="114" t="str">
        <f t="shared" ca="1" si="27"/>
        <v/>
      </c>
      <c r="D239" s="114" t="str">
        <f t="shared" ca="1" si="27"/>
        <v/>
      </c>
      <c r="E239" s="114" t="str">
        <f t="shared" ca="1" si="27"/>
        <v/>
      </c>
      <c r="F239" s="114" t="str">
        <f t="shared" ca="1" si="27"/>
        <v/>
      </c>
      <c r="G239" s="114" t="str">
        <f t="shared" ca="1" si="27"/>
        <v/>
      </c>
      <c r="H239" s="114" t="str">
        <f t="shared" ca="1" si="27"/>
        <v/>
      </c>
      <c r="I239" s="114" t="str">
        <f t="shared" ca="1" si="27"/>
        <v/>
      </c>
      <c r="J239" s="114" t="str">
        <f t="shared" ca="1" si="27"/>
        <v/>
      </c>
      <c r="K239" s="114" t="str">
        <f t="shared" ca="1" si="27"/>
        <v/>
      </c>
      <c r="L239" s="114" t="str">
        <f t="shared" ca="1" si="27"/>
        <v/>
      </c>
      <c r="M239" s="114" t="str">
        <f t="shared" ca="1" si="27"/>
        <v/>
      </c>
      <c r="N239" s="114" t="str">
        <f t="shared" ca="1" si="27"/>
        <v/>
      </c>
      <c r="O239" s="114" t="str">
        <f t="shared" ca="1" si="27"/>
        <v/>
      </c>
      <c r="P239" s="114" t="str">
        <f t="shared" ca="1" si="27"/>
        <v/>
      </c>
      <c r="Q239" s="114" t="str">
        <f t="shared" ca="1" si="27"/>
        <v/>
      </c>
      <c r="R239" s="114" t="str">
        <f t="shared" ca="1" si="26"/>
        <v/>
      </c>
    </row>
    <row r="240" spans="1:18">
      <c r="A240" s="21">
        <v>232</v>
      </c>
      <c r="B240" s="22" t="str">
        <f t="shared" ca="1" si="23"/>
        <v/>
      </c>
      <c r="C240" s="114" t="str">
        <f t="shared" ref="C240:Q256" ca="1" si="28">IF(AND($B240=$S$4,C$5&lt;&gt;""),IF(VLOOKUP($A$1&amp;"-"&amp;$A240,INDIRECT($E$2&amp;$E$3),C$4+$B$4,0)="","","'"&amp;C$5&amp;"' =&gt; '"&amp;VLOOKUP($A$1&amp;"-"&amp;$A240,INDIRECT($E$2&amp;$E$3),C$4+$B$4,0)&amp;"', "),"")</f>
        <v/>
      </c>
      <c r="D240" s="114" t="str">
        <f t="shared" ca="1" si="28"/>
        <v/>
      </c>
      <c r="E240" s="114" t="str">
        <f t="shared" ca="1" si="28"/>
        <v/>
      </c>
      <c r="F240" s="114" t="str">
        <f t="shared" ca="1" si="28"/>
        <v/>
      </c>
      <c r="G240" s="114" t="str">
        <f t="shared" ca="1" si="28"/>
        <v/>
      </c>
      <c r="H240" s="114" t="str">
        <f t="shared" ca="1" si="28"/>
        <v/>
      </c>
      <c r="I240" s="114" t="str">
        <f t="shared" ca="1" si="28"/>
        <v/>
      </c>
      <c r="J240" s="114" t="str">
        <f t="shared" ca="1" si="28"/>
        <v/>
      </c>
      <c r="K240" s="114" t="str">
        <f t="shared" ca="1" si="28"/>
        <v/>
      </c>
      <c r="L240" s="114" t="str">
        <f t="shared" ca="1" si="28"/>
        <v/>
      </c>
      <c r="M240" s="114" t="str">
        <f t="shared" ca="1" si="28"/>
        <v/>
      </c>
      <c r="N240" s="114" t="str">
        <f t="shared" ca="1" si="28"/>
        <v/>
      </c>
      <c r="O240" s="114" t="str">
        <f t="shared" ca="1" si="28"/>
        <v/>
      </c>
      <c r="P240" s="114" t="str">
        <f t="shared" ca="1" si="28"/>
        <v/>
      </c>
      <c r="Q240" s="114" t="str">
        <f t="shared" ca="1" si="28"/>
        <v/>
      </c>
      <c r="R240" s="114" t="str">
        <f t="shared" ca="1" si="26"/>
        <v/>
      </c>
    </row>
    <row r="241" spans="1:18">
      <c r="A241" s="21">
        <v>233</v>
      </c>
      <c r="B241" s="22" t="str">
        <f t="shared" ca="1" si="23"/>
        <v/>
      </c>
      <c r="C241" s="114" t="str">
        <f t="shared" ca="1" si="28"/>
        <v/>
      </c>
      <c r="D241" s="114" t="str">
        <f t="shared" ca="1" si="28"/>
        <v/>
      </c>
      <c r="E241" s="114" t="str">
        <f t="shared" ca="1" si="28"/>
        <v/>
      </c>
      <c r="F241" s="114" t="str">
        <f t="shared" ca="1" si="28"/>
        <v/>
      </c>
      <c r="G241" s="114" t="str">
        <f t="shared" ca="1" si="28"/>
        <v/>
      </c>
      <c r="H241" s="114" t="str">
        <f t="shared" ca="1" si="28"/>
        <v/>
      </c>
      <c r="I241" s="114" t="str">
        <f t="shared" ca="1" si="28"/>
        <v/>
      </c>
      <c r="J241" s="114" t="str">
        <f t="shared" ca="1" si="28"/>
        <v/>
      </c>
      <c r="K241" s="114" t="str">
        <f t="shared" ca="1" si="28"/>
        <v/>
      </c>
      <c r="L241" s="114" t="str">
        <f t="shared" ca="1" si="28"/>
        <v/>
      </c>
      <c r="M241" s="114" t="str">
        <f t="shared" ca="1" si="28"/>
        <v/>
      </c>
      <c r="N241" s="114" t="str">
        <f t="shared" ca="1" si="28"/>
        <v/>
      </c>
      <c r="O241" s="114" t="str">
        <f t="shared" ca="1" si="28"/>
        <v/>
      </c>
      <c r="P241" s="114" t="str">
        <f t="shared" ca="1" si="28"/>
        <v/>
      </c>
      <c r="Q241" s="114" t="str">
        <f t="shared" ca="1" si="28"/>
        <v/>
      </c>
      <c r="R241" s="114" t="str">
        <f t="shared" ca="1" si="26"/>
        <v/>
      </c>
    </row>
    <row r="242" spans="1:18">
      <c r="A242" s="21">
        <v>234</v>
      </c>
      <c r="B242" s="22" t="str">
        <f t="shared" ca="1" si="23"/>
        <v/>
      </c>
      <c r="C242" s="114" t="str">
        <f t="shared" ca="1" si="28"/>
        <v/>
      </c>
      <c r="D242" s="114" t="str">
        <f t="shared" ca="1" si="28"/>
        <v/>
      </c>
      <c r="E242" s="114" t="str">
        <f t="shared" ca="1" si="28"/>
        <v/>
      </c>
      <c r="F242" s="114" t="str">
        <f t="shared" ca="1" si="28"/>
        <v/>
      </c>
      <c r="G242" s="114" t="str">
        <f t="shared" ca="1" si="28"/>
        <v/>
      </c>
      <c r="H242" s="114" t="str">
        <f t="shared" ca="1" si="28"/>
        <v/>
      </c>
      <c r="I242" s="114" t="str">
        <f t="shared" ca="1" si="28"/>
        <v/>
      </c>
      <c r="J242" s="114" t="str">
        <f t="shared" ca="1" si="28"/>
        <v/>
      </c>
      <c r="K242" s="114" t="str">
        <f t="shared" ca="1" si="28"/>
        <v/>
      </c>
      <c r="L242" s="114" t="str">
        <f t="shared" ca="1" si="28"/>
        <v/>
      </c>
      <c r="M242" s="114" t="str">
        <f t="shared" ca="1" si="28"/>
        <v/>
      </c>
      <c r="N242" s="114" t="str">
        <f t="shared" ca="1" si="28"/>
        <v/>
      </c>
      <c r="O242" s="114" t="str">
        <f t="shared" ca="1" si="28"/>
        <v/>
      </c>
      <c r="P242" s="114" t="str">
        <f t="shared" ca="1" si="28"/>
        <v/>
      </c>
      <c r="Q242" s="114" t="str">
        <f t="shared" ca="1" si="28"/>
        <v/>
      </c>
      <c r="R242" s="114" t="str">
        <f t="shared" ca="1" si="26"/>
        <v/>
      </c>
    </row>
    <row r="243" spans="1:18">
      <c r="A243" s="21">
        <v>235</v>
      </c>
      <c r="B243" s="22" t="str">
        <f t="shared" ca="1" si="23"/>
        <v/>
      </c>
      <c r="C243" s="114" t="str">
        <f t="shared" ca="1" si="28"/>
        <v/>
      </c>
      <c r="D243" s="114" t="str">
        <f t="shared" ca="1" si="28"/>
        <v/>
      </c>
      <c r="E243" s="114" t="str">
        <f t="shared" ca="1" si="28"/>
        <v/>
      </c>
      <c r="F243" s="114" t="str">
        <f t="shared" ca="1" si="28"/>
        <v/>
      </c>
      <c r="G243" s="114" t="str">
        <f t="shared" ca="1" si="28"/>
        <v/>
      </c>
      <c r="H243" s="114" t="str">
        <f t="shared" ca="1" si="28"/>
        <v/>
      </c>
      <c r="I243" s="114" t="str">
        <f t="shared" ca="1" si="28"/>
        <v/>
      </c>
      <c r="J243" s="114" t="str">
        <f t="shared" ca="1" si="28"/>
        <v/>
      </c>
      <c r="K243" s="114" t="str">
        <f t="shared" ca="1" si="28"/>
        <v/>
      </c>
      <c r="L243" s="114" t="str">
        <f t="shared" ca="1" si="28"/>
        <v/>
      </c>
      <c r="M243" s="114" t="str">
        <f t="shared" ca="1" si="28"/>
        <v/>
      </c>
      <c r="N243" s="114" t="str">
        <f t="shared" ca="1" si="28"/>
        <v/>
      </c>
      <c r="O243" s="114" t="str">
        <f t="shared" ca="1" si="28"/>
        <v/>
      </c>
      <c r="P243" s="114" t="str">
        <f t="shared" ca="1" si="28"/>
        <v/>
      </c>
      <c r="Q243" s="114" t="str">
        <f t="shared" ca="1" si="28"/>
        <v/>
      </c>
      <c r="R243" s="114" t="str">
        <f t="shared" ca="1" si="26"/>
        <v/>
      </c>
    </row>
    <row r="244" spans="1:18">
      <c r="A244" s="21">
        <v>236</v>
      </c>
      <c r="B244" s="22" t="str">
        <f t="shared" ca="1" si="23"/>
        <v/>
      </c>
      <c r="C244" s="114" t="str">
        <f t="shared" ca="1" si="28"/>
        <v/>
      </c>
      <c r="D244" s="114" t="str">
        <f t="shared" ca="1" si="28"/>
        <v/>
      </c>
      <c r="E244" s="114" t="str">
        <f t="shared" ca="1" si="28"/>
        <v/>
      </c>
      <c r="F244" s="114" t="str">
        <f t="shared" ca="1" si="28"/>
        <v/>
      </c>
      <c r="G244" s="114" t="str">
        <f t="shared" ca="1" si="28"/>
        <v/>
      </c>
      <c r="H244" s="114" t="str">
        <f t="shared" ca="1" si="28"/>
        <v/>
      </c>
      <c r="I244" s="114" t="str">
        <f t="shared" ca="1" si="28"/>
        <v/>
      </c>
      <c r="J244" s="114" t="str">
        <f t="shared" ca="1" si="28"/>
        <v/>
      </c>
      <c r="K244" s="114" t="str">
        <f t="shared" ca="1" si="28"/>
        <v/>
      </c>
      <c r="L244" s="114" t="str">
        <f t="shared" ca="1" si="28"/>
        <v/>
      </c>
      <c r="M244" s="114" t="str">
        <f t="shared" ca="1" si="28"/>
        <v/>
      </c>
      <c r="N244" s="114" t="str">
        <f t="shared" ca="1" si="28"/>
        <v/>
      </c>
      <c r="O244" s="114" t="str">
        <f t="shared" ca="1" si="28"/>
        <v/>
      </c>
      <c r="P244" s="114" t="str">
        <f t="shared" ca="1" si="28"/>
        <v/>
      </c>
      <c r="Q244" s="114" t="str">
        <f t="shared" ca="1" si="28"/>
        <v/>
      </c>
      <c r="R244" s="114" t="str">
        <f t="shared" ca="1" si="26"/>
        <v/>
      </c>
    </row>
    <row r="245" spans="1:18">
      <c r="A245" s="21">
        <v>237</v>
      </c>
      <c r="B245" s="22" t="str">
        <f t="shared" ca="1" si="23"/>
        <v/>
      </c>
      <c r="C245" s="114" t="str">
        <f t="shared" ca="1" si="28"/>
        <v/>
      </c>
      <c r="D245" s="114" t="str">
        <f t="shared" ca="1" si="28"/>
        <v/>
      </c>
      <c r="E245" s="114" t="str">
        <f t="shared" ca="1" si="28"/>
        <v/>
      </c>
      <c r="F245" s="114" t="str">
        <f t="shared" ca="1" si="28"/>
        <v/>
      </c>
      <c r="G245" s="114" t="str">
        <f t="shared" ca="1" si="28"/>
        <v/>
      </c>
      <c r="H245" s="114" t="str">
        <f t="shared" ca="1" si="28"/>
        <v/>
      </c>
      <c r="I245" s="114" t="str">
        <f t="shared" ca="1" si="28"/>
        <v/>
      </c>
      <c r="J245" s="114" t="str">
        <f t="shared" ca="1" si="28"/>
        <v/>
      </c>
      <c r="K245" s="114" t="str">
        <f t="shared" ca="1" si="28"/>
        <v/>
      </c>
      <c r="L245" s="114" t="str">
        <f t="shared" ca="1" si="28"/>
        <v/>
      </c>
      <c r="M245" s="114" t="str">
        <f t="shared" ca="1" si="28"/>
        <v/>
      </c>
      <c r="N245" s="114" t="str">
        <f t="shared" ca="1" si="28"/>
        <v/>
      </c>
      <c r="O245" s="114" t="str">
        <f t="shared" ca="1" si="28"/>
        <v/>
      </c>
      <c r="P245" s="114" t="str">
        <f t="shared" ca="1" si="28"/>
        <v/>
      </c>
      <c r="Q245" s="114" t="str">
        <f t="shared" ca="1" si="28"/>
        <v/>
      </c>
      <c r="R245" s="114" t="str">
        <f t="shared" ca="1" si="26"/>
        <v/>
      </c>
    </row>
    <row r="246" spans="1:18">
      <c r="A246" s="21">
        <v>238</v>
      </c>
      <c r="B246" s="22" t="str">
        <f t="shared" ca="1" si="23"/>
        <v/>
      </c>
      <c r="C246" s="114" t="str">
        <f t="shared" ca="1" si="28"/>
        <v/>
      </c>
      <c r="D246" s="114" t="str">
        <f t="shared" ca="1" si="28"/>
        <v/>
      </c>
      <c r="E246" s="114" t="str">
        <f t="shared" ca="1" si="28"/>
        <v/>
      </c>
      <c r="F246" s="114" t="str">
        <f t="shared" ca="1" si="28"/>
        <v/>
      </c>
      <c r="G246" s="114" t="str">
        <f t="shared" ca="1" si="28"/>
        <v/>
      </c>
      <c r="H246" s="114" t="str">
        <f t="shared" ca="1" si="28"/>
        <v/>
      </c>
      <c r="I246" s="114" t="str">
        <f t="shared" ca="1" si="28"/>
        <v/>
      </c>
      <c r="J246" s="114" t="str">
        <f t="shared" ca="1" si="28"/>
        <v/>
      </c>
      <c r="K246" s="114" t="str">
        <f t="shared" ca="1" si="28"/>
        <v/>
      </c>
      <c r="L246" s="114" t="str">
        <f t="shared" ca="1" si="28"/>
        <v/>
      </c>
      <c r="M246" s="114" t="str">
        <f t="shared" ca="1" si="28"/>
        <v/>
      </c>
      <c r="N246" s="114" t="str">
        <f t="shared" ca="1" si="28"/>
        <v/>
      </c>
      <c r="O246" s="114" t="str">
        <f t="shared" ca="1" si="28"/>
        <v/>
      </c>
      <c r="P246" s="114" t="str">
        <f t="shared" ca="1" si="28"/>
        <v/>
      </c>
      <c r="Q246" s="114" t="str">
        <f t="shared" ca="1" si="28"/>
        <v/>
      </c>
      <c r="R246" s="114" t="str">
        <f t="shared" ca="1" si="26"/>
        <v/>
      </c>
    </row>
    <row r="247" spans="1:18">
      <c r="A247" s="21">
        <v>239</v>
      </c>
      <c r="B247" s="22" t="str">
        <f t="shared" ca="1" si="23"/>
        <v/>
      </c>
      <c r="C247" s="114" t="str">
        <f t="shared" ca="1" si="28"/>
        <v/>
      </c>
      <c r="D247" s="114" t="str">
        <f t="shared" ca="1" si="28"/>
        <v/>
      </c>
      <c r="E247" s="114" t="str">
        <f t="shared" ca="1" si="28"/>
        <v/>
      </c>
      <c r="F247" s="114" t="str">
        <f t="shared" ca="1" si="28"/>
        <v/>
      </c>
      <c r="G247" s="114" t="str">
        <f t="shared" ca="1" si="28"/>
        <v/>
      </c>
      <c r="H247" s="114" t="str">
        <f t="shared" ca="1" si="28"/>
        <v/>
      </c>
      <c r="I247" s="114" t="str">
        <f t="shared" ca="1" si="28"/>
        <v/>
      </c>
      <c r="J247" s="114" t="str">
        <f t="shared" ca="1" si="28"/>
        <v/>
      </c>
      <c r="K247" s="114" t="str">
        <f t="shared" ca="1" si="28"/>
        <v/>
      </c>
      <c r="L247" s="114" t="str">
        <f t="shared" ca="1" si="28"/>
        <v/>
      </c>
      <c r="M247" s="114" t="str">
        <f t="shared" ca="1" si="28"/>
        <v/>
      </c>
      <c r="N247" s="114" t="str">
        <f t="shared" ca="1" si="28"/>
        <v/>
      </c>
      <c r="O247" s="114" t="str">
        <f t="shared" ca="1" si="28"/>
        <v/>
      </c>
      <c r="P247" s="114" t="str">
        <f t="shared" ca="1" si="28"/>
        <v/>
      </c>
      <c r="Q247" s="114" t="str">
        <f t="shared" ca="1" si="28"/>
        <v/>
      </c>
      <c r="R247" s="114" t="str">
        <f t="shared" ca="1" si="26"/>
        <v/>
      </c>
    </row>
    <row r="248" spans="1:18">
      <c r="A248" s="21">
        <v>240</v>
      </c>
      <c r="B248" s="22" t="str">
        <f t="shared" ca="1" si="23"/>
        <v/>
      </c>
      <c r="C248" s="114" t="str">
        <f t="shared" ca="1" si="28"/>
        <v/>
      </c>
      <c r="D248" s="114" t="str">
        <f t="shared" ca="1" si="28"/>
        <v/>
      </c>
      <c r="E248" s="114" t="str">
        <f t="shared" ca="1" si="28"/>
        <v/>
      </c>
      <c r="F248" s="114" t="str">
        <f t="shared" ca="1" si="28"/>
        <v/>
      </c>
      <c r="G248" s="114" t="str">
        <f t="shared" ca="1" si="28"/>
        <v/>
      </c>
      <c r="H248" s="114" t="str">
        <f t="shared" ca="1" si="28"/>
        <v/>
      </c>
      <c r="I248" s="114" t="str">
        <f t="shared" ca="1" si="28"/>
        <v/>
      </c>
      <c r="J248" s="114" t="str">
        <f t="shared" ca="1" si="28"/>
        <v/>
      </c>
      <c r="K248" s="114" t="str">
        <f t="shared" ca="1" si="28"/>
        <v/>
      </c>
      <c r="L248" s="114" t="str">
        <f t="shared" ca="1" si="28"/>
        <v/>
      </c>
      <c r="M248" s="114" t="str">
        <f t="shared" ca="1" si="28"/>
        <v/>
      </c>
      <c r="N248" s="114" t="str">
        <f t="shared" ca="1" si="28"/>
        <v/>
      </c>
      <c r="O248" s="114" t="str">
        <f t="shared" ca="1" si="28"/>
        <v/>
      </c>
      <c r="P248" s="114" t="str">
        <f t="shared" ca="1" si="28"/>
        <v/>
      </c>
      <c r="Q248" s="114" t="str">
        <f t="shared" ca="1" si="28"/>
        <v/>
      </c>
      <c r="R248" s="114" t="str">
        <f t="shared" ca="1" si="26"/>
        <v/>
      </c>
    </row>
    <row r="249" spans="1:18">
      <c r="A249" s="21">
        <v>241</v>
      </c>
      <c r="B249" s="22" t="str">
        <f t="shared" ca="1" si="23"/>
        <v/>
      </c>
      <c r="C249" s="114" t="str">
        <f t="shared" ca="1" si="28"/>
        <v/>
      </c>
      <c r="D249" s="114" t="str">
        <f t="shared" ca="1" si="28"/>
        <v/>
      </c>
      <c r="E249" s="114" t="str">
        <f t="shared" ca="1" si="28"/>
        <v/>
      </c>
      <c r="F249" s="114" t="str">
        <f t="shared" ca="1" si="28"/>
        <v/>
      </c>
      <c r="G249" s="114" t="str">
        <f t="shared" ca="1" si="28"/>
        <v/>
      </c>
      <c r="H249" s="114" t="str">
        <f t="shared" ca="1" si="28"/>
        <v/>
      </c>
      <c r="I249" s="114" t="str">
        <f t="shared" ca="1" si="28"/>
        <v/>
      </c>
      <c r="J249" s="114" t="str">
        <f t="shared" ca="1" si="28"/>
        <v/>
      </c>
      <c r="K249" s="114" t="str">
        <f t="shared" ca="1" si="28"/>
        <v/>
      </c>
      <c r="L249" s="114" t="str">
        <f t="shared" ca="1" si="28"/>
        <v/>
      </c>
      <c r="M249" s="114" t="str">
        <f t="shared" ca="1" si="28"/>
        <v/>
      </c>
      <c r="N249" s="114" t="str">
        <f t="shared" ca="1" si="28"/>
        <v/>
      </c>
      <c r="O249" s="114" t="str">
        <f t="shared" ca="1" si="28"/>
        <v/>
      </c>
      <c r="P249" s="114" t="str">
        <f t="shared" ca="1" si="28"/>
        <v/>
      </c>
      <c r="Q249" s="114" t="str">
        <f t="shared" ca="1" si="28"/>
        <v/>
      </c>
      <c r="R249" s="114" t="str">
        <f t="shared" ca="1" si="26"/>
        <v/>
      </c>
    </row>
    <row r="250" spans="1:18">
      <c r="A250" s="21">
        <v>242</v>
      </c>
      <c r="B250" s="22" t="str">
        <f t="shared" ca="1" si="23"/>
        <v/>
      </c>
      <c r="C250" s="114" t="str">
        <f t="shared" ca="1" si="28"/>
        <v/>
      </c>
      <c r="D250" s="114" t="str">
        <f t="shared" ca="1" si="28"/>
        <v/>
      </c>
      <c r="E250" s="114" t="str">
        <f t="shared" ca="1" si="28"/>
        <v/>
      </c>
      <c r="F250" s="114" t="str">
        <f t="shared" ca="1" si="28"/>
        <v/>
      </c>
      <c r="G250" s="114" t="str">
        <f t="shared" ca="1" si="28"/>
        <v/>
      </c>
      <c r="H250" s="114" t="str">
        <f t="shared" ca="1" si="28"/>
        <v/>
      </c>
      <c r="I250" s="114" t="str">
        <f t="shared" ca="1" si="28"/>
        <v/>
      </c>
      <c r="J250" s="114" t="str">
        <f t="shared" ca="1" si="28"/>
        <v/>
      </c>
      <c r="K250" s="114" t="str">
        <f t="shared" ca="1" si="28"/>
        <v/>
      </c>
      <c r="L250" s="114" t="str">
        <f t="shared" ca="1" si="28"/>
        <v/>
      </c>
      <c r="M250" s="114" t="str">
        <f t="shared" ca="1" si="28"/>
        <v/>
      </c>
      <c r="N250" s="114" t="str">
        <f t="shared" ca="1" si="28"/>
        <v/>
      </c>
      <c r="O250" s="114" t="str">
        <f t="shared" ca="1" si="28"/>
        <v/>
      </c>
      <c r="P250" s="114" t="str">
        <f t="shared" ca="1" si="28"/>
        <v/>
      </c>
      <c r="Q250" s="114" t="str">
        <f t="shared" ca="1" si="28"/>
        <v/>
      </c>
      <c r="R250" s="114" t="str">
        <f t="shared" ca="1" si="26"/>
        <v/>
      </c>
    </row>
    <row r="251" spans="1:18">
      <c r="A251" s="21">
        <v>243</v>
      </c>
      <c r="B251" s="22" t="str">
        <f t="shared" ca="1" si="23"/>
        <v/>
      </c>
      <c r="C251" s="114" t="str">
        <f t="shared" ca="1" si="28"/>
        <v/>
      </c>
      <c r="D251" s="114" t="str">
        <f t="shared" ca="1" si="28"/>
        <v/>
      </c>
      <c r="E251" s="114" t="str">
        <f t="shared" ca="1" si="28"/>
        <v/>
      </c>
      <c r="F251" s="114" t="str">
        <f t="shared" ca="1" si="28"/>
        <v/>
      </c>
      <c r="G251" s="114" t="str">
        <f t="shared" ca="1" si="28"/>
        <v/>
      </c>
      <c r="H251" s="114" t="str">
        <f t="shared" ca="1" si="28"/>
        <v/>
      </c>
      <c r="I251" s="114" t="str">
        <f t="shared" ca="1" si="28"/>
        <v/>
      </c>
      <c r="J251" s="114" t="str">
        <f t="shared" ca="1" si="28"/>
        <v/>
      </c>
      <c r="K251" s="114" t="str">
        <f t="shared" ca="1" si="28"/>
        <v/>
      </c>
      <c r="L251" s="114" t="str">
        <f t="shared" ca="1" si="28"/>
        <v/>
      </c>
      <c r="M251" s="114" t="str">
        <f t="shared" ca="1" si="28"/>
        <v/>
      </c>
      <c r="N251" s="114" t="str">
        <f t="shared" ca="1" si="28"/>
        <v/>
      </c>
      <c r="O251" s="114" t="str">
        <f t="shared" ca="1" si="28"/>
        <v/>
      </c>
      <c r="P251" s="114" t="str">
        <f t="shared" ca="1" si="28"/>
        <v/>
      </c>
      <c r="Q251" s="114" t="str">
        <f t="shared" ca="1" si="28"/>
        <v/>
      </c>
      <c r="R251" s="114" t="str">
        <f t="shared" ca="1" si="26"/>
        <v/>
      </c>
    </row>
    <row r="252" spans="1:18">
      <c r="A252" s="21">
        <v>244</v>
      </c>
      <c r="B252" s="22" t="str">
        <f t="shared" ca="1" si="23"/>
        <v/>
      </c>
      <c r="C252" s="114" t="str">
        <f t="shared" ca="1" si="28"/>
        <v/>
      </c>
      <c r="D252" s="114" t="str">
        <f t="shared" ca="1" si="28"/>
        <v/>
      </c>
      <c r="E252" s="114" t="str">
        <f t="shared" ca="1" si="28"/>
        <v/>
      </c>
      <c r="F252" s="114" t="str">
        <f t="shared" ca="1" si="28"/>
        <v/>
      </c>
      <c r="G252" s="114" t="str">
        <f t="shared" ca="1" si="28"/>
        <v/>
      </c>
      <c r="H252" s="114" t="str">
        <f t="shared" ca="1" si="28"/>
        <v/>
      </c>
      <c r="I252" s="114" t="str">
        <f t="shared" ca="1" si="28"/>
        <v/>
      </c>
      <c r="J252" s="114" t="str">
        <f t="shared" ca="1" si="28"/>
        <v/>
      </c>
      <c r="K252" s="114" t="str">
        <f t="shared" ca="1" si="28"/>
        <v/>
      </c>
      <c r="L252" s="114" t="str">
        <f t="shared" ca="1" si="28"/>
        <v/>
      </c>
      <c r="M252" s="114" t="str">
        <f t="shared" ca="1" si="28"/>
        <v/>
      </c>
      <c r="N252" s="114" t="str">
        <f t="shared" ca="1" si="28"/>
        <v/>
      </c>
      <c r="O252" s="114" t="str">
        <f t="shared" ca="1" si="28"/>
        <v/>
      </c>
      <c r="P252" s="114" t="str">
        <f t="shared" ca="1" si="28"/>
        <v/>
      </c>
      <c r="Q252" s="114" t="str">
        <f t="shared" ca="1" si="28"/>
        <v/>
      </c>
      <c r="R252" s="114" t="str">
        <f t="shared" ca="1" si="26"/>
        <v/>
      </c>
    </row>
    <row r="253" spans="1:18">
      <c r="A253" s="21">
        <v>245</v>
      </c>
      <c r="B253" s="22" t="str">
        <f t="shared" ca="1" si="23"/>
        <v/>
      </c>
      <c r="C253" s="114" t="str">
        <f t="shared" ca="1" si="28"/>
        <v/>
      </c>
      <c r="D253" s="114" t="str">
        <f t="shared" ca="1" si="28"/>
        <v/>
      </c>
      <c r="E253" s="114" t="str">
        <f t="shared" ca="1" si="28"/>
        <v/>
      </c>
      <c r="F253" s="114" t="str">
        <f t="shared" ca="1" si="28"/>
        <v/>
      </c>
      <c r="G253" s="114" t="str">
        <f t="shared" ca="1" si="28"/>
        <v/>
      </c>
      <c r="H253" s="114" t="str">
        <f t="shared" ca="1" si="28"/>
        <v/>
      </c>
      <c r="I253" s="114" t="str">
        <f t="shared" ca="1" si="28"/>
        <v/>
      </c>
      <c r="J253" s="114" t="str">
        <f t="shared" ca="1" si="28"/>
        <v/>
      </c>
      <c r="K253" s="114" t="str">
        <f t="shared" ca="1" si="28"/>
        <v/>
      </c>
      <c r="L253" s="114" t="str">
        <f t="shared" ca="1" si="28"/>
        <v/>
      </c>
      <c r="M253" s="114" t="str">
        <f t="shared" ca="1" si="28"/>
        <v/>
      </c>
      <c r="N253" s="114" t="str">
        <f t="shared" ca="1" si="28"/>
        <v/>
      </c>
      <c r="O253" s="114" t="str">
        <f t="shared" ca="1" si="28"/>
        <v/>
      </c>
      <c r="P253" s="114" t="str">
        <f t="shared" ca="1" si="28"/>
        <v/>
      </c>
      <c r="Q253" s="114" t="str">
        <f t="shared" ca="1" si="28"/>
        <v/>
      </c>
      <c r="R253" s="114" t="str">
        <f t="shared" ca="1" si="26"/>
        <v/>
      </c>
    </row>
    <row r="254" spans="1:18">
      <c r="A254" s="21">
        <v>246</v>
      </c>
      <c r="B254" s="22" t="str">
        <f t="shared" ca="1" si="23"/>
        <v/>
      </c>
      <c r="C254" s="114" t="str">
        <f t="shared" ca="1" si="28"/>
        <v/>
      </c>
      <c r="D254" s="114" t="str">
        <f t="shared" ca="1" si="28"/>
        <v/>
      </c>
      <c r="E254" s="114" t="str">
        <f t="shared" ca="1" si="28"/>
        <v/>
      </c>
      <c r="F254" s="114" t="str">
        <f t="shared" ca="1" si="28"/>
        <v/>
      </c>
      <c r="G254" s="114" t="str">
        <f t="shared" ca="1" si="28"/>
        <v/>
      </c>
      <c r="H254" s="114" t="str">
        <f t="shared" ca="1" si="28"/>
        <v/>
      </c>
      <c r="I254" s="114" t="str">
        <f t="shared" ca="1" si="28"/>
        <v/>
      </c>
      <c r="J254" s="114" t="str">
        <f t="shared" ca="1" si="28"/>
        <v/>
      </c>
      <c r="K254" s="114" t="str">
        <f t="shared" ca="1" si="28"/>
        <v/>
      </c>
      <c r="L254" s="114" t="str">
        <f t="shared" ca="1" si="28"/>
        <v/>
      </c>
      <c r="M254" s="114" t="str">
        <f t="shared" ca="1" si="28"/>
        <v/>
      </c>
      <c r="N254" s="114" t="str">
        <f t="shared" ca="1" si="28"/>
        <v/>
      </c>
      <c r="O254" s="114" t="str">
        <f t="shared" ca="1" si="28"/>
        <v/>
      </c>
      <c r="P254" s="114" t="str">
        <f t="shared" ca="1" si="28"/>
        <v/>
      </c>
      <c r="Q254" s="114" t="str">
        <f t="shared" ca="1" si="28"/>
        <v/>
      </c>
      <c r="R254" s="114" t="str">
        <f t="shared" ca="1" si="26"/>
        <v/>
      </c>
    </row>
    <row r="255" spans="1:18">
      <c r="A255" s="21">
        <v>247</v>
      </c>
      <c r="B255" s="22" t="str">
        <f t="shared" ca="1" si="23"/>
        <v/>
      </c>
      <c r="C255" s="114" t="str">
        <f t="shared" ca="1" si="28"/>
        <v/>
      </c>
      <c r="D255" s="114" t="str">
        <f t="shared" ca="1" si="28"/>
        <v/>
      </c>
      <c r="E255" s="114" t="str">
        <f t="shared" ca="1" si="28"/>
        <v/>
      </c>
      <c r="F255" s="114" t="str">
        <f t="shared" ca="1" si="28"/>
        <v/>
      </c>
      <c r="G255" s="114" t="str">
        <f t="shared" ca="1" si="28"/>
        <v/>
      </c>
      <c r="H255" s="114" t="str">
        <f t="shared" ca="1" si="28"/>
        <v/>
      </c>
      <c r="I255" s="114" t="str">
        <f t="shared" ca="1" si="28"/>
        <v/>
      </c>
      <c r="J255" s="114" t="str">
        <f t="shared" ca="1" si="28"/>
        <v/>
      </c>
      <c r="K255" s="114" t="str">
        <f t="shared" ca="1" si="28"/>
        <v/>
      </c>
      <c r="L255" s="114" t="str">
        <f t="shared" ca="1" si="28"/>
        <v/>
      </c>
      <c r="M255" s="114" t="str">
        <f t="shared" ca="1" si="28"/>
        <v/>
      </c>
      <c r="N255" s="114" t="str">
        <f t="shared" ca="1" si="28"/>
        <v/>
      </c>
      <c r="O255" s="114" t="str">
        <f t="shared" ca="1" si="28"/>
        <v/>
      </c>
      <c r="P255" s="114" t="str">
        <f t="shared" ca="1" si="28"/>
        <v/>
      </c>
      <c r="Q255" s="114" t="str">
        <f t="shared" ca="1" si="28"/>
        <v/>
      </c>
      <c r="R255" s="114" t="str">
        <f t="shared" ca="1" si="26"/>
        <v/>
      </c>
    </row>
    <row r="256" spans="1:18">
      <c r="A256" s="21">
        <v>248</v>
      </c>
      <c r="B256" s="22" t="str">
        <f t="shared" ca="1" si="23"/>
        <v/>
      </c>
      <c r="C256" s="114" t="str">
        <f t="shared" ca="1" si="28"/>
        <v/>
      </c>
      <c r="D256" s="114" t="str">
        <f t="shared" ca="1" si="28"/>
        <v/>
      </c>
      <c r="E256" s="114" t="str">
        <f t="shared" ca="1" si="28"/>
        <v/>
      </c>
      <c r="F256" s="114" t="str">
        <f t="shared" ca="1" si="28"/>
        <v/>
      </c>
      <c r="G256" s="114" t="str">
        <f t="shared" ca="1" si="28"/>
        <v/>
      </c>
      <c r="H256" s="114" t="str">
        <f t="shared" ca="1" si="28"/>
        <v/>
      </c>
      <c r="I256" s="114" t="str">
        <f t="shared" ca="1" si="28"/>
        <v/>
      </c>
      <c r="J256" s="114" t="str">
        <f t="shared" ca="1" si="28"/>
        <v/>
      </c>
      <c r="K256" s="114" t="str">
        <f t="shared" ca="1" si="28"/>
        <v/>
      </c>
      <c r="L256" s="114" t="str">
        <f t="shared" ca="1" si="28"/>
        <v/>
      </c>
      <c r="M256" s="114" t="str">
        <f t="shared" ca="1" si="28"/>
        <v/>
      </c>
      <c r="N256" s="114" t="str">
        <f t="shared" ca="1" si="28"/>
        <v/>
      </c>
      <c r="O256" s="114" t="str">
        <f t="shared" ca="1" si="28"/>
        <v/>
      </c>
      <c r="P256" s="114" t="str">
        <f t="shared" ca="1" si="28"/>
        <v/>
      </c>
      <c r="Q256" s="114" t="str">
        <f t="shared" ca="1" si="28"/>
        <v/>
      </c>
      <c r="R256" s="114" t="str">
        <f t="shared" ca="1" si="26"/>
        <v/>
      </c>
    </row>
    <row r="257" spans="1:18">
      <c r="A257" s="21">
        <v>249</v>
      </c>
      <c r="B257" s="22" t="str">
        <f t="shared" ca="1" si="23"/>
        <v/>
      </c>
      <c r="C257" s="114" t="str">
        <f t="shared" ref="C257:Q258" ca="1" si="29">IF(AND($B257=$S$4,C$5&lt;&gt;""),IF(VLOOKUP($A$1&amp;"-"&amp;$A257,INDIRECT($E$2&amp;$E$3),C$4+$B$4,0)="","","'"&amp;C$5&amp;"' =&gt; '"&amp;VLOOKUP($A$1&amp;"-"&amp;$A257,INDIRECT($E$2&amp;$E$3),C$4+$B$4,0)&amp;"', "),"")</f>
        <v/>
      </c>
      <c r="D257" s="114" t="str">
        <f t="shared" ca="1" si="29"/>
        <v/>
      </c>
      <c r="E257" s="114" t="str">
        <f t="shared" ca="1" si="29"/>
        <v/>
      </c>
      <c r="F257" s="114" t="str">
        <f t="shared" ca="1" si="29"/>
        <v/>
      </c>
      <c r="G257" s="114" t="str">
        <f t="shared" ca="1" si="29"/>
        <v/>
      </c>
      <c r="H257" s="114" t="str">
        <f t="shared" ca="1" si="29"/>
        <v/>
      </c>
      <c r="I257" s="114" t="str">
        <f t="shared" ca="1" si="29"/>
        <v/>
      </c>
      <c r="J257" s="114" t="str">
        <f t="shared" ca="1" si="29"/>
        <v/>
      </c>
      <c r="K257" s="114" t="str">
        <f t="shared" ca="1" si="29"/>
        <v/>
      </c>
      <c r="L257" s="114" t="str">
        <f t="shared" ca="1" si="29"/>
        <v/>
      </c>
      <c r="M257" s="114" t="str">
        <f t="shared" ca="1" si="29"/>
        <v/>
      </c>
      <c r="N257" s="114" t="str">
        <f t="shared" ca="1" si="29"/>
        <v/>
      </c>
      <c r="O257" s="114" t="str">
        <f t="shared" ca="1" si="29"/>
        <v/>
      </c>
      <c r="P257" s="114" t="str">
        <f t="shared" ca="1" si="29"/>
        <v/>
      </c>
      <c r="Q257" s="114" t="str">
        <f t="shared" ca="1" si="29"/>
        <v/>
      </c>
      <c r="R257" s="114" t="str">
        <f t="shared" ca="1" si="26"/>
        <v/>
      </c>
    </row>
    <row r="258" spans="1:18">
      <c r="A258" s="21">
        <v>250</v>
      </c>
      <c r="B258" s="22" t="str">
        <f t="shared" ca="1" si="23"/>
        <v/>
      </c>
      <c r="C258" s="114" t="str">
        <f t="shared" ca="1" si="29"/>
        <v/>
      </c>
      <c r="D258" s="114" t="str">
        <f t="shared" ca="1" si="29"/>
        <v/>
      </c>
      <c r="E258" s="114" t="str">
        <f t="shared" ca="1" si="29"/>
        <v/>
      </c>
      <c r="F258" s="114" t="str">
        <f t="shared" ca="1" si="29"/>
        <v/>
      </c>
      <c r="G258" s="114" t="str">
        <f t="shared" ca="1" si="29"/>
        <v/>
      </c>
      <c r="H258" s="114" t="str">
        <f t="shared" ca="1" si="29"/>
        <v/>
      </c>
      <c r="I258" s="114" t="str">
        <f t="shared" ca="1" si="29"/>
        <v/>
      </c>
      <c r="J258" s="114" t="str">
        <f t="shared" ca="1" si="29"/>
        <v/>
      </c>
      <c r="K258" s="114" t="str">
        <f t="shared" ca="1" si="29"/>
        <v/>
      </c>
      <c r="L258" s="114" t="str">
        <f t="shared" ca="1" si="29"/>
        <v/>
      </c>
      <c r="M258" s="114" t="str">
        <f t="shared" ca="1" si="29"/>
        <v/>
      </c>
      <c r="N258" s="114" t="str">
        <f t="shared" ca="1" si="29"/>
        <v/>
      </c>
      <c r="O258" s="114" t="str">
        <f t="shared" ca="1" si="29"/>
        <v/>
      </c>
      <c r="P258" s="114" t="str">
        <f t="shared" ca="1" si="29"/>
        <v/>
      </c>
      <c r="Q258" s="114" t="str">
        <f t="shared" ca="1" si="29"/>
        <v/>
      </c>
      <c r="R258" s="114" t="str">
        <f t="shared" ca="1" si="26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0"/>
  <sheetViews>
    <sheetView topLeftCell="F12" workbookViewId="0">
      <selection activeCell="F25" sqref="F25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" t="str">
        <f>Page&amp;"-"&amp;(COUNTA($E$1:ResourceTable[[#This Row],[Name]])-2)</f>
        <v>Resources-1</v>
      </c>
      <c r="B3" s="15" t="str">
        <f>ResourceTable[[#This Row],[Name]]</f>
        <v>Group</v>
      </c>
      <c r="C3" s="3">
        <f>COUNTA($A$1:ResourceTable[[#This Row],[Primary]])-2</f>
        <v>1</v>
      </c>
      <c r="D3" s="3">
        <f>IF(ResourceTable[[#This Row],[RID]]=0,"id",ResourceTable[[#This Row],[RID]]+IF(ISNUMBER(VLOOKUP(Page,SeedMap[],9,0)),VLOOKUP(Page,SeedMap[],9,0),0))</f>
        <v>2106101</v>
      </c>
      <c r="E3" s="1" t="s">
        <v>96</v>
      </c>
      <c r="F3" s="1" t="s">
        <v>1143</v>
      </c>
      <c r="G3" s="1" t="s">
        <v>76</v>
      </c>
      <c r="H3" s="6" t="str">
        <f t="shared" ref="H3:H8" si="0">"Firumon\LLM\Model"</f>
        <v>Firumon\LLM\Model</v>
      </c>
      <c r="I3" s="1" t="s">
        <v>77</v>
      </c>
      <c r="J3" s="1"/>
      <c r="K3" s="1"/>
      <c r="L3" s="1"/>
      <c r="M3" s="3">
        <f>[No]</f>
        <v>2106101</v>
      </c>
    </row>
    <row r="4" spans="1:26">
      <c r="A4" s="66" t="str">
        <f>Page&amp;"-"&amp;(COUNTA($E$1:ResourceTable[[#This Row],[Name]])-2)</f>
        <v>Resources-2</v>
      </c>
      <c r="B4" s="68" t="str">
        <f>ResourceTable[[#This Row],[Name]]</f>
        <v>User</v>
      </c>
      <c r="C4" s="66">
        <f>COUNTA($A$1:ResourceTable[[#This Row],[Primary]])-2</f>
        <v>2</v>
      </c>
      <c r="D4" s="66">
        <f>IF(ResourceTable[[#This Row],[RID]]=0,"id",ResourceTable[[#This Row],[RID]]+IF(ISNUMBER(VLOOKUP(Page,SeedMap[],9,0)),VLOOKUP(Page,SeedMap[],9,0),0))</f>
        <v>2106102</v>
      </c>
      <c r="E4" s="60" t="s">
        <v>74</v>
      </c>
      <c r="F4" s="60" t="s">
        <v>955</v>
      </c>
      <c r="G4" s="60" t="s">
        <v>78</v>
      </c>
      <c r="H4" s="61" t="str">
        <f t="shared" si="0"/>
        <v>Firumon\LLM\Model</v>
      </c>
      <c r="I4" s="60" t="s">
        <v>75</v>
      </c>
      <c r="J4" s="60"/>
      <c r="K4" s="60"/>
      <c r="L4" s="60"/>
      <c r="M4" s="66">
        <f>[No]</f>
        <v>2106102</v>
      </c>
    </row>
    <row r="5" spans="1:26">
      <c r="A5" s="66" t="str">
        <f>Page&amp;"-"&amp;(COUNTA($E$1:ResourceTable[[#This Row],[Name]])-2)</f>
        <v>Resources-3</v>
      </c>
      <c r="B5" s="68" t="str">
        <f>ResourceTable[[#This Row],[Name]]</f>
        <v>Owner</v>
      </c>
      <c r="C5" s="66">
        <f>COUNTA($A$1:ResourceTable[[#This Row],[Primary]])-2</f>
        <v>3</v>
      </c>
      <c r="D5" s="66">
        <f>IF(ResourceTable[[#This Row],[RID]]=0,"id",ResourceTable[[#This Row],[RID]]+IF(ISNUMBER(VLOOKUP(Page,SeedMap[],9,0)),VLOOKUP(Page,SeedMap[],9,0),0))</f>
        <v>2106103</v>
      </c>
      <c r="E5" s="60" t="s">
        <v>1119</v>
      </c>
      <c r="F5" s="60" t="s">
        <v>1338</v>
      </c>
      <c r="G5" s="60" t="s">
        <v>1117</v>
      </c>
      <c r="H5" s="61" t="str">
        <f t="shared" si="0"/>
        <v>Firumon\LLM\Model</v>
      </c>
      <c r="I5" s="60" t="s">
        <v>75</v>
      </c>
      <c r="J5" s="60"/>
      <c r="K5" s="60"/>
      <c r="L5" s="60"/>
      <c r="M5" s="66">
        <f>[No]</f>
        <v>2106103</v>
      </c>
    </row>
    <row r="6" spans="1:26">
      <c r="A6" s="66" t="str">
        <f>Page&amp;"-"&amp;(COUNTA($E$1:ResourceTable[[#This Row],[Name]])-2)</f>
        <v>Resources-4</v>
      </c>
      <c r="B6" s="68" t="str">
        <f>ResourceTable[[#This Row],[Name]]</f>
        <v>Employee</v>
      </c>
      <c r="C6" s="66">
        <f>COUNTA($A$1:ResourceTable[[#This Row],[Primary]])-2</f>
        <v>4</v>
      </c>
      <c r="D6" s="66">
        <f>IF(ResourceTable[[#This Row],[RID]]=0,"id",ResourceTable[[#This Row],[RID]]+IF(ISNUMBER(VLOOKUP(Page,SeedMap[],9,0)),VLOOKUP(Page,SeedMap[],9,0),0))</f>
        <v>2106104</v>
      </c>
      <c r="E6" s="60" t="s">
        <v>1337</v>
      </c>
      <c r="F6" s="60" t="s">
        <v>1339</v>
      </c>
      <c r="G6" s="60" t="s">
        <v>1114</v>
      </c>
      <c r="H6" s="61" t="str">
        <f t="shared" si="0"/>
        <v>Firumon\LLM\Model</v>
      </c>
      <c r="I6" s="60" t="s">
        <v>75</v>
      </c>
      <c r="J6" s="60"/>
      <c r="K6" s="60"/>
      <c r="L6" s="60"/>
      <c r="M6" s="66">
        <f>[No]</f>
        <v>2106104</v>
      </c>
    </row>
    <row r="7" spans="1:26">
      <c r="A7" s="3" t="str">
        <f>Page&amp;"-"&amp;(COUNTA($E$1:ResourceTable[[#This Row],[Name]])-2)</f>
        <v>Resources-5</v>
      </c>
      <c r="B7" s="15" t="str">
        <f>ResourceTable[[#This Row],[Name]]</f>
        <v>Customer</v>
      </c>
      <c r="C7" s="3">
        <f>COUNTA($A$1:ResourceTable[[#This Row],[Primary]])-2</f>
        <v>5</v>
      </c>
      <c r="D7" s="3">
        <f>IF(ResourceTable[[#This Row],[RID]]=0,"id",ResourceTable[[#This Row],[RID]]+IF(ISNUMBER(VLOOKUP(Page,SeedMap[],9,0)),VLOOKUP(Page,SeedMap[],9,0),0))</f>
        <v>2106105</v>
      </c>
      <c r="E7" s="1" t="s">
        <v>785</v>
      </c>
      <c r="F7" s="1" t="s">
        <v>1336</v>
      </c>
      <c r="G7" s="1" t="s">
        <v>903</v>
      </c>
      <c r="H7" s="6" t="str">
        <f t="shared" si="0"/>
        <v>Firumon\LLM\Model</v>
      </c>
      <c r="I7" s="1" t="s">
        <v>75</v>
      </c>
      <c r="J7" s="1"/>
      <c r="K7" s="1"/>
      <c r="L7" s="1"/>
      <c r="M7" s="3">
        <f>[No]</f>
        <v>2106105</v>
      </c>
    </row>
    <row r="8" spans="1:26">
      <c r="A8" s="66" t="str">
        <f>Page&amp;"-"&amp;(COUNTA($E$1:ResourceTable[[#This Row],[Name]])-2)</f>
        <v>Resources-6</v>
      </c>
      <c r="B8" s="68" t="str">
        <f>ResourceTable[[#This Row],[Name]]</f>
        <v>CustomerDetail</v>
      </c>
      <c r="C8" s="66">
        <f>COUNTA($A$1:ResourceTable[[#This Row],[Primary]])-2</f>
        <v>6</v>
      </c>
      <c r="D8" s="66">
        <f>IF(ResourceTable[[#This Row],[RID]]=0,"id",ResourceTable[[#This Row],[RID]]+IF(ISNUMBER(VLOOKUP(Page,SeedMap[],9,0)),VLOOKUP(Page,SeedMap[],9,0),0))</f>
        <v>2106106</v>
      </c>
      <c r="E8" s="60" t="s">
        <v>998</v>
      </c>
      <c r="F8" s="60" t="s">
        <v>1149</v>
      </c>
      <c r="G8" s="60" t="s">
        <v>1150</v>
      </c>
      <c r="H8" s="61" t="str">
        <f t="shared" si="0"/>
        <v>Firumon\LLM\Model</v>
      </c>
      <c r="I8" s="60" t="s">
        <v>1148</v>
      </c>
      <c r="J8" s="60"/>
      <c r="K8" s="60"/>
      <c r="L8" s="60"/>
      <c r="M8" s="66">
        <f>[No]</f>
        <v>2106106</v>
      </c>
    </row>
    <row r="9" spans="1:26">
      <c r="A9" s="61" t="str">
        <f>Page&amp;"-"&amp;(COUNTA($E$1:ResourceTable[[#This Row],[Name]])-2)</f>
        <v>Resources-7</v>
      </c>
      <c r="B9" s="68" t="str">
        <f>ResourceTable[[#This Row],[Name]]</f>
        <v>Hub</v>
      </c>
      <c r="C9" s="66">
        <f>COUNTA($A$1:ResourceTable[[#This Row],[Primary]])-2</f>
        <v>7</v>
      </c>
      <c r="D9" s="66">
        <f>IF(ResourceTable[[#This Row],[RID]]=0,"id",ResourceTable[[#This Row],[RID]]+IF(ISNUMBER(VLOOKUP(Page,SeedMap[],9,0)),VLOOKUP(Page,SeedMap[],9,0),0))</f>
        <v>2106107</v>
      </c>
      <c r="E9" s="60" t="s">
        <v>777</v>
      </c>
      <c r="F9" s="60" t="s">
        <v>936</v>
      </c>
      <c r="G9" s="60" t="s">
        <v>895</v>
      </c>
      <c r="H9" s="61" t="str">
        <f t="shared" ref="H9:H30" si="1">"Firumon\LLM\Model"</f>
        <v>Firumon\LLM\Model</v>
      </c>
      <c r="I9" s="60" t="s">
        <v>759</v>
      </c>
      <c r="J9" s="60"/>
      <c r="K9" s="60"/>
      <c r="L9" s="60"/>
      <c r="M9" s="66">
        <f>[No]</f>
        <v>2106107</v>
      </c>
    </row>
    <row r="10" spans="1:26">
      <c r="A10" s="61" t="str">
        <f>Page&amp;"-"&amp;(COUNTA($E$1:ResourceTable[[#This Row],[Name]])-2)</f>
        <v>Resources-8</v>
      </c>
      <c r="B10" s="68" t="str">
        <f>ResourceTable[[#This Row],[Name]]</f>
        <v>Service</v>
      </c>
      <c r="C10" s="66">
        <f>COUNTA($A$1:ResourceTable[[#This Row],[Primary]])-2</f>
        <v>8</v>
      </c>
      <c r="D10" s="66">
        <f>IF(ResourceTable[[#This Row],[RID]]=0,"id",ResourceTable[[#This Row],[RID]]+IF(ISNUMBER(VLOOKUP(Page,SeedMap[],9,0)),VLOOKUP(Page,SeedMap[],9,0),0))</f>
        <v>2106108</v>
      </c>
      <c r="E10" s="60" t="s">
        <v>778</v>
      </c>
      <c r="F10" s="60" t="s">
        <v>916</v>
      </c>
      <c r="G10" s="60" t="s">
        <v>896</v>
      </c>
      <c r="H10" s="61" t="str">
        <f t="shared" si="1"/>
        <v>Firumon\LLM\Model</v>
      </c>
      <c r="I10" s="60" t="s">
        <v>760</v>
      </c>
      <c r="J10" s="60"/>
      <c r="K10" s="60"/>
      <c r="L10" s="60"/>
      <c r="M10" s="66">
        <f>[No]</f>
        <v>2106108</v>
      </c>
    </row>
    <row r="11" spans="1:26">
      <c r="A11" s="61" t="str">
        <f>Page&amp;"-"&amp;(COUNTA($E$1:ResourceTable[[#This Row],[Name]])-2)</f>
        <v>Resources-9</v>
      </c>
      <c r="B11" s="68" t="str">
        <f>ResourceTable[[#This Row],[Name]]</f>
        <v>Item</v>
      </c>
      <c r="C11" s="66">
        <f>COUNTA($A$1:ResourceTable[[#This Row],[Primary]])-2</f>
        <v>9</v>
      </c>
      <c r="D11" s="66">
        <f>IF(ResourceTable[[#This Row],[RID]]=0,"id",ResourceTable[[#This Row],[RID]]+IF(ISNUMBER(VLOOKUP(Page,SeedMap[],9,0)),VLOOKUP(Page,SeedMap[],9,0),0))</f>
        <v>2106109</v>
      </c>
      <c r="E11" s="60" t="s">
        <v>779</v>
      </c>
      <c r="F11" s="60" t="s">
        <v>917</v>
      </c>
      <c r="G11" s="60" t="s">
        <v>897</v>
      </c>
      <c r="H11" s="61" t="str">
        <f t="shared" si="1"/>
        <v>Firumon\LLM\Model</v>
      </c>
      <c r="I11" s="60" t="s">
        <v>761</v>
      </c>
      <c r="J11" s="60"/>
      <c r="K11" s="60"/>
      <c r="L11" s="60"/>
      <c r="M11" s="66">
        <f>[No]</f>
        <v>2106109</v>
      </c>
    </row>
    <row r="12" spans="1:26">
      <c r="A12" s="61" t="str">
        <f>Page&amp;"-"&amp;(COUNTA($E$1:ResourceTable[[#This Row],[Name]])-2)</f>
        <v>Resources-10</v>
      </c>
      <c r="B12" s="68" t="str">
        <f>ResourceTable[[#This Row],[Name]]</f>
        <v>ItemService</v>
      </c>
      <c r="C12" s="66">
        <f>COUNTA($A$1:ResourceTable[[#This Row],[Primary]])-2</f>
        <v>10</v>
      </c>
      <c r="D12" s="66">
        <f>IF(ResourceTable[[#This Row],[RID]]=0,"id",ResourceTable[[#This Row],[RID]]+IF(ISNUMBER(VLOOKUP(Page,SeedMap[],9,0)),VLOOKUP(Page,SeedMap[],9,0),0))</f>
        <v>2106110</v>
      </c>
      <c r="E12" s="60" t="s">
        <v>780</v>
      </c>
      <c r="F12" s="60" t="s">
        <v>918</v>
      </c>
      <c r="G12" s="60" t="s">
        <v>898</v>
      </c>
      <c r="H12" s="61" t="str">
        <f t="shared" si="1"/>
        <v>Firumon\LLM\Model</v>
      </c>
      <c r="I12" s="60" t="s">
        <v>762</v>
      </c>
      <c r="J12" s="60"/>
      <c r="K12" s="60"/>
      <c r="L12" s="60"/>
      <c r="M12" s="66">
        <f>[No]</f>
        <v>2106110</v>
      </c>
    </row>
    <row r="13" spans="1:26">
      <c r="A13" s="61" t="str">
        <f>Page&amp;"-"&amp;(COUNTA($E$1:ResourceTable[[#This Row],[Name]])-2)</f>
        <v>Resources-11</v>
      </c>
      <c r="B13" s="68" t="str">
        <f>ResourceTable[[#This Row],[Name]]</f>
        <v>UserService</v>
      </c>
      <c r="C13" s="66">
        <f>COUNTA($A$1:ResourceTable[[#This Row],[Primary]])-2</f>
        <v>11</v>
      </c>
      <c r="D13" s="66">
        <f>IF(ResourceTable[[#This Row],[RID]]=0,"id",ResourceTable[[#This Row],[RID]]+IF(ISNUMBER(VLOOKUP(Page,SeedMap[],9,0)),VLOOKUP(Page,SeedMap[],9,0),0))</f>
        <v>2106111</v>
      </c>
      <c r="E13" s="60" t="s">
        <v>781</v>
      </c>
      <c r="F13" s="60" t="s">
        <v>919</v>
      </c>
      <c r="G13" s="60" t="s">
        <v>899</v>
      </c>
      <c r="H13" s="61" t="str">
        <f t="shared" si="1"/>
        <v>Firumon\LLM\Model</v>
      </c>
      <c r="I13" s="60" t="s">
        <v>765</v>
      </c>
      <c r="J13" s="60"/>
      <c r="K13" s="60"/>
      <c r="L13" s="60"/>
      <c r="M13" s="66">
        <f>[No]</f>
        <v>2106111</v>
      </c>
    </row>
    <row r="14" spans="1:26">
      <c r="A14" s="61" t="str">
        <f>Page&amp;"-"&amp;(COUNTA($E$1:ResourceTable[[#This Row],[Name]])-2)</f>
        <v>Resources-12</v>
      </c>
      <c r="B14" s="68" t="str">
        <f>ResourceTable[[#This Row],[Name]]</f>
        <v>HubUser</v>
      </c>
      <c r="C14" s="66">
        <f>COUNTA($A$1:ResourceTable[[#This Row],[Primary]])-2</f>
        <v>12</v>
      </c>
      <c r="D14" s="66">
        <f>IF(ResourceTable[[#This Row],[RID]]=0,"id",ResourceTable[[#This Row],[RID]]+IF(ISNUMBER(VLOOKUP(Page,SeedMap[],9,0)),VLOOKUP(Page,SeedMap[],9,0),0))</f>
        <v>2106112</v>
      </c>
      <c r="E14" s="60" t="s">
        <v>782</v>
      </c>
      <c r="F14" s="60" t="s">
        <v>920</v>
      </c>
      <c r="G14" s="60" t="s">
        <v>900</v>
      </c>
      <c r="H14" s="61" t="str">
        <f t="shared" si="1"/>
        <v>Firumon\LLM\Model</v>
      </c>
      <c r="I14" s="60" t="s">
        <v>766</v>
      </c>
      <c r="J14" s="60"/>
      <c r="K14" s="60"/>
      <c r="L14" s="60"/>
      <c r="M14" s="66">
        <f>[No]</f>
        <v>2106112</v>
      </c>
    </row>
    <row r="15" spans="1:26">
      <c r="A15" s="61" t="str">
        <f>Page&amp;"-"&amp;(COUNTA($E$1:ResourceTable[[#This Row],[Name]])-2)</f>
        <v>Resources-13</v>
      </c>
      <c r="B15" s="68" t="str">
        <f>ResourceTable[[#This Row],[Name]]</f>
        <v>Shelf</v>
      </c>
      <c r="C15" s="66">
        <f>COUNTA($A$1:ResourceTable[[#This Row],[Primary]])-2</f>
        <v>13</v>
      </c>
      <c r="D15" s="66">
        <f>IF(ResourceTable[[#This Row],[RID]]=0,"id",ResourceTable[[#This Row],[RID]]+IF(ISNUMBER(VLOOKUP(Page,SeedMap[],9,0)),VLOOKUP(Page,SeedMap[],9,0),0))</f>
        <v>2106113</v>
      </c>
      <c r="E15" s="1" t="s">
        <v>1029</v>
      </c>
      <c r="F15" s="60" t="s">
        <v>921</v>
      </c>
      <c r="G15" s="1" t="s">
        <v>1031</v>
      </c>
      <c r="H15" s="61" t="str">
        <f t="shared" si="1"/>
        <v>Firumon\LLM\Model</v>
      </c>
      <c r="I15" s="1" t="s">
        <v>1015</v>
      </c>
      <c r="J15" s="60"/>
      <c r="K15" s="60"/>
      <c r="L15" s="60"/>
      <c r="M15" s="66">
        <f>[No]</f>
        <v>2106113</v>
      </c>
    </row>
    <row r="16" spans="1:26">
      <c r="A16" s="61" t="str">
        <f>Page&amp;"-"&amp;(COUNTA($E$1:ResourceTable[[#This Row],[Name]])-2)</f>
        <v>Resources-14</v>
      </c>
      <c r="B16" s="68" t="str">
        <f>ResourceTable[[#This Row],[Name]]</f>
        <v>HubDefaultShelf</v>
      </c>
      <c r="C16" s="66">
        <f>COUNTA($A$1:ResourceTable[[#This Row],[Primary]])-2</f>
        <v>14</v>
      </c>
      <c r="D16" s="66">
        <f>IF(ResourceTable[[#This Row],[RID]]=0,"id",ResourceTable[[#This Row],[RID]]+IF(ISNUMBER(VLOOKUP(Page,SeedMap[],9,0)),VLOOKUP(Page,SeedMap[],9,0),0))</f>
        <v>2106114</v>
      </c>
      <c r="E16" s="1" t="s">
        <v>1030</v>
      </c>
      <c r="F16" s="1" t="s">
        <v>1032</v>
      </c>
      <c r="G16" s="1" t="s">
        <v>1033</v>
      </c>
      <c r="H16" s="61" t="str">
        <f t="shared" si="1"/>
        <v>Firumon\LLM\Model</v>
      </c>
      <c r="I16" s="1" t="s">
        <v>1019</v>
      </c>
      <c r="J16" s="60"/>
      <c r="K16" s="60"/>
      <c r="L16" s="60"/>
      <c r="M16" s="66">
        <f>[No]</f>
        <v>2106114</v>
      </c>
    </row>
    <row r="17" spans="1:13">
      <c r="A17" s="61" t="str">
        <f>Page&amp;"-"&amp;(COUNTA($E$1:ResourceTable[[#This Row],[Name]])-2)</f>
        <v>Resources-15</v>
      </c>
      <c r="B17" s="68" t="str">
        <f>ResourceTable[[#This Row],[Name]]</f>
        <v>Pricelist</v>
      </c>
      <c r="C17" s="66">
        <f>COUNTA($A$1:ResourceTable[[#This Row],[Primary]])-2</f>
        <v>15</v>
      </c>
      <c r="D17" s="66">
        <f>IF(ResourceTable[[#This Row],[RID]]=0,"id",ResourceTable[[#This Row],[RID]]+IF(ISNUMBER(VLOOKUP(Page,SeedMap[],9,0)),VLOOKUP(Page,SeedMap[],9,0),0))</f>
        <v>2106115</v>
      </c>
      <c r="E17" s="60" t="s">
        <v>783</v>
      </c>
      <c r="F17" s="60" t="s">
        <v>922</v>
      </c>
      <c r="G17" s="60" t="s">
        <v>901</v>
      </c>
      <c r="H17" s="61" t="str">
        <f t="shared" si="1"/>
        <v>Firumon\LLM\Model</v>
      </c>
      <c r="I17" s="60" t="s">
        <v>763</v>
      </c>
      <c r="J17" s="60"/>
      <c r="K17" s="60"/>
      <c r="L17" s="60"/>
      <c r="M17" s="66">
        <f>[No]</f>
        <v>2106115</v>
      </c>
    </row>
    <row r="18" spans="1:13">
      <c r="A18" s="61" t="str">
        <f>Page&amp;"-"&amp;(COUNTA($E$1:ResourceTable[[#This Row],[Name]])-2)</f>
        <v>Resources-16</v>
      </c>
      <c r="B18" s="68" t="str">
        <f>ResourceTable[[#This Row],[Name]]</f>
        <v>PricelistContent</v>
      </c>
      <c r="C18" s="66">
        <f>COUNTA($A$1:ResourceTable[[#This Row],[Primary]])-2</f>
        <v>16</v>
      </c>
      <c r="D18" s="66">
        <f>IF(ResourceTable[[#This Row],[RID]]=0,"id",ResourceTable[[#This Row],[RID]]+IF(ISNUMBER(VLOOKUP(Page,SeedMap[],9,0)),VLOOKUP(Page,SeedMap[],9,0),0))</f>
        <v>2106116</v>
      </c>
      <c r="E18" s="60" t="s">
        <v>784</v>
      </c>
      <c r="F18" s="60" t="s">
        <v>923</v>
      </c>
      <c r="G18" s="60" t="s">
        <v>902</v>
      </c>
      <c r="H18" s="61" t="str">
        <f t="shared" si="1"/>
        <v>Firumon\LLM\Model</v>
      </c>
      <c r="I18" s="60" t="s">
        <v>764</v>
      </c>
      <c r="J18" s="60"/>
      <c r="K18" s="60"/>
      <c r="L18" s="60"/>
      <c r="M18" s="66">
        <f>[No]</f>
        <v>2106116</v>
      </c>
    </row>
    <row r="19" spans="1:13">
      <c r="A19" s="61" t="str">
        <f>Page&amp;"-"&amp;(COUNTA($E$1:ResourceTable[[#This Row],[Name]])-2)</f>
        <v>Resources-17</v>
      </c>
      <c r="B19" s="68" t="str">
        <f>ResourceTable[[#This Row],[Name]]</f>
        <v>IdentityLabel</v>
      </c>
      <c r="C19" s="66">
        <f>COUNTA($A$1:ResourceTable[[#This Row],[Primary]])-2</f>
        <v>17</v>
      </c>
      <c r="D19" s="66">
        <f>IF(ResourceTable[[#This Row],[RID]]=0,"id",ResourceTable[[#This Row],[RID]]+IF(ISNUMBER(VLOOKUP(Page,SeedMap[],9,0)),VLOOKUP(Page,SeedMap[],9,0),0))</f>
        <v>2106117</v>
      </c>
      <c r="E19" s="60" t="s">
        <v>786</v>
      </c>
      <c r="F19" s="60" t="s">
        <v>924</v>
      </c>
      <c r="G19" s="60" t="s">
        <v>904</v>
      </c>
      <c r="H19" s="61" t="str">
        <f t="shared" si="1"/>
        <v>Firumon\LLM\Model</v>
      </c>
      <c r="I19" s="60" t="s">
        <v>770</v>
      </c>
      <c r="J19" s="60"/>
      <c r="K19" s="60"/>
      <c r="L19" s="60"/>
      <c r="M19" s="66">
        <f>[No]</f>
        <v>2106117</v>
      </c>
    </row>
    <row r="20" spans="1:13">
      <c r="A20" s="61" t="str">
        <f>Page&amp;"-"&amp;(COUNTA($E$1:ResourceTable[[#This Row],[Name]])-2)</f>
        <v>Resources-18</v>
      </c>
      <c r="B20" s="68" t="str">
        <f>ResourceTable[[#This Row],[Name]]</f>
        <v>Order</v>
      </c>
      <c r="C20" s="66">
        <f>COUNTA($A$1:ResourceTable[[#This Row],[Primary]])-2</f>
        <v>18</v>
      </c>
      <c r="D20" s="66">
        <f>IF(ResourceTable[[#This Row],[RID]]=0,"id",ResourceTable[[#This Row],[RID]]+IF(ISNUMBER(VLOOKUP(Page,SeedMap[],9,0)),VLOOKUP(Page,SeedMap[],9,0),0))</f>
        <v>2106118</v>
      </c>
      <c r="E20" s="60" t="s">
        <v>787</v>
      </c>
      <c r="F20" s="60" t="s">
        <v>925</v>
      </c>
      <c r="G20" s="60" t="s">
        <v>905</v>
      </c>
      <c r="H20" s="61" t="str">
        <f t="shared" si="1"/>
        <v>Firumon\LLM\Model</v>
      </c>
      <c r="I20" s="60" t="s">
        <v>768</v>
      </c>
      <c r="J20" s="60" t="s">
        <v>1821</v>
      </c>
      <c r="K20" s="60" t="s">
        <v>1822</v>
      </c>
      <c r="L20" s="60"/>
      <c r="M20" s="66">
        <f>[No]</f>
        <v>2106118</v>
      </c>
    </row>
    <row r="21" spans="1:13">
      <c r="A21" s="61" t="str">
        <f>Page&amp;"-"&amp;(COUNTA($E$1:ResourceTable[[#This Row],[Name]])-2)</f>
        <v>Resources-19</v>
      </c>
      <c r="B21" s="68" t="str">
        <f>ResourceTable[[#This Row],[Name]]</f>
        <v>OrderItem</v>
      </c>
      <c r="C21" s="66">
        <f>COUNTA($A$1:ResourceTable[[#This Row],[Primary]])-2</f>
        <v>19</v>
      </c>
      <c r="D21" s="66">
        <f>IF(ResourceTable[[#This Row],[RID]]=0,"id",ResourceTable[[#This Row],[RID]]+IF(ISNUMBER(VLOOKUP(Page,SeedMap[],9,0)),VLOOKUP(Page,SeedMap[],9,0),0))</f>
        <v>2106119</v>
      </c>
      <c r="E21" s="60" t="s">
        <v>788</v>
      </c>
      <c r="F21" s="60" t="s">
        <v>926</v>
      </c>
      <c r="G21" s="60" t="s">
        <v>906</v>
      </c>
      <c r="H21" s="61" t="str">
        <f t="shared" si="1"/>
        <v>Firumon\LLM\Model</v>
      </c>
      <c r="I21" s="60" t="s">
        <v>769</v>
      </c>
      <c r="J21" s="60"/>
      <c r="K21" s="60"/>
      <c r="L21" s="60"/>
      <c r="M21" s="66">
        <f>[No]</f>
        <v>2106119</v>
      </c>
    </row>
    <row r="22" spans="1:13">
      <c r="A22" s="61" t="str">
        <f>Page&amp;"-"&amp;(COUNTA($E$1:ResourceTable[[#This Row],[Name]])-2)</f>
        <v>Resources-20</v>
      </c>
      <c r="B22" s="68" t="str">
        <f>ResourceTable[[#This Row],[Name]]</f>
        <v>OrderItemService</v>
      </c>
      <c r="C22" s="66">
        <f>COUNTA($A$1:ResourceTable[[#This Row],[Primary]])-2</f>
        <v>20</v>
      </c>
      <c r="D22" s="66">
        <f>IF(ResourceTable[[#This Row],[RID]]=0,"id",ResourceTable[[#This Row],[RID]]+IF(ISNUMBER(VLOOKUP(Page,SeedMap[],9,0)),VLOOKUP(Page,SeedMap[],9,0),0))</f>
        <v>2106120</v>
      </c>
      <c r="E22" s="60" t="s">
        <v>789</v>
      </c>
      <c r="F22" s="60" t="s">
        <v>927</v>
      </c>
      <c r="G22" s="60" t="s">
        <v>907</v>
      </c>
      <c r="H22" s="61" t="str">
        <f t="shared" si="1"/>
        <v>Firumon\LLM\Model</v>
      </c>
      <c r="I22" s="60" t="s">
        <v>771</v>
      </c>
      <c r="J22" s="60"/>
      <c r="K22" s="60"/>
      <c r="L22" s="60"/>
      <c r="M22" s="66">
        <f>[No]</f>
        <v>2106120</v>
      </c>
    </row>
    <row r="23" spans="1:13">
      <c r="A23" s="61" t="str">
        <f>Page&amp;"-"&amp;(COUNTA($E$1:ResourceTable[[#This Row],[Name]])-2)</f>
        <v>Resources-21</v>
      </c>
      <c r="B23" s="68" t="str">
        <f>ResourceTable[[#This Row],[Name]]</f>
        <v>Invoice</v>
      </c>
      <c r="C23" s="66">
        <f>COUNTA($A$1:ResourceTable[[#This Row],[Primary]])-2</f>
        <v>21</v>
      </c>
      <c r="D23" s="66">
        <f>IF(ResourceTable[[#This Row],[RID]]=0,"id",ResourceTable[[#This Row],[RID]]+IF(ISNUMBER(VLOOKUP(Page,SeedMap[],9,0)),VLOOKUP(Page,SeedMap[],9,0),0))</f>
        <v>2106121</v>
      </c>
      <c r="E23" s="60" t="s">
        <v>893</v>
      </c>
      <c r="F23" s="60" t="s">
        <v>928</v>
      </c>
      <c r="G23" s="60" t="s">
        <v>908</v>
      </c>
      <c r="H23" s="61" t="str">
        <f t="shared" si="1"/>
        <v>Firumon\LLM\Model</v>
      </c>
      <c r="I23" s="60" t="s">
        <v>842</v>
      </c>
      <c r="J23" s="60"/>
      <c r="K23" s="60"/>
      <c r="L23" s="60"/>
      <c r="M23" s="66">
        <f>[No]</f>
        <v>2106121</v>
      </c>
    </row>
    <row r="24" spans="1:13">
      <c r="A24" s="61" t="str">
        <f>Page&amp;"-"&amp;(COUNTA($E$1:ResourceTable[[#This Row],[Name]])-2)</f>
        <v>Resources-22</v>
      </c>
      <c r="B24" s="68" t="str">
        <f>ResourceTable[[#This Row],[Name]]</f>
        <v>InvoiceItem</v>
      </c>
      <c r="C24" s="66">
        <f>COUNTA($A$1:ResourceTable[[#This Row],[Primary]])-2</f>
        <v>22</v>
      </c>
      <c r="D24" s="66">
        <f>IF(ResourceTable[[#This Row],[RID]]=0,"id",ResourceTable[[#This Row],[RID]]+IF(ISNUMBER(VLOOKUP(Page,SeedMap[],9,0)),VLOOKUP(Page,SeedMap[],9,0),0))</f>
        <v>2106122</v>
      </c>
      <c r="E24" s="60" t="s">
        <v>894</v>
      </c>
      <c r="F24" s="60" t="s">
        <v>929</v>
      </c>
      <c r="G24" s="60" t="s">
        <v>909</v>
      </c>
      <c r="H24" s="61" t="str">
        <f t="shared" si="1"/>
        <v>Firumon\LLM\Model</v>
      </c>
      <c r="I24" s="60" t="s">
        <v>843</v>
      </c>
      <c r="J24" s="60"/>
      <c r="K24" s="60"/>
      <c r="L24" s="60"/>
      <c r="M24" s="66">
        <f>[No]</f>
        <v>2106122</v>
      </c>
    </row>
    <row r="25" spans="1:13">
      <c r="A25" s="61" t="str">
        <f>Page&amp;"-"&amp;(COUNTA($E$1:ResourceTable[[#This Row],[Name]])-2)</f>
        <v>Resources-23</v>
      </c>
      <c r="B25" s="68" t="str">
        <f>ResourceTable[[#This Row],[Name]]</f>
        <v>OrderItemServiceUser</v>
      </c>
      <c r="C25" s="66">
        <f>COUNTA($A$1:ResourceTable[[#This Row],[Primary]])-2</f>
        <v>23</v>
      </c>
      <c r="D25" s="66">
        <f>IF(ResourceTable[[#This Row],[RID]]=0,"id",ResourceTable[[#This Row],[RID]]+IF(ISNUMBER(VLOOKUP(Page,SeedMap[],9,0)),VLOOKUP(Page,SeedMap[],9,0),0))</f>
        <v>2106123</v>
      </c>
      <c r="E25" s="60" t="s">
        <v>790</v>
      </c>
      <c r="F25" s="60" t="s">
        <v>930</v>
      </c>
      <c r="G25" s="1" t="s">
        <v>1967</v>
      </c>
      <c r="H25" s="61" t="str">
        <f t="shared" si="1"/>
        <v>Firumon\LLM\Model</v>
      </c>
      <c r="I25" s="60" t="s">
        <v>772</v>
      </c>
      <c r="J25" s="60" t="s">
        <v>1995</v>
      </c>
      <c r="K25" s="60" t="s">
        <v>1822</v>
      </c>
      <c r="L25" s="60"/>
      <c r="M25" s="66">
        <f>[No]</f>
        <v>2106123</v>
      </c>
    </row>
    <row r="26" spans="1:13">
      <c r="A26" s="61" t="str">
        <f>Page&amp;"-"&amp;(COUNTA($E$1:ResourceTable[[#This Row],[Name]])-2)</f>
        <v>Resources-24</v>
      </c>
      <c r="B26" s="68" t="str">
        <f>ResourceTable[[#This Row],[Name]]</f>
        <v>Receipt</v>
      </c>
      <c r="C26" s="66">
        <f>COUNTA($A$1:ResourceTable[[#This Row],[Primary]])-2</f>
        <v>24</v>
      </c>
      <c r="D26" s="66">
        <f>IF(ResourceTable[[#This Row],[RID]]=0,"id",ResourceTable[[#This Row],[RID]]+IF(ISNUMBER(VLOOKUP(Page,SeedMap[],9,0)),VLOOKUP(Page,SeedMap[],9,0),0))</f>
        <v>2106124</v>
      </c>
      <c r="E26" s="60" t="s">
        <v>791</v>
      </c>
      <c r="F26" s="60" t="s">
        <v>931</v>
      </c>
      <c r="G26" s="60" t="s">
        <v>911</v>
      </c>
      <c r="H26" s="61" t="str">
        <f t="shared" si="1"/>
        <v>Firumon\LLM\Model</v>
      </c>
      <c r="I26" s="60" t="s">
        <v>773</v>
      </c>
      <c r="J26" s="60" t="s">
        <v>1823</v>
      </c>
      <c r="K26" s="60" t="s">
        <v>1822</v>
      </c>
      <c r="L26" s="60"/>
      <c r="M26" s="66">
        <f>[No]</f>
        <v>2106124</v>
      </c>
    </row>
    <row r="27" spans="1:13">
      <c r="A27" s="61" t="str">
        <f>Page&amp;"-"&amp;(COUNTA($E$1:ResourceTable[[#This Row],[Name]])-2)</f>
        <v>Resources-25</v>
      </c>
      <c r="B27" s="68" t="str">
        <f>ResourceTable[[#This Row],[Name]]</f>
        <v>Delivery</v>
      </c>
      <c r="C27" s="66">
        <f>COUNTA($A$1:ResourceTable[[#This Row],[Primary]])-2</f>
        <v>25</v>
      </c>
      <c r="D27" s="66">
        <f>IF(ResourceTable[[#This Row],[RID]]=0,"id",ResourceTable[[#This Row],[RID]]+IF(ISNUMBER(VLOOKUP(Page,SeedMap[],9,0)),VLOOKUP(Page,SeedMap[],9,0),0))</f>
        <v>2106125</v>
      </c>
      <c r="E27" s="60" t="s">
        <v>912</v>
      </c>
      <c r="F27" s="60" t="s">
        <v>932</v>
      </c>
      <c r="G27" s="60" t="s">
        <v>912</v>
      </c>
      <c r="H27" s="61" t="str">
        <f t="shared" si="1"/>
        <v>Firumon\LLM\Model</v>
      </c>
      <c r="I27" s="60" t="s">
        <v>852</v>
      </c>
      <c r="J27" s="60" t="s">
        <v>2003</v>
      </c>
      <c r="K27" s="60" t="s">
        <v>1822</v>
      </c>
      <c r="L27" s="60"/>
      <c r="M27" s="66">
        <f>[No]</f>
        <v>2106125</v>
      </c>
    </row>
    <row r="28" spans="1:13">
      <c r="A28" s="61" t="str">
        <f>Page&amp;"-"&amp;(COUNTA($E$1:ResourceTable[[#This Row],[Name]])-2)</f>
        <v>Resources-26</v>
      </c>
      <c r="B28" s="68" t="str">
        <f>ResourceTable[[#This Row],[Name]]</f>
        <v>DeliveryItem</v>
      </c>
      <c r="C28" s="66">
        <f>COUNTA($A$1:ResourceTable[[#This Row],[Primary]])-2</f>
        <v>26</v>
      </c>
      <c r="D28" s="66">
        <f>IF(ResourceTable[[#This Row],[RID]]=0,"id",ResourceTable[[#This Row],[RID]]+IF(ISNUMBER(VLOOKUP(Page,SeedMap[],9,0)),VLOOKUP(Page,SeedMap[],9,0),0))</f>
        <v>2106126</v>
      </c>
      <c r="E28" s="60" t="s">
        <v>1003</v>
      </c>
      <c r="F28" s="60" t="s">
        <v>933</v>
      </c>
      <c r="G28" s="60" t="s">
        <v>913</v>
      </c>
      <c r="H28" s="61" t="str">
        <f t="shared" si="1"/>
        <v>Firumon\LLM\Model</v>
      </c>
      <c r="I28" s="60" t="s">
        <v>999</v>
      </c>
      <c r="J28" s="60"/>
      <c r="K28" s="60"/>
      <c r="L28" s="60"/>
      <c r="M28" s="66">
        <f>[No]</f>
        <v>2106126</v>
      </c>
    </row>
    <row r="29" spans="1:13">
      <c r="A29" s="61" t="str">
        <f>Page&amp;"-"&amp;(COUNTA($E$1:ResourceTable[[#This Row],[Name]])-2)</f>
        <v>Resources-27</v>
      </c>
      <c r="B29" s="68" t="str">
        <f>ResourceTable[[#This Row],[Name]]</f>
        <v>HubShift</v>
      </c>
      <c r="C29" s="66">
        <f>COUNTA($A$1:ResourceTable[[#This Row],[Primary]])-2</f>
        <v>27</v>
      </c>
      <c r="D29" s="66">
        <f>IF(ResourceTable[[#This Row],[RID]]=0,"id",ResourceTable[[#This Row],[RID]]+IF(ISNUMBER(VLOOKUP(Page,SeedMap[],9,0)),VLOOKUP(Page,SeedMap[],9,0),0))</f>
        <v>2106127</v>
      </c>
      <c r="E29" s="60" t="s">
        <v>792</v>
      </c>
      <c r="F29" s="60" t="s">
        <v>934</v>
      </c>
      <c r="G29" s="60" t="s">
        <v>914</v>
      </c>
      <c r="H29" s="61" t="str">
        <f t="shared" si="1"/>
        <v>Firumon\LLM\Model</v>
      </c>
      <c r="I29" s="60" t="s">
        <v>774</v>
      </c>
      <c r="J29" s="60" t="s">
        <v>1854</v>
      </c>
      <c r="K29" s="60" t="s">
        <v>1822</v>
      </c>
      <c r="L29" s="60"/>
      <c r="M29" s="66">
        <f>[No]</f>
        <v>2106127</v>
      </c>
    </row>
    <row r="30" spans="1:13">
      <c r="A30" s="63" t="str">
        <f>Page&amp;"-"&amp;(COUNTA($E$1:ResourceTable[[#This Row],[Name]])-2)</f>
        <v>Resources-28</v>
      </c>
      <c r="B30" s="69" t="str">
        <f>ResourceTable[[#This Row],[Name]]</f>
        <v>HubShiftItem</v>
      </c>
      <c r="C30" s="67">
        <f>COUNTA($A$1:ResourceTable[[#This Row],[Primary]])-2</f>
        <v>28</v>
      </c>
      <c r="D30" s="67">
        <f>IF(ResourceTable[[#This Row],[RID]]=0,"id",ResourceTable[[#This Row],[RID]]+IF(ISNUMBER(VLOOKUP(Page,SeedMap[],9,0)),VLOOKUP(Page,SeedMap[],9,0),0))</f>
        <v>2106128</v>
      </c>
      <c r="E30" s="62" t="s">
        <v>793</v>
      </c>
      <c r="F30" s="62" t="s">
        <v>935</v>
      </c>
      <c r="G30" s="62" t="s">
        <v>915</v>
      </c>
      <c r="H30" s="63" t="str">
        <f t="shared" si="1"/>
        <v>Firumon\LLM\Model</v>
      </c>
      <c r="I30" s="62" t="s">
        <v>775</v>
      </c>
      <c r="J30" s="62"/>
      <c r="K30" s="62"/>
      <c r="L30" s="62"/>
      <c r="M30" s="67">
        <f>[No]</f>
        <v>2106128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101"/>
  <sheetViews>
    <sheetView topLeftCell="I13" workbookViewId="0">
      <selection activeCell="W30" sqref="W30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8.42578125" style="20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36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Map'!$A$10,SeedMap[],9,0)),VLOOKUP('Table Seed Map'!$A$10,SeedMap[],9,0),0))</f>
        <v>2109101</v>
      </c>
      <c r="C3" s="15" t="str">
        <f>RelationTable[[#This Row],[Resource]]&amp;"/"&amp;RelationTable[[#This Row],[Method]]</f>
        <v>Group/Users</v>
      </c>
      <c r="D3" s="15">
        <f>RelationTable[[#This Row],[No]]</f>
        <v>2109101</v>
      </c>
      <c r="E3" s="15" t="s">
        <v>96</v>
      </c>
      <c r="F3" s="15" t="s">
        <v>74</v>
      </c>
      <c r="G3" s="15">
        <f>RelationTable[[#This Row],[No]]</f>
        <v>2109101</v>
      </c>
      <c r="H3" s="15">
        <f>IF(RelationTable[[#This Row],[No]]="id","resource",VLOOKUP([Resource],CHOOSE({1,2},ResourceTable[Name],ResourceTable[No]),2,0))</f>
        <v>2106101</v>
      </c>
      <c r="I3" s="15" t="s">
        <v>1144</v>
      </c>
      <c r="J3" s="15" t="s">
        <v>1145</v>
      </c>
      <c r="K3" s="15" t="s">
        <v>78</v>
      </c>
      <c r="L3" s="15" t="s">
        <v>977</v>
      </c>
      <c r="M3" s="36">
        <f>VLOOKUP([Relate Resource],CHOOSE({1,2},ResourceTable[Name],ResourceTable[No]),2,0)</f>
        <v>2106102</v>
      </c>
      <c r="N3" s="53">
        <f>[RELID]</f>
        <v>2109101</v>
      </c>
      <c r="P3" s="61" t="str">
        <f>'Table Seed Map'!$A$9&amp;"-"&amp;COUNTA($Q$1:ResourceScopes[[#This Row],[Resource for Scope]])-1</f>
        <v>Resource Scopes-1</v>
      </c>
      <c r="Q3" s="60" t="s">
        <v>96</v>
      </c>
      <c r="R3" s="61" t="str">
        <f>ResourceScopes[[#This Row],[Resource for Scope]]&amp;"/"&amp;ResourceScopes[[#This Row],[Name]]</f>
        <v>Group/EmployeeGroups</v>
      </c>
      <c r="S3" s="68">
        <f>IF(ResourceScopes[[#This Row],[Resource for Scope]]="","id",-1+COUNTA($Q$1:ResourceScopes[[#This Row],[Resource for Scope]])+VLOOKUP('Table Seed Map'!$A$9,SeedMap[],9,0))</f>
        <v>2108101</v>
      </c>
      <c r="T3" s="68">
        <f>IFERROR(VLOOKUP(ResourceScopes[[#This Row],[Resource for Scope]],CHOOSE({1,2},ResourceTable[Name],ResourceTable[No]),2,0),"resource")</f>
        <v>2106101</v>
      </c>
      <c r="U3" s="60" t="s">
        <v>1361</v>
      </c>
      <c r="V3" s="60" t="s">
        <v>1360</v>
      </c>
      <c r="W3" s="60" t="s">
        <v>1359</v>
      </c>
    </row>
    <row r="4" spans="1:23">
      <c r="A4" s="36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Map'!$A$10,SeedMap[],9,0)),VLOOKUP('Table Seed Map'!$A$10,SeedMap[],9,0),0))</f>
        <v>2109102</v>
      </c>
      <c r="C4" s="15" t="str">
        <f>RelationTable[[#This Row],[Resource]]&amp;"/"&amp;RelationTable[[#This Row],[Method]]</f>
        <v>User/Groups</v>
      </c>
      <c r="D4" s="15">
        <f>RelationTable[[#This Row],[No]]</f>
        <v>2109102</v>
      </c>
      <c r="E4" s="15" t="s">
        <v>74</v>
      </c>
      <c r="F4" s="15" t="s">
        <v>96</v>
      </c>
      <c r="G4" s="15">
        <f>RelationTable[[#This Row],[No]]</f>
        <v>2109102</v>
      </c>
      <c r="H4" s="15">
        <f>IF(RelationTable[[#This Row],[No]]="id","resource",VLOOKUP([Resource],CHOOSE({1,2},ResourceTable[Name],ResourceTable[No]),2,0))</f>
        <v>2106102</v>
      </c>
      <c r="I4" s="15" t="s">
        <v>1146</v>
      </c>
      <c r="J4" s="15" t="s">
        <v>1147</v>
      </c>
      <c r="K4" s="15" t="s">
        <v>76</v>
      </c>
      <c r="L4" s="15" t="s">
        <v>977</v>
      </c>
      <c r="M4" s="36">
        <f>VLOOKUP([Relate Resource],CHOOSE({1,2},ResourceTable[Name],ResourceTable[No]),2,0)</f>
        <v>2106101</v>
      </c>
      <c r="N4" s="53">
        <f>[RELID]</f>
        <v>2109102</v>
      </c>
      <c r="P4" s="9" t="str">
        <f>'Table Seed Map'!$A$9&amp;"-"&amp;COUNTA($Q$1:ResourceScopes[[#This Row],[Resource for Scope]])-1</f>
        <v>Resource Scopes-2</v>
      </c>
      <c r="Q4" s="2" t="s">
        <v>1337</v>
      </c>
      <c r="R4" s="9" t="str">
        <f>ResourceScopes[[#This Row],[Resource for Scope]]&amp;"/"&amp;ResourceScopes[[#This Row],[Name]]</f>
        <v>Employee/Managers</v>
      </c>
      <c r="S4" s="16">
        <f>IF(ResourceScopes[[#This Row],[Resource for Scope]]="","id",-1+COUNTA($Q$1:ResourceScopes[[#This Row],[Resource for Scope]])+VLOOKUP('Table Seed Map'!$A$9,SeedMap[],9,0))</f>
        <v>2108102</v>
      </c>
      <c r="T4" s="16">
        <f>IFERROR(VLOOKUP(ResourceScopes[[#This Row],[Resource for Scope]],CHOOSE({1,2},ResourceTable[Name],ResourceTable[No]),2,0),"resource")</f>
        <v>2106104</v>
      </c>
      <c r="U4" s="2" t="s">
        <v>1098</v>
      </c>
      <c r="V4" s="2" t="s">
        <v>1340</v>
      </c>
      <c r="W4" s="2" t="s">
        <v>1108</v>
      </c>
    </row>
    <row r="5" spans="1:23">
      <c r="A5" s="71" t="str">
        <f>Page&amp;"-"&amp;(COUNTA($E$1:RelationTable[[#This Row],[Resource]])-1)</f>
        <v>Resource Relations-3</v>
      </c>
      <c r="B5" s="66">
        <f>IF(RelationTable[[#This Row],[Resource]]="","id",COUNTA($E$2:RelationTable[[#This Row],[Resource]])+IF(ISNUMBER(VLOOKUP('Table Seed Map'!$A$10,SeedMap[],9,0)),VLOOKUP('Table Seed Map'!$A$10,SeedMap[],9,0),0))</f>
        <v>2109103</v>
      </c>
      <c r="C5" s="68" t="str">
        <f>RelationTable[[#This Row],[Resource]]&amp;"/"&amp;RelationTable[[#This Row],[Method]]</f>
        <v>Owner/Groups</v>
      </c>
      <c r="D5" s="68">
        <f>RelationTable[[#This Row],[No]]</f>
        <v>2109103</v>
      </c>
      <c r="E5" s="68" t="s">
        <v>1119</v>
      </c>
      <c r="F5" s="15" t="s">
        <v>96</v>
      </c>
      <c r="G5" s="68">
        <f>RelationTable[[#This Row],[No]]</f>
        <v>2109103</v>
      </c>
      <c r="H5" s="68">
        <f>IF(RelationTable[[#This Row],[No]]="id","resource",VLOOKUP([Resource],CHOOSE({1,2},ResourceTable[Name],ResourceTable[No]),2,0))</f>
        <v>2106103</v>
      </c>
      <c r="I5" s="68" t="s">
        <v>1377</v>
      </c>
      <c r="J5" s="15" t="s">
        <v>1147</v>
      </c>
      <c r="K5" s="15" t="s">
        <v>76</v>
      </c>
      <c r="L5" s="15" t="s">
        <v>977</v>
      </c>
      <c r="M5" s="71">
        <f>VLOOKUP([Relate Resource],CHOOSE({1,2},ResourceTable[Name],ResourceTable[No]),2,0)</f>
        <v>2106101</v>
      </c>
      <c r="N5" s="72">
        <f>[RELID]</f>
        <v>2109103</v>
      </c>
      <c r="P5" s="9" t="str">
        <f>'Table Seed Map'!$A$9&amp;"-"&amp;COUNTA($Q$1:ResourceScopes[[#This Row],[Resource for Scope]])-1</f>
        <v>Resource Scopes-3</v>
      </c>
      <c r="Q5" s="2" t="s">
        <v>1337</v>
      </c>
      <c r="R5" s="9" t="str">
        <f>ResourceScopes[[#This Row],[Resource for Scope]]&amp;"/"&amp;ResourceScopes[[#This Row],[Name]]</f>
        <v>Employee/ServiceProviders</v>
      </c>
      <c r="S5" s="16">
        <f>IF(ResourceScopes[[#This Row],[Resource for Scope]]="","id",-1+COUNTA($Q$1:ResourceScopes[[#This Row],[Resource for Scope]])+VLOOKUP('Table Seed Map'!$A$9,SeedMap[],9,0))</f>
        <v>2108103</v>
      </c>
      <c r="T5" s="16">
        <f>IFERROR(VLOOKUP(ResourceScopes[[#This Row],[Resource for Scope]],CHOOSE({1,2},ResourceTable[Name],ResourceTable[No]),2,0),"resource")</f>
        <v>2106104</v>
      </c>
      <c r="U5" s="2" t="s">
        <v>1449</v>
      </c>
      <c r="V5" s="2" t="s">
        <v>1341</v>
      </c>
      <c r="W5" s="2" t="s">
        <v>1342</v>
      </c>
    </row>
    <row r="6" spans="1:23">
      <c r="A6" s="71" t="str">
        <f>Page&amp;"-"&amp;(COUNTA($E$1:RelationTable[[#This Row],[Resource]])-1)</f>
        <v>Resource Relations-4</v>
      </c>
      <c r="B6" s="66">
        <f>IF(RelationTable[[#This Row],[Resource]]="","id",COUNTA($E$2:RelationTable[[#This Row],[Resource]])+IF(ISNUMBER(VLOOKUP('Table Seed Map'!$A$10,SeedMap[],9,0)),VLOOKUP('Table Seed Map'!$A$10,SeedMap[],9,0),0))</f>
        <v>2109104</v>
      </c>
      <c r="C6" s="68" t="str">
        <f>RelationTable[[#This Row],[Resource]]&amp;"/"&amp;RelationTable[[#This Row],[Method]]</f>
        <v>Employee/Services</v>
      </c>
      <c r="D6" s="68">
        <f>RelationTable[[#This Row],[No]]</f>
        <v>2109104</v>
      </c>
      <c r="E6" s="15" t="s">
        <v>1337</v>
      </c>
      <c r="F6" s="15" t="s">
        <v>778</v>
      </c>
      <c r="G6" s="68">
        <f>RelationTable[[#This Row],[No]]</f>
        <v>2109104</v>
      </c>
      <c r="H6" s="68">
        <f>IF(RelationTable[[#This Row],[No]]="id","resource",VLOOKUP([Resource],CHOOSE({1,2},ResourceTable[Name],ResourceTable[No]),2,0))</f>
        <v>2106104</v>
      </c>
      <c r="I6" s="68" t="s">
        <v>1367</v>
      </c>
      <c r="J6" s="68" t="s">
        <v>1206</v>
      </c>
      <c r="K6" s="68" t="s">
        <v>896</v>
      </c>
      <c r="L6" s="15" t="s">
        <v>977</v>
      </c>
      <c r="M6" s="71">
        <f>VLOOKUP([Relate Resource],CHOOSE({1,2},ResourceTable[Name],ResourceTable[No]),2,0)</f>
        <v>2106108</v>
      </c>
      <c r="N6" s="72">
        <f>[RELID]</f>
        <v>2109104</v>
      </c>
      <c r="P6" s="63" t="str">
        <f>'Table Seed Map'!$A$9&amp;"-"&amp;COUNTA($Q$1:ResourceScopes[[#This Row],[Resource for Scope]])-1</f>
        <v>Resource Scopes-4</v>
      </c>
      <c r="Q6" s="2" t="s">
        <v>1337</v>
      </c>
      <c r="R6" s="63" t="str">
        <f>ResourceScopes[[#This Row],[Resource for Scope]]&amp;"/"&amp;ResourceScopes[[#This Row],[Name]]</f>
        <v>Employee/RequestorHubServiceProviders</v>
      </c>
      <c r="S6" s="69">
        <f>IF(ResourceScopes[[#This Row],[Resource for Scope]]="","id",-1+COUNTA($Q$1:ResourceScopes[[#This Row],[Resource for Scope]])+VLOOKUP('Table Seed Map'!$A$9,SeedMap[],9,0))</f>
        <v>2108104</v>
      </c>
      <c r="T6" s="69">
        <f>IFERROR(VLOOKUP(ResourceScopes[[#This Row],[Resource for Scope]],CHOOSE({1,2},ResourceTable[Name],ResourceTable[No]),2,0),"resource")</f>
        <v>2106104</v>
      </c>
      <c r="U6" s="62" t="s">
        <v>1400</v>
      </c>
      <c r="V6" s="62" t="s">
        <v>1401</v>
      </c>
      <c r="W6" s="62" t="s">
        <v>1402</v>
      </c>
    </row>
    <row r="7" spans="1:23">
      <c r="A7" s="71" t="str">
        <f>Page&amp;"-"&amp;(COUNTA($E$1:RelationTable[[#This Row],[Resource]])-1)</f>
        <v>Resource Relations-5</v>
      </c>
      <c r="B7" s="66">
        <f>IF(RelationTable[[#This Row],[Resource]]="","id",COUNTA($E$2:RelationTable[[#This Row],[Resource]])+IF(ISNUMBER(VLOOKUP('Table Seed Map'!$A$10,SeedMap[],9,0)),VLOOKUP('Table Seed Map'!$A$10,SeedMap[],9,0),0))</f>
        <v>2109105</v>
      </c>
      <c r="C7" s="68" t="str">
        <f>RelationTable[[#This Row],[Resource]]&amp;"/"&amp;RelationTable[[#This Row],[Method]]</f>
        <v>Employee/Groups</v>
      </c>
      <c r="D7" s="68">
        <f>RelationTable[[#This Row],[No]]</f>
        <v>2109105</v>
      </c>
      <c r="E7" s="15" t="s">
        <v>1337</v>
      </c>
      <c r="F7" s="15" t="s">
        <v>96</v>
      </c>
      <c r="G7" s="68">
        <f>RelationTable[[#This Row],[No]]</f>
        <v>2109105</v>
      </c>
      <c r="H7" s="68">
        <f>IF(RelationTable[[#This Row],[No]]="id","resource",VLOOKUP([Resource],CHOOSE({1,2},ResourceTable[Name],ResourceTable[No]),2,0))</f>
        <v>2106104</v>
      </c>
      <c r="I7" s="68" t="s">
        <v>1365</v>
      </c>
      <c r="J7" s="68" t="s">
        <v>1366</v>
      </c>
      <c r="K7" s="68" t="s">
        <v>76</v>
      </c>
      <c r="L7" s="15" t="s">
        <v>977</v>
      </c>
      <c r="M7" s="71">
        <f>VLOOKUP([Relate Resource],CHOOSE({1,2},ResourceTable[Name],ResourceTable[No]),2,0)</f>
        <v>2106101</v>
      </c>
      <c r="N7" s="72">
        <f>[RELID]</f>
        <v>2109105</v>
      </c>
      <c r="P7" s="63" t="str">
        <f>'Table Seed Map'!$A$9&amp;"-"&amp;COUNTA($Q$1:ResourceScopes[[#This Row],[Resource for Scope]])-1</f>
        <v>Resource Scopes-5</v>
      </c>
      <c r="Q7" s="2" t="s">
        <v>786</v>
      </c>
      <c r="R7" s="63" t="str">
        <f>ResourceScopes[[#This Row],[Resource for Scope]]&amp;"/"&amp;ResourceScopes[[#This Row],[Name]]</f>
        <v>IdentityLabel/AvailableLabels</v>
      </c>
      <c r="S7" s="69">
        <f>IF(ResourceScopes[[#This Row],[Resource for Scope]]="","id",-1+COUNTA($Q$1:ResourceScopes[[#This Row],[Resource for Scope]])+VLOOKUP('Table Seed Map'!$A$9,SeedMap[],9,0))</f>
        <v>2108105</v>
      </c>
      <c r="T7" s="69">
        <f>IFERROR(VLOOKUP(ResourceScopes[[#This Row],[Resource for Scope]],CHOOSE({1,2},ResourceTable[Name],ResourceTable[No]),2,0),"resource")</f>
        <v>2106117</v>
      </c>
      <c r="U7" s="62" t="s">
        <v>1675</v>
      </c>
      <c r="V7" s="62" t="s">
        <v>1674</v>
      </c>
      <c r="W7" s="62" t="s">
        <v>1673</v>
      </c>
    </row>
    <row r="8" spans="1:23">
      <c r="A8" s="71" t="str">
        <f>Page&amp;"-"&amp;(COUNTA($E$1:RelationTable[[#This Row],[Resource]])-1)</f>
        <v>Resource Relations-6</v>
      </c>
      <c r="B8" s="66">
        <f>IF(RelationTable[[#This Row],[Resource]]="","id",COUNTA($E$2:RelationTable[[#This Row],[Resource]])+IF(ISNUMBER(VLOOKUP('Table Seed Map'!$A$10,SeedMap[],9,0)),VLOOKUP('Table Seed Map'!$A$10,SeedMap[],9,0),0))</f>
        <v>2109106</v>
      </c>
      <c r="C8" s="68" t="str">
        <f>RelationTable[[#This Row],[Resource]]&amp;"/"&amp;RelationTable[[#This Row],[Method]]</f>
        <v>Employee/Hubs</v>
      </c>
      <c r="D8" s="68">
        <f>RelationTable[[#This Row],[No]]</f>
        <v>2109106</v>
      </c>
      <c r="E8" s="15" t="s">
        <v>1337</v>
      </c>
      <c r="F8" s="15" t="s">
        <v>777</v>
      </c>
      <c r="G8" s="68">
        <f>RelationTable[[#This Row],[No]]</f>
        <v>2109106</v>
      </c>
      <c r="H8" s="68">
        <f>IF(RelationTable[[#This Row],[No]]="id","resource",VLOOKUP([Resource],CHOOSE({1,2},ResourceTable[Name],ResourceTable[No]),2,0))</f>
        <v>2106104</v>
      </c>
      <c r="I8" s="68" t="s">
        <v>1399</v>
      </c>
      <c r="J8" s="68" t="s">
        <v>1492</v>
      </c>
      <c r="K8" s="68" t="s">
        <v>895</v>
      </c>
      <c r="L8" s="15" t="s">
        <v>977</v>
      </c>
      <c r="M8" s="71">
        <f>VLOOKUP([Relate Resource],CHOOSE({1,2},ResourceTable[Name],ResourceTable[No]),2,0)</f>
        <v>2106107</v>
      </c>
      <c r="N8" s="72">
        <f>[RELID]</f>
        <v>2109106</v>
      </c>
      <c r="P8" s="63" t="str">
        <f>'Table Seed Map'!$A$9&amp;"-"&amp;COUNTA($Q$1:ResourceScopes[[#This Row],[Resource for Scope]])-1</f>
        <v>Resource Scopes-6</v>
      </c>
      <c r="Q8" s="2" t="s">
        <v>786</v>
      </c>
      <c r="R8" s="63" t="str">
        <f>ResourceScopes[[#This Row],[Resource for Scope]]&amp;"/"&amp;ResourceScopes[[#This Row],[Name]]</f>
        <v>IdentityLabel/ActiveLabels</v>
      </c>
      <c r="S8" s="69">
        <f>IF(ResourceScopes[[#This Row],[Resource for Scope]]="","id",-1+COUNTA($Q$1:ResourceScopes[[#This Row],[Resource for Scope]])+VLOOKUP('Table Seed Map'!$A$9,SeedMap[],9,0))</f>
        <v>2108106</v>
      </c>
      <c r="T8" s="69">
        <f>IFERROR(VLOOKUP(ResourceScopes[[#This Row],[Resource for Scope]],CHOOSE({1,2},ResourceTable[Name],ResourceTable[No]),2,0),"resource")</f>
        <v>2106117</v>
      </c>
      <c r="U8" s="62" t="s">
        <v>1676</v>
      </c>
      <c r="V8" s="62" t="s">
        <v>1677</v>
      </c>
      <c r="W8" s="62" t="s">
        <v>1678</v>
      </c>
    </row>
    <row r="9" spans="1:23">
      <c r="A9" s="73" t="str">
        <f>Page&amp;"-"&amp;(COUNTA($E$1:RelationTable[[#This Row],[Resource]])-1)</f>
        <v>Resource Relations-7</v>
      </c>
      <c r="B9" s="67">
        <f>IF(RelationTable[[#This Row],[Resource]]="","id",COUNTA($E$2:RelationTable[[#This Row],[Resource]])+IF(ISNUMBER(VLOOKUP('Table Seed Map'!$A$10,SeedMap[],9,0)),VLOOKUP('Table Seed Map'!$A$10,SeedMap[],9,0),0))</f>
        <v>2109107</v>
      </c>
      <c r="C9" s="69" t="str">
        <f>RelationTable[[#This Row],[Resource]]&amp;"/"&amp;RelationTable[[#This Row],[Method]]</f>
        <v>Hub/HubUsers</v>
      </c>
      <c r="D9" s="69">
        <f>RelationTable[[#This Row],[No]]</f>
        <v>2109107</v>
      </c>
      <c r="E9" s="63" t="s">
        <v>777</v>
      </c>
      <c r="F9" s="63" t="s">
        <v>782</v>
      </c>
      <c r="G9" s="69">
        <f>RelationTable[[#This Row],[No]]</f>
        <v>2109107</v>
      </c>
      <c r="H9" s="69">
        <f>IF(RelationTable[[#This Row],[No]]="id","resource",VLOOKUP([Resource],CHOOSE({1,2},ResourceTable[Name],ResourceTable[No]),2,0))</f>
        <v>2106107</v>
      </c>
      <c r="I9" s="69" t="s">
        <v>1493</v>
      </c>
      <c r="J9" s="69" t="s">
        <v>943</v>
      </c>
      <c r="K9" s="69" t="s">
        <v>937</v>
      </c>
      <c r="L9" s="69" t="s">
        <v>941</v>
      </c>
      <c r="M9" s="74">
        <f>VLOOKUP([Relate Resource],CHOOSE({1,2},ResourceTable[Name],ResourceTable[No]),2,0)</f>
        <v>2106112</v>
      </c>
      <c r="N9" s="75">
        <f>[RELID]</f>
        <v>2109107</v>
      </c>
      <c r="P9" s="63" t="str">
        <f>'Table Seed Map'!$A$9&amp;"-"&amp;COUNTA($Q$1:ResourceScopes[[#This Row],[Resource for Scope]])-1</f>
        <v>Resource Scopes-7</v>
      </c>
      <c r="Q9" s="62" t="s">
        <v>787</v>
      </c>
      <c r="R9" s="63" t="str">
        <f>ResourceScopes[[#This Row],[Resource for Scope]]&amp;"/"&amp;ResourceScopes[[#This Row],[Name]]</f>
        <v>Order/RecentOrders</v>
      </c>
      <c r="S9" s="69">
        <f>IF(ResourceScopes[[#This Row],[Resource for Scope]]="","id",-1+COUNTA($Q$1:ResourceScopes[[#This Row],[Resource for Scope]])+VLOOKUP('Table Seed Map'!$A$9,SeedMap[],9,0))</f>
        <v>2108107</v>
      </c>
      <c r="T9" s="69">
        <f>IFERROR(VLOOKUP(ResourceScopes[[#This Row],[Resource for Scope]],CHOOSE({1,2},ResourceTable[Name],ResourceTable[No]),2,0),"resource")</f>
        <v>2106118</v>
      </c>
      <c r="U9" s="62" t="s">
        <v>1691</v>
      </c>
      <c r="V9" s="62" t="s">
        <v>1692</v>
      </c>
      <c r="W9" s="62" t="s">
        <v>1693</v>
      </c>
    </row>
    <row r="10" spans="1:23">
      <c r="A10" s="73" t="str">
        <f>Page&amp;"-"&amp;(COUNTA($E$1:RelationTable[[#This Row],[Resource]])-1)</f>
        <v>Resource Relations-8</v>
      </c>
      <c r="B10" s="67">
        <f>IF(RelationTable[[#This Row],[Resource]]="","id",COUNTA($E$2:RelationTable[[#This Row],[Resource]])+IF(ISNUMBER(VLOOKUP('Table Seed Map'!$A$10,SeedMap[],9,0)),VLOOKUP('Table Seed Map'!$A$10,SeedMap[],9,0),0))</f>
        <v>2109108</v>
      </c>
      <c r="C10" s="69" t="str">
        <f>RelationTable[[#This Row],[Resource]]&amp;"/"&amp;RelationTable[[#This Row],[Method]]</f>
        <v>Hub/Users</v>
      </c>
      <c r="D10" s="69">
        <f>RelationTable[[#This Row],[No]]</f>
        <v>2109108</v>
      </c>
      <c r="E10" s="63" t="s">
        <v>777</v>
      </c>
      <c r="F10" s="63" t="s">
        <v>74</v>
      </c>
      <c r="G10" s="69">
        <f>RelationTable[[#This Row],[No]]</f>
        <v>2109108</v>
      </c>
      <c r="H10" s="69">
        <f>IF(RelationTable[[#This Row],[No]]="id","resource",VLOOKUP([Resource],CHOOSE({1,2},ResourceTable[Name],ResourceTable[No]),2,0))</f>
        <v>2106107</v>
      </c>
      <c r="I10" s="69" t="s">
        <v>937</v>
      </c>
      <c r="J10" s="69" t="s">
        <v>1494</v>
      </c>
      <c r="K10" s="69" t="s">
        <v>78</v>
      </c>
      <c r="L10" s="69" t="s">
        <v>977</v>
      </c>
      <c r="M10" s="74">
        <f>VLOOKUP([Relate Resource],CHOOSE({1,2},ResourceTable[Name],ResourceTable[No]),2,0)</f>
        <v>2106102</v>
      </c>
      <c r="N10" s="75">
        <f>[RELID]</f>
        <v>2109108</v>
      </c>
      <c r="P10" s="63" t="str">
        <f>'Table Seed Map'!$A$9&amp;"-"&amp;COUNTA($Q$1:ResourceScopes[[#This Row],[Resource for Scope]])-1</f>
        <v>Resource Scopes-8</v>
      </c>
      <c r="Q10" s="62" t="s">
        <v>787</v>
      </c>
      <c r="R10" s="63" t="str">
        <f>ResourceScopes[[#This Row],[Resource for Scope]]&amp;"/"&amp;ResourceScopes[[#This Row],[Name]]</f>
        <v>Order/Undelivered</v>
      </c>
      <c r="S10" s="69">
        <f>IF(ResourceScopes[[#This Row],[Resource for Scope]]="","id",-1+COUNTA($Q$1:ResourceScopes[[#This Row],[Resource for Scope]])+VLOOKUP('Table Seed Map'!$A$9,SeedMap[],9,0))</f>
        <v>2108108</v>
      </c>
      <c r="T10" s="69">
        <f>IFERROR(VLOOKUP(ResourceScopes[[#This Row],[Resource for Scope]],CHOOSE({1,2},ResourceTable[Name],ResourceTable[No]),2,0),"resource")</f>
        <v>2106118</v>
      </c>
      <c r="U10" s="62" t="s">
        <v>1694</v>
      </c>
      <c r="V10" s="62" t="s">
        <v>1696</v>
      </c>
      <c r="W10" s="62" t="s">
        <v>1695</v>
      </c>
    </row>
    <row r="11" spans="1:23">
      <c r="A11" s="73" t="str">
        <f>Page&amp;"-"&amp;(COUNTA($E$1:RelationTable[[#This Row],[Resource]])-1)</f>
        <v>Resource Relations-9</v>
      </c>
      <c r="B11" s="67">
        <f>IF(RelationTable[[#This Row],[Resource]]="","id",COUNTA($E$2:RelationTable[[#This Row],[Resource]])+IF(ISNUMBER(VLOOKUP('Table Seed Map'!$A$10,SeedMap[],9,0)),VLOOKUP('Table Seed Map'!$A$10,SeedMap[],9,0),0))</f>
        <v>2109109</v>
      </c>
      <c r="C11" s="69" t="str">
        <f>RelationTable[[#This Row],[Resource]]&amp;"/"&amp;RelationTable[[#This Row],[Method]]</f>
        <v>Hub/Services</v>
      </c>
      <c r="D11" s="69">
        <f>RelationTable[[#This Row],[No]]</f>
        <v>2109109</v>
      </c>
      <c r="E11" s="63" t="s">
        <v>777</v>
      </c>
      <c r="F11" s="63" t="s">
        <v>781</v>
      </c>
      <c r="G11" s="69">
        <f>RelationTable[[#This Row],[No]]</f>
        <v>2109109</v>
      </c>
      <c r="H11" s="69">
        <f>IF(RelationTable[[#This Row],[No]]="id","resource",VLOOKUP([Resource],CHOOSE({1,2},ResourceTable[Name],ResourceTable[No]),2,0))</f>
        <v>2106107</v>
      </c>
      <c r="I11" s="69" t="s">
        <v>949</v>
      </c>
      <c r="J11" s="69" t="s">
        <v>950</v>
      </c>
      <c r="K11" s="69" t="s">
        <v>896</v>
      </c>
      <c r="L11" s="69" t="s">
        <v>951</v>
      </c>
      <c r="M11" s="74">
        <f>VLOOKUP([Relate Resource],CHOOSE({1,2},ResourceTable[Name],ResourceTable[No]),2,0)</f>
        <v>2106111</v>
      </c>
      <c r="N11" s="75">
        <f>[RELID]</f>
        <v>2109109</v>
      </c>
      <c r="P11" s="63" t="str">
        <f>'Table Seed Map'!$A$9&amp;"-"&amp;COUNTA($Q$1:ResourceScopes[[#This Row],[Resource for Scope]])-1</f>
        <v>Resource Scopes-9</v>
      </c>
      <c r="Q11" s="62" t="s">
        <v>787</v>
      </c>
      <c r="R11" s="63" t="str">
        <f>ResourceScopes[[#This Row],[Resource for Scope]]&amp;"/"&amp;ResourceScopes[[#This Row],[Name]]</f>
        <v>Order/Processing</v>
      </c>
      <c r="S11" s="69">
        <f>IF(ResourceScopes[[#This Row],[Resource for Scope]]="","id",-1+COUNTA($Q$1:ResourceScopes[[#This Row],[Resource for Scope]])+VLOOKUP('Table Seed Map'!$A$9,SeedMap[],9,0))</f>
        <v>2108109</v>
      </c>
      <c r="T11" s="69">
        <f>IFERROR(VLOOKUP(ResourceScopes[[#This Row],[Resource for Scope]],CHOOSE({1,2},ResourceTable[Name],ResourceTable[No]),2,0),"resource")</f>
        <v>2106118</v>
      </c>
      <c r="U11" s="62" t="s">
        <v>970</v>
      </c>
      <c r="V11" s="62" t="s">
        <v>1697</v>
      </c>
      <c r="W11" s="62" t="s">
        <v>1698</v>
      </c>
    </row>
    <row r="12" spans="1:23">
      <c r="A12" s="73" t="str">
        <f>Page&amp;"-"&amp;(COUNTA($E$1:RelationTable[[#This Row],[Resource]])-1)</f>
        <v>Resource Relations-10</v>
      </c>
      <c r="B12" s="67">
        <f>IF(RelationTable[[#This Row],[Resource]]="","id",COUNTA($E$2:RelationTable[[#This Row],[Resource]])+IF(ISNUMBER(VLOOKUP('Table Seed Map'!$A$10,SeedMap[],9,0)),VLOOKUP('Table Seed Map'!$A$10,SeedMap[],9,0),0))</f>
        <v>2109110</v>
      </c>
      <c r="C12" s="69" t="str">
        <f>RelationTable[[#This Row],[Resource]]&amp;"/"&amp;RelationTable[[#This Row],[Method]]</f>
        <v>Hub/Shelves</v>
      </c>
      <c r="D12" s="69">
        <f>RelationTable[[#This Row],[No]]</f>
        <v>2109110</v>
      </c>
      <c r="E12" s="63" t="s">
        <v>777</v>
      </c>
      <c r="F12" s="63" t="s">
        <v>1029</v>
      </c>
      <c r="G12" s="69">
        <f>RelationTable[[#This Row],[No]]</f>
        <v>2109110</v>
      </c>
      <c r="H12" s="69">
        <f>IF(RelationTable[[#This Row],[No]]="id","resource",VLOOKUP([Resource],CHOOSE({1,2},ResourceTable[Name],ResourceTable[No]),2,0))</f>
        <v>2106107</v>
      </c>
      <c r="I12" s="16" t="s">
        <v>1036</v>
      </c>
      <c r="J12" s="69" t="s">
        <v>944</v>
      </c>
      <c r="K12" s="16" t="s">
        <v>1037</v>
      </c>
      <c r="L12" s="69" t="s">
        <v>941</v>
      </c>
      <c r="M12" s="74">
        <f>VLOOKUP([Relate Resource],CHOOSE({1,2},ResourceTable[Name],ResourceTable[No]),2,0)</f>
        <v>2106113</v>
      </c>
      <c r="N12" s="75">
        <f>[RELID]</f>
        <v>2109110</v>
      </c>
      <c r="P12" s="63" t="str">
        <f>'Table Seed Map'!$A$9&amp;"-"&amp;COUNTA($Q$1:ResourceScopes[[#This Row],[Resource for Scope]])-1</f>
        <v>Resource Scopes-10</v>
      </c>
      <c r="Q12" s="62" t="s">
        <v>784</v>
      </c>
      <c r="R12" s="63" t="str">
        <f>ResourceScopes[[#This Row],[Resource for Scope]]&amp;"/"&amp;ResourceScopes[[#This Row],[Name]]</f>
        <v>PricelistContent/ActivePL</v>
      </c>
      <c r="S12" s="69">
        <f>IF(ResourceScopes[[#This Row],[Resource for Scope]]="","id",-1+COUNTA($Q$1:ResourceScopes[[#This Row],[Resource for Scope]])+VLOOKUP('Table Seed Map'!$A$9,SeedMap[],9,0))</f>
        <v>2108110</v>
      </c>
      <c r="T12" s="69">
        <f>IFERROR(VLOOKUP(ResourceScopes[[#This Row],[Resource for Scope]],CHOOSE({1,2},ResourceTable[Name],ResourceTable[No]),2,0),"resource")</f>
        <v>2106116</v>
      </c>
      <c r="U12" s="62" t="s">
        <v>1759</v>
      </c>
      <c r="V12" s="62" t="s">
        <v>1760</v>
      </c>
      <c r="W12" s="62" t="s">
        <v>1761</v>
      </c>
    </row>
    <row r="13" spans="1:23">
      <c r="A13" s="73" t="str">
        <f>Page&amp;"-"&amp;(COUNTA($E$1:RelationTable[[#This Row],[Resource]])-1)</f>
        <v>Resource Relations-11</v>
      </c>
      <c r="B13" s="67">
        <f>IF(RelationTable[[#This Row],[Resource]]="","id",COUNTA($E$2:RelationTable[[#This Row],[Resource]])+IF(ISNUMBER(VLOOKUP('Table Seed Map'!$A$10,SeedMap[],9,0)),VLOOKUP('Table Seed Map'!$A$10,SeedMap[],9,0),0))</f>
        <v>2109111</v>
      </c>
      <c r="C13" s="69" t="str">
        <f>RelationTable[[#This Row],[Resource]]&amp;"/"&amp;RelationTable[[#This Row],[Method]]</f>
        <v>Hub/DefaultShelf</v>
      </c>
      <c r="D13" s="69">
        <f>RelationTable[[#This Row],[No]]</f>
        <v>2109111</v>
      </c>
      <c r="E13" s="63" t="s">
        <v>777</v>
      </c>
      <c r="F13" s="63" t="s">
        <v>1029</v>
      </c>
      <c r="G13" s="69">
        <f>RelationTable[[#This Row],[No]]</f>
        <v>2109111</v>
      </c>
      <c r="H13" s="69">
        <f>IF(RelationTable[[#This Row],[No]]="id","resource",VLOOKUP([Resource],CHOOSE({1,2},ResourceTable[Name],ResourceTable[No]),2,0))</f>
        <v>2106107</v>
      </c>
      <c r="I13" s="16" t="s">
        <v>1030</v>
      </c>
      <c r="J13" s="69" t="s">
        <v>945</v>
      </c>
      <c r="K13" s="16" t="s">
        <v>1038</v>
      </c>
      <c r="L13" s="69" t="s">
        <v>977</v>
      </c>
      <c r="M13" s="74">
        <f>VLOOKUP([Relate Resource],CHOOSE({1,2},ResourceTable[Name],ResourceTable[No]),2,0)</f>
        <v>2106113</v>
      </c>
      <c r="N13" s="75">
        <f>[RELID]</f>
        <v>2109111</v>
      </c>
      <c r="P13" s="63" t="str">
        <f>'Table Seed Map'!$A$9&amp;"-"&amp;COUNTA($Q$1:ResourceScopes[[#This Row],[Resource for Scope]])-1</f>
        <v>Resource Scopes-11</v>
      </c>
      <c r="Q13" s="62" t="s">
        <v>893</v>
      </c>
      <c r="R13" s="63" t="str">
        <f>ResourceScopes[[#This Row],[Resource for Scope]]&amp;"/"&amp;ResourceScopes[[#This Row],[Name]]</f>
        <v>Invoice/PendingInvoices</v>
      </c>
      <c r="S13" s="69">
        <f>IF(ResourceScopes[[#This Row],[Resource for Scope]]="","id",-1+COUNTA($Q$1:ResourceScopes[[#This Row],[Resource for Scope]])+VLOOKUP('Table Seed Map'!$A$9,SeedMap[],9,0))</f>
        <v>2108111</v>
      </c>
      <c r="T13" s="69">
        <f>IFERROR(VLOOKUP(ResourceScopes[[#This Row],[Resource for Scope]],CHOOSE({1,2},ResourceTable[Name],ResourceTable[No]),2,0),"resource")</f>
        <v>2106121</v>
      </c>
      <c r="U13" s="62" t="s">
        <v>1802</v>
      </c>
      <c r="V13" s="62" t="s">
        <v>1832</v>
      </c>
      <c r="W13" s="62" t="s">
        <v>1803</v>
      </c>
    </row>
    <row r="14" spans="1:23">
      <c r="A14" s="73" t="str">
        <f>Page&amp;"-"&amp;(COUNTA($E$1:RelationTable[[#This Row],[Resource]])-1)</f>
        <v>Resource Relations-12</v>
      </c>
      <c r="B14" s="67">
        <f>IF(RelationTable[[#This Row],[Resource]]="","id",COUNTA($E$2:RelationTable[[#This Row],[Resource]])+IF(ISNUMBER(VLOOKUP('Table Seed Map'!$A$10,SeedMap[],9,0)),VLOOKUP('Table Seed Map'!$A$10,SeedMap[],9,0),0))</f>
        <v>2109112</v>
      </c>
      <c r="C14" s="69" t="str">
        <f>RelationTable[[#This Row],[Resource]]&amp;"/"&amp;RelationTable[[#This Row],[Method]]</f>
        <v>Hub/Orders</v>
      </c>
      <c r="D14" s="69">
        <f>RelationTable[[#This Row],[No]]</f>
        <v>2109112</v>
      </c>
      <c r="E14" s="63" t="s">
        <v>777</v>
      </c>
      <c r="F14" s="63" t="s">
        <v>787</v>
      </c>
      <c r="G14" s="69">
        <f>RelationTable[[#This Row],[No]]</f>
        <v>2109112</v>
      </c>
      <c r="H14" s="69">
        <f>IF(RelationTable[[#This Row],[No]]="id","resource",VLOOKUP([Resource],CHOOSE({1,2},ResourceTable[Name],ResourceTable[No]),2,0))</f>
        <v>2106107</v>
      </c>
      <c r="I14" s="69" t="s">
        <v>994</v>
      </c>
      <c r="J14" s="69" t="s">
        <v>995</v>
      </c>
      <c r="K14" s="69" t="s">
        <v>905</v>
      </c>
      <c r="L14" s="69" t="s">
        <v>941</v>
      </c>
      <c r="M14" s="74">
        <f>VLOOKUP([Relate Resource],CHOOSE({1,2},ResourceTable[Name],ResourceTable[No]),2,0)</f>
        <v>2106118</v>
      </c>
      <c r="N14" s="75">
        <f>[RELID]</f>
        <v>2109112</v>
      </c>
      <c r="P14" s="63" t="str">
        <f>'Table Seed Map'!$A$9&amp;"-"&amp;COUNTA($Q$1:ResourceScopes[[#This Row],[Resource for Scope]])-1</f>
        <v>Resource Scopes-12</v>
      </c>
      <c r="Q14" s="62" t="s">
        <v>893</v>
      </c>
      <c r="R14" s="63" t="str">
        <f>ResourceScopes[[#This Row],[Resource for Scope]]&amp;"/"&amp;ResourceScopes[[#This Row],[Name]]</f>
        <v>Invoice/PaidInvoices</v>
      </c>
      <c r="S14" s="69">
        <f>IF(ResourceScopes[[#This Row],[Resource for Scope]]="","id",-1+COUNTA($Q$1:ResourceScopes[[#This Row],[Resource for Scope]])+VLOOKUP('Table Seed Map'!$A$9,SeedMap[],9,0))</f>
        <v>2108112</v>
      </c>
      <c r="T14" s="69">
        <f>IFERROR(VLOOKUP(ResourceScopes[[#This Row],[Resource for Scope]],CHOOSE({1,2},ResourceTable[Name],ResourceTable[No]),2,0),"resource")</f>
        <v>2106121</v>
      </c>
      <c r="U14" s="62" t="s">
        <v>1831</v>
      </c>
      <c r="V14" s="62" t="s">
        <v>1833</v>
      </c>
      <c r="W14" s="62" t="s">
        <v>1827</v>
      </c>
    </row>
    <row r="15" spans="1:23">
      <c r="A15" s="73" t="str">
        <f>Page&amp;"-"&amp;(COUNTA($E$1:RelationTable[[#This Row],[Resource]])-1)</f>
        <v>Resource Relations-13</v>
      </c>
      <c r="B15" s="67">
        <f>IF(RelationTable[[#This Row],[Resource]]="","id",COUNTA($E$2:RelationTable[[#This Row],[Resource]])+IF(ISNUMBER(VLOOKUP('Table Seed Map'!$A$10,SeedMap[],9,0)),VLOOKUP('Table Seed Map'!$A$10,SeedMap[],9,0),0))</f>
        <v>2109113</v>
      </c>
      <c r="C15" s="69" t="str">
        <f>RelationTable[[#This Row],[Resource]]&amp;"/"&amp;RelationTable[[#This Row],[Method]]</f>
        <v>Hub/Deliveries</v>
      </c>
      <c r="D15" s="69">
        <f>RelationTable[[#This Row],[No]]</f>
        <v>2109113</v>
      </c>
      <c r="E15" s="63" t="s">
        <v>777</v>
      </c>
      <c r="F15" s="63" t="s">
        <v>912</v>
      </c>
      <c r="G15" s="69">
        <f>RelationTable[[#This Row],[No]]</f>
        <v>2109113</v>
      </c>
      <c r="H15" s="69">
        <f>IF(RelationTable[[#This Row],[No]]="id","resource",VLOOKUP([Resource],CHOOSE({1,2},ResourceTable[Name],ResourceTable[No]),2,0))</f>
        <v>2106107</v>
      </c>
      <c r="I15" s="69" t="s">
        <v>938</v>
      </c>
      <c r="J15" s="69" t="s">
        <v>946</v>
      </c>
      <c r="K15" s="69" t="s">
        <v>952</v>
      </c>
      <c r="L15" s="69" t="s">
        <v>941</v>
      </c>
      <c r="M15" s="74">
        <f>VLOOKUP([Relate Resource],CHOOSE({1,2},ResourceTable[Name],ResourceTable[No]),2,0)</f>
        <v>2106125</v>
      </c>
      <c r="N15" s="75">
        <f>[RELID]</f>
        <v>2109113</v>
      </c>
      <c r="P15" s="63" t="str">
        <f>'Table Seed Map'!$A$9&amp;"-"&amp;COUNTA($Q$1:ResourceScopes[[#This Row],[Resource for Scope]])-1</f>
        <v>Resource Scopes-13</v>
      </c>
      <c r="Q15" s="62" t="s">
        <v>777</v>
      </c>
      <c r="R15" s="63" t="str">
        <f>ResourceScopes[[#This Row],[Resource for Scope]]&amp;"/"&amp;ResourceScopes[[#This Row],[Name]]</f>
        <v>Hub/OwnHubs</v>
      </c>
      <c r="S15" s="69">
        <f>IF(ResourceScopes[[#This Row],[Resource for Scope]]="","id",-1+COUNTA($Q$1:ResourceScopes[[#This Row],[Resource for Scope]])+VLOOKUP('Table Seed Map'!$A$9,SeedMap[],9,0))</f>
        <v>2108113</v>
      </c>
      <c r="T15" s="69">
        <f>IFERROR(VLOOKUP(ResourceScopes[[#This Row],[Resource for Scope]],CHOOSE({1,2},ResourceTable[Name],ResourceTable[No]),2,0),"resource")</f>
        <v>2106107</v>
      </c>
      <c r="U15" s="62" t="s">
        <v>1855</v>
      </c>
      <c r="V15" s="62" t="s">
        <v>1856</v>
      </c>
      <c r="W15" s="62" t="s">
        <v>1857</v>
      </c>
    </row>
    <row r="16" spans="1:23">
      <c r="A16" s="73" t="str">
        <f>Page&amp;"-"&amp;(COUNTA($E$1:RelationTable[[#This Row],[Resource]])-1)</f>
        <v>Resource Relations-14</v>
      </c>
      <c r="B16" s="67">
        <f>IF(RelationTable[[#This Row],[Resource]]="","id",COUNTA($E$2:RelationTable[[#This Row],[Resource]])+IF(ISNUMBER(VLOOKUP('Table Seed Map'!$A$10,SeedMap[],9,0)),VLOOKUP('Table Seed Map'!$A$10,SeedMap[],9,0),0))</f>
        <v>2109114</v>
      </c>
      <c r="C16" s="69" t="str">
        <f>RelationTable[[#This Row],[Resource]]&amp;"/"&amp;RelationTable[[#This Row],[Method]]</f>
        <v>Hub/ShiftsFrom</v>
      </c>
      <c r="D16" s="69">
        <f>RelationTable[[#This Row],[No]]</f>
        <v>2109114</v>
      </c>
      <c r="E16" s="63" t="s">
        <v>777</v>
      </c>
      <c r="F16" s="63" t="s">
        <v>792</v>
      </c>
      <c r="G16" s="69">
        <f>RelationTable[[#This Row],[No]]</f>
        <v>2109114</v>
      </c>
      <c r="H16" s="69">
        <f>IF(RelationTable[[#This Row],[No]]="id","resource",VLOOKUP([Resource],CHOOSE({1,2},ResourceTable[Name],ResourceTable[No]),2,0))</f>
        <v>2106107</v>
      </c>
      <c r="I16" s="69" t="s">
        <v>939</v>
      </c>
      <c r="J16" s="69" t="s">
        <v>947</v>
      </c>
      <c r="K16" s="69" t="s">
        <v>953</v>
      </c>
      <c r="L16" s="69" t="s">
        <v>941</v>
      </c>
      <c r="M16" s="74">
        <f>VLOOKUP([Relate Resource],CHOOSE({1,2},ResourceTable[Name],ResourceTable[No]),2,0)</f>
        <v>2106127</v>
      </c>
      <c r="N16" s="75">
        <f>[RELID]</f>
        <v>2109114</v>
      </c>
      <c r="P16" s="63" t="str">
        <f>'Table Seed Map'!$A$9&amp;"-"&amp;COUNTA($Q$1:ResourceScopes[[#This Row],[Resource for Scope]])-1</f>
        <v>Resource Scopes-14</v>
      </c>
      <c r="Q16" s="62" t="s">
        <v>788</v>
      </c>
      <c r="R16" s="63" t="str">
        <f>ResourceScopes[[#This Row],[Resource for Scope]]&amp;"/"&amp;ResourceScopes[[#This Row],[Name]]</f>
        <v>OrderItem/OwnHubItems</v>
      </c>
      <c r="S16" s="69">
        <f>IF(ResourceScopes[[#This Row],[Resource for Scope]]="","id",-1+COUNTA($Q$1:ResourceScopes[[#This Row],[Resource for Scope]])+VLOOKUP('Table Seed Map'!$A$9,SeedMap[],9,0))</f>
        <v>2108114</v>
      </c>
      <c r="T16" s="69">
        <f>IFERROR(VLOOKUP(ResourceScopes[[#This Row],[Resource for Scope]],CHOOSE({1,2},ResourceTable[Name],ResourceTable[No]),2,0),"resource")</f>
        <v>2106119</v>
      </c>
      <c r="U16" s="62" t="s">
        <v>1865</v>
      </c>
      <c r="V16" s="62" t="s">
        <v>1866</v>
      </c>
      <c r="W16" s="62" t="s">
        <v>1867</v>
      </c>
    </row>
    <row r="17" spans="1:23">
      <c r="A17" s="73" t="str">
        <f>Page&amp;"-"&amp;(COUNTA($E$1:RelationTable[[#This Row],[Resource]])-1)</f>
        <v>Resource Relations-15</v>
      </c>
      <c r="B17" s="67">
        <f>IF(RelationTable[[#This Row],[Resource]]="","id",COUNTA($E$2:RelationTable[[#This Row],[Resource]])+IF(ISNUMBER(VLOOKUP('Table Seed Map'!$A$10,SeedMap[],9,0)),VLOOKUP('Table Seed Map'!$A$10,SeedMap[],9,0),0))</f>
        <v>2109115</v>
      </c>
      <c r="C17" s="69" t="str">
        <f>RelationTable[[#This Row],[Resource]]&amp;"/"&amp;RelationTable[[#This Row],[Method]]</f>
        <v>Hub/ShiftsTowards</v>
      </c>
      <c r="D17" s="69">
        <f>RelationTable[[#This Row],[No]]</f>
        <v>2109115</v>
      </c>
      <c r="E17" s="63" t="s">
        <v>777</v>
      </c>
      <c r="F17" s="63" t="s">
        <v>792</v>
      </c>
      <c r="G17" s="69">
        <f>RelationTable[[#This Row],[No]]</f>
        <v>2109115</v>
      </c>
      <c r="H17" s="69">
        <f>IF(RelationTable[[#This Row],[No]]="id","resource",VLOOKUP([Resource],CHOOSE({1,2},ResourceTable[Name],ResourceTable[No]),2,0))</f>
        <v>2106107</v>
      </c>
      <c r="I17" s="69" t="s">
        <v>940</v>
      </c>
      <c r="J17" s="69" t="s">
        <v>948</v>
      </c>
      <c r="K17" s="69" t="s">
        <v>954</v>
      </c>
      <c r="L17" s="69" t="s">
        <v>941</v>
      </c>
      <c r="M17" s="74">
        <f>VLOOKUP([Relate Resource],CHOOSE({1,2},ResourceTable[Name],ResourceTable[No]),2,0)</f>
        <v>2106127</v>
      </c>
      <c r="N17" s="75">
        <f>[RELID]</f>
        <v>2109115</v>
      </c>
      <c r="P17" s="63" t="str">
        <f>'Table Seed Map'!$A$9&amp;"-"&amp;COUNTA($Q$1:ResourceScopes[[#This Row],[Resource for Scope]])-1</f>
        <v>Resource Scopes-15</v>
      </c>
      <c r="Q17" s="62" t="s">
        <v>787</v>
      </c>
      <c r="R17" s="63" t="str">
        <f>ResourceScopes[[#This Row],[Resource for Scope]]&amp;"/"&amp;ResourceScopes[[#This Row],[Name]]</f>
        <v>Order/OwnHubOrders</v>
      </c>
      <c r="S17" s="69">
        <f>IF(ResourceScopes[[#This Row],[Resource for Scope]]="","id",-1+COUNTA($Q$1:ResourceScopes[[#This Row],[Resource for Scope]])+VLOOKUP('Table Seed Map'!$A$9,SeedMap[],9,0))</f>
        <v>2108115</v>
      </c>
      <c r="T17" s="69">
        <f>IFERROR(VLOOKUP(ResourceScopes[[#This Row],[Resource for Scope]],CHOOSE({1,2},ResourceTable[Name],ResourceTable[No]),2,0),"resource")</f>
        <v>2106118</v>
      </c>
      <c r="U17" s="62" t="s">
        <v>1891</v>
      </c>
      <c r="V17" s="62" t="s">
        <v>1893</v>
      </c>
      <c r="W17" s="62" t="s">
        <v>1894</v>
      </c>
    </row>
    <row r="18" spans="1:23">
      <c r="A18" s="73" t="str">
        <f>Page&amp;"-"&amp;(COUNTA($E$1:RelationTable[[#This Row],[Resource]])-1)</f>
        <v>Resource Relations-16</v>
      </c>
      <c r="B18" s="67">
        <f>IF(RelationTable[[#This Row],[Resource]]="","id",COUNTA($E$2:RelationTable[[#This Row],[Resource]])+IF(ISNUMBER(VLOOKUP('Table Seed Map'!$A$10,SeedMap[],9,0)),VLOOKUP('Table Seed Map'!$A$10,SeedMap[],9,0),0))</f>
        <v>2109116</v>
      </c>
      <c r="C18" s="69" t="str">
        <f>RelationTable[[#This Row],[Resource]]&amp;"/"&amp;RelationTable[[#This Row],[Method]]</f>
        <v>Service/Providers</v>
      </c>
      <c r="D18" s="69">
        <f>RelationTable[[#This Row],[No]]</f>
        <v>2109116</v>
      </c>
      <c r="E18" s="63" t="s">
        <v>778</v>
      </c>
      <c r="F18" s="61" t="s">
        <v>1337</v>
      </c>
      <c r="G18" s="69">
        <f>RelationTable[[#This Row],[No]]</f>
        <v>2109116</v>
      </c>
      <c r="H18" s="69">
        <f>IF(RelationTable[[#This Row],[No]]="id","resource",VLOOKUP([Resource],CHOOSE({1,2},ResourceTable[Name],ResourceTable[No]),2,0))</f>
        <v>2106108</v>
      </c>
      <c r="I18" s="69" t="s">
        <v>956</v>
      </c>
      <c r="J18" s="69" t="s">
        <v>966</v>
      </c>
      <c r="K18" s="16" t="s">
        <v>1090</v>
      </c>
      <c r="L18" s="69" t="s">
        <v>977</v>
      </c>
      <c r="M18" s="74">
        <f>VLOOKUP([Relate Resource],CHOOSE({1,2},ResourceTable[Name],ResourceTable[No]),2,0)</f>
        <v>2106104</v>
      </c>
      <c r="N18" s="75">
        <f>[RELID]</f>
        <v>2109116</v>
      </c>
      <c r="P18" s="63" t="str">
        <f>'Table Seed Map'!$A$9&amp;"-"&amp;COUNTA($Q$1:ResourceScopes[[#This Row],[Resource for Scope]])-1</f>
        <v>Resource Scopes-16</v>
      </c>
      <c r="Q18" s="62" t="s">
        <v>789</v>
      </c>
      <c r="R18" s="63" t="str">
        <f>ResourceScopes[[#This Row],[Resource for Scope]]&amp;"/"&amp;ResourceScopes[[#This Row],[Name]]</f>
        <v>OrderItemService/OwnHubOrderItemServices</v>
      </c>
      <c r="S18" s="69">
        <f>IF(ResourceScopes[[#This Row],[Resource for Scope]]="","id",-1+COUNTA($Q$1:ResourceScopes[[#This Row],[Resource for Scope]])+VLOOKUP('Table Seed Map'!$A$9,SeedMap[],9,0))</f>
        <v>2108116</v>
      </c>
      <c r="T18" s="69">
        <f>IFERROR(VLOOKUP(ResourceScopes[[#This Row],[Resource for Scope]],CHOOSE({1,2},ResourceTable[Name],ResourceTable[No]),2,0),"resource")</f>
        <v>2106120</v>
      </c>
      <c r="U18" s="62" t="s">
        <v>1897</v>
      </c>
      <c r="V18" s="62" t="s">
        <v>1898</v>
      </c>
      <c r="W18" s="62" t="s">
        <v>1894</v>
      </c>
    </row>
    <row r="19" spans="1:23">
      <c r="A19" s="73" t="str">
        <f>Page&amp;"-"&amp;(COUNTA($E$1:RelationTable[[#This Row],[Resource]])-1)</f>
        <v>Resource Relations-17</v>
      </c>
      <c r="B19" s="67">
        <f>IF(RelationTable[[#This Row],[Resource]]="","id",COUNTA($E$2:RelationTable[[#This Row],[Resource]])+IF(ISNUMBER(VLOOKUP('Table Seed Map'!$A$10,SeedMap[],9,0)),VLOOKUP('Table Seed Map'!$A$10,SeedMap[],9,0),0))</f>
        <v>2109117</v>
      </c>
      <c r="C19" s="69" t="str">
        <f>RelationTable[[#This Row],[Resource]]&amp;"/"&amp;RelationTable[[#This Row],[Method]]</f>
        <v>Service/Hubs</v>
      </c>
      <c r="D19" s="69">
        <f>RelationTable[[#This Row],[No]]</f>
        <v>2109117</v>
      </c>
      <c r="E19" s="63" t="s">
        <v>778</v>
      </c>
      <c r="F19" s="63" t="s">
        <v>777</v>
      </c>
      <c r="G19" s="69">
        <f>RelationTable[[#This Row],[No]]</f>
        <v>2109117</v>
      </c>
      <c r="H19" s="69">
        <f>IF(RelationTable[[#This Row],[No]]="id","resource",VLOOKUP([Resource],CHOOSE({1,2},ResourceTable[Name],ResourceTable[No]),2,0))</f>
        <v>2106108</v>
      </c>
      <c r="I19" s="69" t="s">
        <v>957</v>
      </c>
      <c r="J19" s="69" t="s">
        <v>967</v>
      </c>
      <c r="K19" s="69" t="s">
        <v>895</v>
      </c>
      <c r="L19" s="69" t="s">
        <v>951</v>
      </c>
      <c r="M19" s="74">
        <f>VLOOKUP([Relate Resource],CHOOSE({1,2},ResourceTable[Name],ResourceTable[No]),2,0)</f>
        <v>2106107</v>
      </c>
      <c r="N19" s="75">
        <f>[RELID]</f>
        <v>2109117</v>
      </c>
      <c r="P19" s="63" t="str">
        <f>'Table Seed Map'!$A$9&amp;"-"&amp;COUNTA($Q$1:ResourceScopes[[#This Row],[Resource for Scope]])-1</f>
        <v>Resource Scopes-17</v>
      </c>
      <c r="Q19" s="62" t="s">
        <v>790</v>
      </c>
      <c r="R19" s="63" t="str">
        <f>ResourceScopes[[#This Row],[Resource for Scope]]&amp;"/"&amp;ResourceScopes[[#This Row],[Name]]</f>
        <v>OrderItemServiceUser/OwnHubOISUs</v>
      </c>
      <c r="S19" s="69">
        <f>IF(ResourceScopes[[#This Row],[Resource for Scope]]="","id",-1+COUNTA($Q$1:ResourceScopes[[#This Row],[Resource for Scope]])+VLOOKUP('Table Seed Map'!$A$9,SeedMap[],9,0))</f>
        <v>2108117</v>
      </c>
      <c r="T19" s="69">
        <f>IFERROR(VLOOKUP(ResourceScopes[[#This Row],[Resource for Scope]],CHOOSE({1,2},ResourceTable[Name],ResourceTable[No]),2,0),"resource")</f>
        <v>2106123</v>
      </c>
      <c r="U19" s="62" t="s">
        <v>1905</v>
      </c>
      <c r="V19" s="62" t="s">
        <v>1906</v>
      </c>
      <c r="W19" s="62" t="s">
        <v>1894</v>
      </c>
    </row>
    <row r="20" spans="1:23">
      <c r="A20" s="73" t="str">
        <f>Page&amp;"-"&amp;(COUNTA($E$1:RelationTable[[#This Row],[Resource]])-1)</f>
        <v>Resource Relations-18</v>
      </c>
      <c r="B20" s="67">
        <f>IF(RelationTable[[#This Row],[Resource]]="","id",COUNTA($E$2:RelationTable[[#This Row],[Resource]])+IF(ISNUMBER(VLOOKUP('Table Seed Map'!$A$10,SeedMap[],9,0)),VLOOKUP('Table Seed Map'!$A$10,SeedMap[],9,0),0))</f>
        <v>2109118</v>
      </c>
      <c r="C20" s="69" t="str">
        <f>RelationTable[[#This Row],[Resource]]&amp;"/"&amp;RelationTable[[#This Row],[Method]]</f>
        <v>Service/Items</v>
      </c>
      <c r="D20" s="69">
        <f>RelationTable[[#This Row],[No]]</f>
        <v>2109118</v>
      </c>
      <c r="E20" s="63" t="s">
        <v>778</v>
      </c>
      <c r="F20" s="63" t="s">
        <v>779</v>
      </c>
      <c r="G20" s="69">
        <f>RelationTable[[#This Row],[No]]</f>
        <v>2109118</v>
      </c>
      <c r="H20" s="69">
        <f>IF(RelationTable[[#This Row],[No]]="id","resource",VLOOKUP([Resource],CHOOSE({1,2},ResourceTable[Name],ResourceTable[No]),2,0))</f>
        <v>2106108</v>
      </c>
      <c r="I20" s="69" t="s">
        <v>960</v>
      </c>
      <c r="J20" s="69" t="s">
        <v>961</v>
      </c>
      <c r="K20" s="69" t="s">
        <v>897</v>
      </c>
      <c r="L20" s="69" t="s">
        <v>977</v>
      </c>
      <c r="M20" s="74">
        <f>VLOOKUP([Relate Resource],CHOOSE({1,2},ResourceTable[Name],ResourceTable[No]),2,0)</f>
        <v>2106109</v>
      </c>
      <c r="N20" s="75">
        <f>[RELID]</f>
        <v>2109118</v>
      </c>
      <c r="P20" s="63" t="str">
        <f>'Table Seed Map'!$A$9&amp;"-"&amp;COUNTA($Q$1:ResourceScopes[[#This Row],[Resource for Scope]])-1</f>
        <v>Resource Scopes-18</v>
      </c>
      <c r="Q20" s="62" t="s">
        <v>790</v>
      </c>
      <c r="R20" s="63" t="str">
        <f>ResourceScopes[[#This Row],[Resource for Scope]]&amp;"/"&amp;ResourceScopes[[#This Row],[Name]]</f>
        <v>OrderItemServiceUser/OwnJobs</v>
      </c>
      <c r="S20" s="69">
        <f>IF(ResourceScopes[[#This Row],[Resource for Scope]]="","id",-1+COUNTA($Q$1:ResourceScopes[[#This Row],[Resource for Scope]])+VLOOKUP('Table Seed Map'!$A$9,SeedMap[],9,0))</f>
        <v>2108118</v>
      </c>
      <c r="T20" s="69">
        <f>IFERROR(VLOOKUP(ResourceScopes[[#This Row],[Resource for Scope]],CHOOSE({1,2},ResourceTable[Name],ResourceTable[No]),2,0),"resource")</f>
        <v>2106123</v>
      </c>
      <c r="U20" s="62" t="s">
        <v>1907</v>
      </c>
      <c r="V20" s="62" t="s">
        <v>1908</v>
      </c>
      <c r="W20" s="62" t="s">
        <v>1909</v>
      </c>
    </row>
    <row r="21" spans="1:23">
      <c r="A21" s="73" t="str">
        <f>Page&amp;"-"&amp;(COUNTA($E$1:RelationTable[[#This Row],[Resource]])-1)</f>
        <v>Resource Relations-19</v>
      </c>
      <c r="B21" s="67">
        <f>IF(RelationTable[[#This Row],[Resource]]="","id",COUNTA($E$2:RelationTable[[#This Row],[Resource]])+IF(ISNUMBER(VLOOKUP('Table Seed Map'!$A$10,SeedMap[],9,0)),VLOOKUP('Table Seed Map'!$A$10,SeedMap[],9,0),0))</f>
        <v>2109119</v>
      </c>
      <c r="C21" s="69" t="str">
        <f>RelationTable[[#This Row],[Resource]]&amp;"/"&amp;RelationTable[[#This Row],[Method]]</f>
        <v>Service/Prices</v>
      </c>
      <c r="D21" s="69">
        <f>RelationTable[[#This Row],[No]]</f>
        <v>2109119</v>
      </c>
      <c r="E21" s="63" t="s">
        <v>778</v>
      </c>
      <c r="F21" s="63" t="s">
        <v>784</v>
      </c>
      <c r="G21" s="69">
        <f>RelationTable[[#This Row],[No]]</f>
        <v>2109119</v>
      </c>
      <c r="H21" s="69">
        <f>IF(RelationTable[[#This Row],[No]]="id","resource",VLOOKUP([Resource],CHOOSE({1,2},ResourceTable[Name],ResourceTable[No]),2,0))</f>
        <v>2106108</v>
      </c>
      <c r="I21" s="69" t="s">
        <v>958</v>
      </c>
      <c r="J21" s="69" t="s">
        <v>959</v>
      </c>
      <c r="K21" s="69" t="s">
        <v>969</v>
      </c>
      <c r="L21" s="69" t="s">
        <v>977</v>
      </c>
      <c r="M21" s="74">
        <f>VLOOKUP([Relate Resource],CHOOSE({1,2},ResourceTable[Name],ResourceTable[No]),2,0)</f>
        <v>2106116</v>
      </c>
      <c r="N21" s="75">
        <f>[RELID]</f>
        <v>2109119</v>
      </c>
      <c r="P21" s="63" t="str">
        <f>'Table Seed Map'!$A$9&amp;"-"&amp;COUNTA($Q$1:ResourceScopes[[#This Row],[Resource for Scope]])-1</f>
        <v>Resource Scopes-19</v>
      </c>
      <c r="Q21" s="62" t="s">
        <v>790</v>
      </c>
      <c r="R21" s="63" t="str">
        <f>ResourceScopes[[#This Row],[Resource for Scope]]&amp;"/"&amp;ResourceScopes[[#This Row],[Name]]</f>
        <v>OrderItemServiceUser/NewJobs</v>
      </c>
      <c r="S21" s="69">
        <f>IF(ResourceScopes[[#This Row],[Resource for Scope]]="","id",-1+COUNTA($Q$1:ResourceScopes[[#This Row],[Resource for Scope]])+VLOOKUP('Table Seed Map'!$A$9,SeedMap[],9,0))</f>
        <v>2108119</v>
      </c>
      <c r="T21" s="69">
        <f>IFERROR(VLOOKUP(ResourceScopes[[#This Row],[Resource for Scope]],CHOOSE({1,2},ResourceTable[Name],ResourceTable[No]),2,0),"resource")</f>
        <v>2106123</v>
      </c>
      <c r="U21" s="62" t="s">
        <v>1928</v>
      </c>
      <c r="V21" s="62" t="s">
        <v>1930</v>
      </c>
      <c r="W21" s="62" t="s">
        <v>1925</v>
      </c>
    </row>
    <row r="22" spans="1:23">
      <c r="A22" s="73" t="str">
        <f>Page&amp;"-"&amp;(COUNTA($E$1:RelationTable[[#This Row],[Resource]])-1)</f>
        <v>Resource Relations-20</v>
      </c>
      <c r="B22" s="67">
        <f>IF(RelationTable[[#This Row],[Resource]]="","id",COUNTA($E$2:RelationTable[[#This Row],[Resource]])+IF(ISNUMBER(VLOOKUP('Table Seed Map'!$A$10,SeedMap[],9,0)),VLOOKUP('Table Seed Map'!$A$10,SeedMap[],9,0),0))</f>
        <v>2109120</v>
      </c>
      <c r="C22" s="69" t="str">
        <f>RelationTable[[#This Row],[Resource]]&amp;"/"&amp;RelationTable[[#This Row],[Method]]</f>
        <v>Service/Unassigned</v>
      </c>
      <c r="D22" s="69">
        <f>RelationTable[[#This Row],[No]]</f>
        <v>2109120</v>
      </c>
      <c r="E22" s="63" t="s">
        <v>778</v>
      </c>
      <c r="F22" s="63" t="s">
        <v>789</v>
      </c>
      <c r="G22" s="69">
        <f>RelationTable[[#This Row],[No]]</f>
        <v>2109120</v>
      </c>
      <c r="H22" s="69">
        <f>IF(RelationTable[[#This Row],[No]]="id","resource",VLOOKUP([Resource],CHOOSE({1,2},ResourceTable[Name],ResourceTable[No]),2,0))</f>
        <v>2106108</v>
      </c>
      <c r="I22" s="69" t="s">
        <v>962</v>
      </c>
      <c r="J22" s="69" t="s">
        <v>964</v>
      </c>
      <c r="K22" s="69" t="s">
        <v>973</v>
      </c>
      <c r="L22" s="69" t="s">
        <v>941</v>
      </c>
      <c r="M22" s="74">
        <f>VLOOKUP([Relate Resource],CHOOSE({1,2},ResourceTable[Name],ResourceTable[No]),2,0)</f>
        <v>2106120</v>
      </c>
      <c r="N22" s="75">
        <f>[RELID]</f>
        <v>2109120</v>
      </c>
      <c r="P22" s="63" t="str">
        <f>'Table Seed Map'!$A$9&amp;"-"&amp;COUNTA($Q$1:ResourceScopes[[#This Row],[Resource for Scope]])-1</f>
        <v>Resource Scopes-20</v>
      </c>
      <c r="Q22" s="62" t="s">
        <v>790</v>
      </c>
      <c r="R22" s="63" t="str">
        <f>ResourceScopes[[#This Row],[Resource for Scope]]&amp;"/"&amp;ResourceScopes[[#This Row],[Name]]</f>
        <v>OrderItemServiceUser/InServiceJobs</v>
      </c>
      <c r="S22" s="69">
        <f>IF(ResourceScopes[[#This Row],[Resource for Scope]]="","id",-1+COUNTA($Q$1:ResourceScopes[[#This Row],[Resource for Scope]])+VLOOKUP('Table Seed Map'!$A$9,SeedMap[],9,0))</f>
        <v>2108120</v>
      </c>
      <c r="T22" s="69">
        <f>IFERROR(VLOOKUP(ResourceScopes[[#This Row],[Resource for Scope]],CHOOSE({1,2},ResourceTable[Name],ResourceTable[No]),2,0),"resource")</f>
        <v>2106123</v>
      </c>
      <c r="U22" s="62" t="s">
        <v>1929</v>
      </c>
      <c r="V22" s="62" t="s">
        <v>1931</v>
      </c>
      <c r="W22" s="62" t="s">
        <v>1926</v>
      </c>
    </row>
    <row r="23" spans="1:23">
      <c r="A23" s="73" t="str">
        <f>Page&amp;"-"&amp;(COUNTA($E$1:RelationTable[[#This Row],[Resource]])-1)</f>
        <v>Resource Relations-21</v>
      </c>
      <c r="B23" s="67">
        <f>IF(RelationTable[[#This Row],[Resource]]="","id",COUNTA($E$2:RelationTable[[#This Row],[Resource]])+IF(ISNUMBER(VLOOKUP('Table Seed Map'!$A$10,SeedMap[],9,0)),VLOOKUP('Table Seed Map'!$A$10,SeedMap[],9,0),0))</f>
        <v>2109121</v>
      </c>
      <c r="C23" s="69" t="str">
        <f>RelationTable[[#This Row],[Resource]]&amp;"/"&amp;RelationTable[[#This Row],[Method]]</f>
        <v>Service/Assigned</v>
      </c>
      <c r="D23" s="69">
        <f>RelationTable[[#This Row],[No]]</f>
        <v>2109121</v>
      </c>
      <c r="E23" s="63" t="s">
        <v>778</v>
      </c>
      <c r="F23" s="63" t="s">
        <v>789</v>
      </c>
      <c r="G23" s="69">
        <f>RelationTable[[#This Row],[No]]</f>
        <v>2109121</v>
      </c>
      <c r="H23" s="69">
        <f>IF(RelationTable[[#This Row],[No]]="id","resource",VLOOKUP([Resource],CHOOSE({1,2},ResourceTable[Name],ResourceTable[No]),2,0))</f>
        <v>2106108</v>
      </c>
      <c r="I23" s="69" t="s">
        <v>975</v>
      </c>
      <c r="J23" s="69" t="s">
        <v>976</v>
      </c>
      <c r="K23" s="69" t="s">
        <v>974</v>
      </c>
      <c r="L23" s="69" t="s">
        <v>941</v>
      </c>
      <c r="M23" s="74">
        <f>VLOOKUP([Relate Resource],CHOOSE({1,2},ResourceTable[Name],ResourceTable[No]),2,0)</f>
        <v>2106120</v>
      </c>
      <c r="N23" s="75">
        <f>[RELID]</f>
        <v>2109121</v>
      </c>
      <c r="P23" s="63" t="str">
        <f>'Table Seed Map'!$A$9&amp;"-"&amp;COUNTA($Q$1:ResourceScopes[[#This Row],[Resource for Scope]])-1</f>
        <v>Resource Scopes-21</v>
      </c>
      <c r="Q23" s="62" t="s">
        <v>790</v>
      </c>
      <c r="R23" s="63" t="str">
        <f>ResourceScopes[[#This Row],[Resource for Scope]]&amp;"/"&amp;ResourceScopes[[#This Row],[Name]]</f>
        <v>OrderItemServiceUser/CompletedJobs</v>
      </c>
      <c r="S23" s="69">
        <f>IF(ResourceScopes[[#This Row],[Resource for Scope]]="","id",-1+COUNTA($Q$1:ResourceScopes[[#This Row],[Resource for Scope]])+VLOOKUP('Table Seed Map'!$A$9,SeedMap[],9,0))</f>
        <v>2108121</v>
      </c>
      <c r="T23" s="69">
        <f>IFERROR(VLOOKUP(ResourceScopes[[#This Row],[Resource for Scope]],CHOOSE({1,2},ResourceTable[Name],ResourceTable[No]),2,0),"resource")</f>
        <v>2106123</v>
      </c>
      <c r="U23" s="62" t="s">
        <v>1941</v>
      </c>
      <c r="V23" s="62" t="s">
        <v>1932</v>
      </c>
      <c r="W23" s="62" t="s">
        <v>1927</v>
      </c>
    </row>
    <row r="24" spans="1:23">
      <c r="A24" s="73" t="str">
        <f>Page&amp;"-"&amp;(COUNTA($E$1:RelationTable[[#This Row],[Resource]])-1)</f>
        <v>Resource Relations-22</v>
      </c>
      <c r="B24" s="67">
        <f>IF(RelationTable[[#This Row],[Resource]]="","id",COUNTA($E$2:RelationTable[[#This Row],[Resource]])+IF(ISNUMBER(VLOOKUP('Table Seed Map'!$A$10,SeedMap[],9,0)),VLOOKUP('Table Seed Map'!$A$10,SeedMap[],9,0),0))</f>
        <v>2109122</v>
      </c>
      <c r="C24" s="69" t="str">
        <f>RelationTable[[#This Row],[Resource]]&amp;"/"&amp;RelationTable[[#This Row],[Method]]</f>
        <v>Service/Processing</v>
      </c>
      <c r="D24" s="69">
        <f>RelationTable[[#This Row],[No]]</f>
        <v>2109122</v>
      </c>
      <c r="E24" s="63" t="s">
        <v>778</v>
      </c>
      <c r="F24" s="63" t="s">
        <v>789</v>
      </c>
      <c r="G24" s="69">
        <f>RelationTable[[#This Row],[No]]</f>
        <v>2109122</v>
      </c>
      <c r="H24" s="69">
        <f>IF(RelationTable[[#This Row],[No]]="id","resource",VLOOKUP([Resource],CHOOSE({1,2},ResourceTable[Name],ResourceTable[No]),2,0))</f>
        <v>2106108</v>
      </c>
      <c r="I24" s="69" t="s">
        <v>963</v>
      </c>
      <c r="J24" s="69" t="s">
        <v>965</v>
      </c>
      <c r="K24" s="69" t="s">
        <v>970</v>
      </c>
      <c r="L24" s="69" t="s">
        <v>941</v>
      </c>
      <c r="M24" s="74">
        <f>VLOOKUP([Relate Resource],CHOOSE({1,2},ResourceTable[Name],ResourceTable[No]),2,0)</f>
        <v>2106120</v>
      </c>
      <c r="N24" s="75">
        <f>[RELID]</f>
        <v>2109122</v>
      </c>
      <c r="P24" s="63" t="str">
        <f>'Table Seed Map'!$A$9&amp;"-"&amp;COUNTA($Q$1:ResourceScopes[[#This Row],[Resource for Scope]])-1</f>
        <v>Resource Scopes-22</v>
      </c>
      <c r="Q24" s="62" t="s">
        <v>787</v>
      </c>
      <c r="R24" s="63" t="str">
        <f>ResourceScopes[[#This Row],[Resource for Scope]]&amp;"/"&amp;ResourceScopes[[#This Row],[Name]]</f>
        <v>Order/DeliverableOrders</v>
      </c>
      <c r="S24" s="69">
        <f>IF(ResourceScopes[[#This Row],[Resource for Scope]]="","id",-1+COUNTA($Q$1:ResourceScopes[[#This Row],[Resource for Scope]])+VLOOKUP('Table Seed Map'!$A$9,SeedMap[],9,0))</f>
        <v>2108122</v>
      </c>
      <c r="T24" s="69">
        <f>IFERROR(VLOOKUP(ResourceScopes[[#This Row],[Resource for Scope]],CHOOSE({1,2},ResourceTable[Name],ResourceTable[No]),2,0),"resource")</f>
        <v>2106118</v>
      </c>
      <c r="U24" s="62" t="s">
        <v>2007</v>
      </c>
      <c r="V24" s="62" t="s">
        <v>2006</v>
      </c>
      <c r="W24" s="62" t="s">
        <v>2005</v>
      </c>
    </row>
    <row r="25" spans="1:23">
      <c r="A25" s="73" t="str">
        <f>Page&amp;"-"&amp;(COUNTA($E$1:RelationTable[[#This Row],[Resource]])-1)</f>
        <v>Resource Relations-23</v>
      </c>
      <c r="B25" s="67">
        <f>IF(RelationTable[[#This Row],[Resource]]="","id",COUNTA($E$2:RelationTable[[#This Row],[Resource]])+IF(ISNUMBER(VLOOKUP('Table Seed Map'!$A$10,SeedMap[],9,0)),VLOOKUP('Table Seed Map'!$A$10,SeedMap[],9,0),0))</f>
        <v>2109123</v>
      </c>
      <c r="C25" s="69" t="str">
        <f>RelationTable[[#This Row],[Resource]]&amp;"/"&amp;RelationTable[[#This Row],[Method]]</f>
        <v>Service/Awaiting</v>
      </c>
      <c r="D25" s="69">
        <f>RelationTable[[#This Row],[No]]</f>
        <v>2109123</v>
      </c>
      <c r="E25" s="63" t="s">
        <v>778</v>
      </c>
      <c r="F25" s="63" t="s">
        <v>789</v>
      </c>
      <c r="G25" s="69">
        <f>RelationTable[[#This Row],[No]]</f>
        <v>2109123</v>
      </c>
      <c r="H25" s="69">
        <f>IF(RelationTable[[#This Row],[No]]="id","resource",VLOOKUP([Resource],CHOOSE({1,2},ResourceTable[Name],ResourceTable[No]),2,0))</f>
        <v>2106108</v>
      </c>
      <c r="I25" s="69" t="s">
        <v>982</v>
      </c>
      <c r="J25" s="69" t="s">
        <v>968</v>
      </c>
      <c r="K25" s="69" t="s">
        <v>971</v>
      </c>
      <c r="L25" s="69" t="s">
        <v>941</v>
      </c>
      <c r="M25" s="74">
        <f>VLOOKUP([Relate Resource],CHOOSE({1,2},ResourceTable[Name],ResourceTable[No]),2,0)</f>
        <v>2106120</v>
      </c>
      <c r="N25" s="75">
        <f>[RELID]</f>
        <v>2109123</v>
      </c>
      <c r="P25" s="63" t="str">
        <f>'Table Seed Map'!$A$9&amp;"-"&amp;COUNTA($Q$1:ResourceScopes[[#This Row],[Resource for Scope]])-1</f>
        <v>Resource Scopes-23</v>
      </c>
      <c r="Q25" s="62" t="s">
        <v>789</v>
      </c>
      <c r="R25" s="63" t="str">
        <f>ResourceScopes[[#This Row],[Resource for Scope]]&amp;"/"&amp;ResourceScopes[[#This Row],[Name]]</f>
        <v>OrderItemService/TaskAssignableServices</v>
      </c>
      <c r="S25" s="69">
        <f>IF(ResourceScopes[[#This Row],[Resource for Scope]]="","id",-1+COUNTA($Q$1:ResourceScopes[[#This Row],[Resource for Scope]])+VLOOKUP('Table Seed Map'!$A$9,SeedMap[],9,0))</f>
        <v>2108123</v>
      </c>
      <c r="T25" s="69">
        <f>IFERROR(VLOOKUP(ResourceScopes[[#This Row],[Resource for Scope]],CHOOSE({1,2},ResourceTable[Name],ResourceTable[No]),2,0),"resource")</f>
        <v>2106120</v>
      </c>
      <c r="U25" s="62" t="s">
        <v>2012</v>
      </c>
      <c r="V25" s="62" t="s">
        <v>2025</v>
      </c>
      <c r="W25" s="62" t="s">
        <v>2013</v>
      </c>
    </row>
    <row r="26" spans="1:23">
      <c r="A26" s="73" t="str">
        <f>Page&amp;"-"&amp;(COUNTA($E$1:RelationTable[[#This Row],[Resource]])-1)</f>
        <v>Resource Relations-24</v>
      </c>
      <c r="B26" s="67">
        <f>IF(RelationTable[[#This Row],[Resource]]="","id",COUNTA($E$2:RelationTable[[#This Row],[Resource]])+IF(ISNUMBER(VLOOKUP('Table Seed Map'!$A$10,SeedMap[],9,0)),VLOOKUP('Table Seed Map'!$A$10,SeedMap[],9,0),0))</f>
        <v>2109124</v>
      </c>
      <c r="C26" s="69" t="str">
        <f>RelationTable[[#This Row],[Resource]]&amp;"/"&amp;RelationTable[[#This Row],[Method]]</f>
        <v>Item/ItemServices</v>
      </c>
      <c r="D26" s="69">
        <f>RelationTable[[#This Row],[No]]</f>
        <v>2109124</v>
      </c>
      <c r="E26" s="63" t="s">
        <v>779</v>
      </c>
      <c r="F26" s="63" t="s">
        <v>780</v>
      </c>
      <c r="G26" s="69">
        <f>RelationTable[[#This Row],[No]]</f>
        <v>2109124</v>
      </c>
      <c r="H26" s="69">
        <f>IF(RelationTable[[#This Row],[No]]="id","resource",VLOOKUP([Resource],CHOOSE({1,2},ResourceTable[Name],ResourceTable[No]),2,0))</f>
        <v>2106109</v>
      </c>
      <c r="I26" s="69" t="s">
        <v>983</v>
      </c>
      <c r="J26" s="69" t="s">
        <v>986</v>
      </c>
      <c r="K26" s="69" t="s">
        <v>983</v>
      </c>
      <c r="L26" s="69" t="s">
        <v>941</v>
      </c>
      <c r="M26" s="74">
        <f>VLOOKUP([Relate Resource],CHOOSE({1,2},ResourceTable[Name],ResourceTable[No]),2,0)</f>
        <v>2106110</v>
      </c>
      <c r="N26" s="75">
        <f>[RELID]</f>
        <v>2109124</v>
      </c>
      <c r="P26" s="63" t="str">
        <f>'Table Seed Map'!$A$9&amp;"-"&amp;COUNTA($Q$1:ResourceScopes[[#This Row],[Resource for Scope]])-1</f>
        <v>Resource Scopes-24</v>
      </c>
      <c r="Q26" s="62" t="s">
        <v>788</v>
      </c>
      <c r="R26" s="63" t="str">
        <f>ResourceScopes[[#This Row],[Resource for Scope]]&amp;"/"&amp;ResourceScopes[[#This Row],[Name]]</f>
        <v>OrderItem/UndeliveredOrderItems</v>
      </c>
      <c r="S26" s="69">
        <f>IF(ResourceScopes[[#This Row],[Resource for Scope]]="","id",-1+COUNTA($Q$1:ResourceScopes[[#This Row],[Resource for Scope]])+VLOOKUP('Table Seed Map'!$A$9,SeedMap[],9,0))</f>
        <v>2108124</v>
      </c>
      <c r="T26" s="69">
        <f>IFERROR(VLOOKUP(ResourceScopes[[#This Row],[Resource for Scope]],CHOOSE({1,2},ResourceTable[Name],ResourceTable[No]),2,0),"resource")</f>
        <v>2106119</v>
      </c>
      <c r="U26" s="62" t="s">
        <v>2024</v>
      </c>
      <c r="V26" s="62" t="s">
        <v>2026</v>
      </c>
      <c r="W26" s="62" t="s">
        <v>1695</v>
      </c>
    </row>
    <row r="27" spans="1:23">
      <c r="A27" s="73" t="str">
        <f>Page&amp;"-"&amp;(COUNTA($E$1:RelationTable[[#This Row],[Resource]])-1)</f>
        <v>Resource Relations-25</v>
      </c>
      <c r="B27" s="67">
        <f>IF(RelationTable[[#This Row],[Resource]]="","id",COUNTA($E$2:RelationTable[[#This Row],[Resource]])+IF(ISNUMBER(VLOOKUP('Table Seed Map'!$A$10,SeedMap[],9,0)),VLOOKUP('Table Seed Map'!$A$10,SeedMap[],9,0),0))</f>
        <v>2109125</v>
      </c>
      <c r="C27" s="69" t="str">
        <f>RelationTable[[#This Row],[Resource]]&amp;"/"&amp;RelationTable[[#This Row],[Method]]</f>
        <v>Item/Prices</v>
      </c>
      <c r="D27" s="69">
        <f>RelationTable[[#This Row],[No]]</f>
        <v>2109125</v>
      </c>
      <c r="E27" s="63" t="s">
        <v>779</v>
      </c>
      <c r="F27" s="63" t="s">
        <v>784</v>
      </c>
      <c r="G27" s="69">
        <f>RelationTable[[#This Row],[No]]</f>
        <v>2109125</v>
      </c>
      <c r="H27" s="69">
        <f>IF(RelationTable[[#This Row],[No]]="id","resource",VLOOKUP([Resource],CHOOSE({1,2},ResourceTable[Name],ResourceTable[No]),2,0))</f>
        <v>2106109</v>
      </c>
      <c r="I27" s="69" t="s">
        <v>984</v>
      </c>
      <c r="J27" s="69" t="s">
        <v>987</v>
      </c>
      <c r="K27" s="69" t="s">
        <v>969</v>
      </c>
      <c r="L27" s="69" t="s">
        <v>977</v>
      </c>
      <c r="M27" s="74">
        <f>VLOOKUP([Relate Resource],CHOOSE({1,2},ResourceTable[Name],ResourceTable[No]),2,0)</f>
        <v>2106116</v>
      </c>
      <c r="N27" s="75">
        <f>[RELID]</f>
        <v>2109125</v>
      </c>
      <c r="P27" s="63" t="str">
        <f>'Table Seed Map'!$A$9&amp;"-"&amp;COUNTA($Q$1:ResourceScopes[[#This Row],[Resource for Scope]])-1</f>
        <v>Resource Scopes-25</v>
      </c>
      <c r="Q27" s="62" t="s">
        <v>893</v>
      </c>
      <c r="R27" s="63" t="str">
        <f>ResourceScopes[[#This Row],[Resource for Scope]]&amp;"/"&amp;ResourceScopes[[#This Row],[Name]]</f>
        <v>Invoice/OwnInvoices</v>
      </c>
      <c r="S27" s="69">
        <f>IF(ResourceScopes[[#This Row],[Resource for Scope]]="","id",-1+COUNTA($Q$1:ResourceScopes[[#This Row],[Resource for Scope]])+VLOOKUP('Table Seed Map'!$A$9,SeedMap[],9,0))</f>
        <v>2108125</v>
      </c>
      <c r="T27" s="69">
        <f>IFERROR(VLOOKUP(ResourceScopes[[#This Row],[Resource for Scope]],CHOOSE({1,2},ResourceTable[Name],ResourceTable[No]),2,0),"resource")</f>
        <v>2106121</v>
      </c>
      <c r="U27" s="62" t="s">
        <v>2037</v>
      </c>
      <c r="V27" s="62" t="s">
        <v>2038</v>
      </c>
      <c r="W27" s="62" t="s">
        <v>2039</v>
      </c>
    </row>
    <row r="28" spans="1:23">
      <c r="A28" s="73" t="str">
        <f>Page&amp;"-"&amp;(COUNTA($E$1:RelationTable[[#This Row],[Resource]])-1)</f>
        <v>Resource Relations-26</v>
      </c>
      <c r="B28" s="67">
        <f>IF(RelationTable[[#This Row],[Resource]]="","id",COUNTA($E$2:RelationTable[[#This Row],[Resource]])+IF(ISNUMBER(VLOOKUP('Table Seed Map'!$A$10,SeedMap[],9,0)),VLOOKUP('Table Seed Map'!$A$10,SeedMap[],9,0),0))</f>
        <v>2109126</v>
      </c>
      <c r="C28" s="69" t="str">
        <f>RelationTable[[#This Row],[Resource]]&amp;"/"&amp;RelationTable[[#This Row],[Method]]</f>
        <v>Item/Unassigned</v>
      </c>
      <c r="D28" s="69">
        <f>RelationTable[[#This Row],[No]]</f>
        <v>2109126</v>
      </c>
      <c r="E28" s="63" t="s">
        <v>779</v>
      </c>
      <c r="F28" s="63" t="s">
        <v>789</v>
      </c>
      <c r="G28" s="69">
        <f>RelationTable[[#This Row],[No]]</f>
        <v>2109126</v>
      </c>
      <c r="H28" s="69">
        <f>IF(RelationTable[[#This Row],[No]]="id","resource",VLOOKUP([Resource],CHOOSE({1,2},ResourceTable[Name],ResourceTable[No]),2,0))</f>
        <v>2106109</v>
      </c>
      <c r="I28" s="69" t="s">
        <v>978</v>
      </c>
      <c r="J28" s="69" t="s">
        <v>991</v>
      </c>
      <c r="K28" s="69" t="s">
        <v>973</v>
      </c>
      <c r="L28" s="16" t="s">
        <v>951</v>
      </c>
      <c r="M28" s="74">
        <f>VLOOKUP([Relate Resource],CHOOSE({1,2},ResourceTable[Name],ResourceTable[No]),2,0)</f>
        <v>2106120</v>
      </c>
      <c r="N28" s="75">
        <f>[RELID]</f>
        <v>2109126</v>
      </c>
      <c r="P28" s="63" t="str">
        <f>'Table Seed Map'!$A$9&amp;"-"&amp;COUNTA($Q$1:ResourceScopes[[#This Row],[Resource for Scope]])-1</f>
        <v>Resource Scopes-26</v>
      </c>
      <c r="Q28" s="62" t="s">
        <v>791</v>
      </c>
      <c r="R28" s="63" t="str">
        <f>ResourceScopes[[#This Row],[Resource for Scope]]&amp;"/"&amp;ResourceScopes[[#This Row],[Name]]</f>
        <v>Receipt/OwnReceipts</v>
      </c>
      <c r="S28" s="69">
        <f>IF(ResourceScopes[[#This Row],[Resource for Scope]]="","id",-1+COUNTA($Q$1:ResourceScopes[[#This Row],[Resource for Scope]])+VLOOKUP('Table Seed Map'!$A$9,SeedMap[],9,0))</f>
        <v>2108126</v>
      </c>
      <c r="T28" s="69">
        <f>IFERROR(VLOOKUP(ResourceScopes[[#This Row],[Resource for Scope]],CHOOSE({1,2},ResourceTable[Name],ResourceTable[No]),2,0),"resource")</f>
        <v>2106124</v>
      </c>
      <c r="U28" s="62" t="s">
        <v>2055</v>
      </c>
      <c r="V28" s="62" t="s">
        <v>2056</v>
      </c>
      <c r="W28" s="62" t="s">
        <v>2039</v>
      </c>
    </row>
    <row r="29" spans="1:23">
      <c r="A29" s="70" t="str">
        <f>Page&amp;"-"&amp;(COUNTA($E$1:RelationTable[[#This Row],[Resource]])-1)</f>
        <v>Resource Relations-27</v>
      </c>
      <c r="B29" s="66">
        <f>IF(RelationTable[[#This Row],[Resource]]="","id",COUNTA($E$2:RelationTable[[#This Row],[Resource]])+IF(ISNUMBER(VLOOKUP('Table Seed Map'!$A$10,SeedMap[],9,0)),VLOOKUP('Table Seed Map'!$A$10,SeedMap[],9,0),0))</f>
        <v>2109127</v>
      </c>
      <c r="C29" s="68" t="str">
        <f>RelationTable[[#This Row],[Resource]]&amp;"/"&amp;RelationTable[[#This Row],[Method]]</f>
        <v>Item/Assigned</v>
      </c>
      <c r="D29" s="68">
        <f>RelationTable[[#This Row],[No]]</f>
        <v>2109127</v>
      </c>
      <c r="E29" s="63" t="s">
        <v>779</v>
      </c>
      <c r="F29" s="63" t="s">
        <v>789</v>
      </c>
      <c r="G29" s="68">
        <f>RelationTable[[#This Row],[No]]</f>
        <v>2109127</v>
      </c>
      <c r="H29" s="68">
        <f>IF(RelationTable[[#This Row],[No]]="id","resource",VLOOKUP([Resource],CHOOSE({1,2},ResourceTable[Name],ResourceTable[No]),2,0))</f>
        <v>2106109</v>
      </c>
      <c r="I29" s="68" t="s">
        <v>979</v>
      </c>
      <c r="J29" s="69" t="s">
        <v>990</v>
      </c>
      <c r="K29" s="69" t="s">
        <v>974</v>
      </c>
      <c r="L29" s="16" t="s">
        <v>951</v>
      </c>
      <c r="M29" s="71">
        <f>VLOOKUP([Relate Resource],CHOOSE({1,2},ResourceTable[Name],ResourceTable[No]),2,0)</f>
        <v>2106120</v>
      </c>
      <c r="N29" s="72">
        <f>[RELID]</f>
        <v>2109127</v>
      </c>
      <c r="P29" s="63" t="str">
        <f>'Table Seed Map'!$A$9&amp;"-"&amp;COUNTA($Q$1:ResourceScopes[[#This Row],[Resource for Scope]])-1</f>
        <v>Resource Scopes-27</v>
      </c>
      <c r="Q29" s="62" t="s">
        <v>912</v>
      </c>
      <c r="R29" s="63" t="str">
        <f>ResourceScopes[[#This Row],[Resource for Scope]]&amp;"/"&amp;ResourceScopes[[#This Row],[Name]]</f>
        <v>Delivery/OwnDeliveries</v>
      </c>
      <c r="S29" s="69">
        <f>IF(ResourceScopes[[#This Row],[Resource for Scope]]="","id",-1+COUNTA($Q$1:ResourceScopes[[#This Row],[Resource for Scope]])+VLOOKUP('Table Seed Map'!$A$9,SeedMap[],9,0))</f>
        <v>2108127</v>
      </c>
      <c r="T29" s="69">
        <f>IFERROR(VLOOKUP(ResourceScopes[[#This Row],[Resource for Scope]],CHOOSE({1,2},ResourceTable[Name],ResourceTable[No]),2,0),"resource")</f>
        <v>2106125</v>
      </c>
      <c r="U29" s="62" t="s">
        <v>2061</v>
      </c>
      <c r="V29" s="62" t="s">
        <v>2062</v>
      </c>
      <c r="W29" s="62" t="s">
        <v>2039</v>
      </c>
    </row>
    <row r="30" spans="1:23">
      <c r="A30" s="70" t="str">
        <f>Page&amp;"-"&amp;(COUNTA($E$1:RelationTable[[#This Row],[Resource]])-1)</f>
        <v>Resource Relations-28</v>
      </c>
      <c r="B30" s="66">
        <f>IF(RelationTable[[#This Row],[Resource]]="","id",COUNTA($E$2:RelationTable[[#This Row],[Resource]])+IF(ISNUMBER(VLOOKUP('Table Seed Map'!$A$10,SeedMap[],9,0)),VLOOKUP('Table Seed Map'!$A$10,SeedMap[],9,0),0))</f>
        <v>2109128</v>
      </c>
      <c r="C30" s="68" t="str">
        <f>RelationTable[[#This Row],[Resource]]&amp;"/"&amp;RelationTable[[#This Row],[Method]]</f>
        <v>Item/Processing</v>
      </c>
      <c r="D30" s="68">
        <f>RelationTable[[#This Row],[No]]</f>
        <v>2109128</v>
      </c>
      <c r="E30" s="63" t="s">
        <v>779</v>
      </c>
      <c r="F30" s="63" t="s">
        <v>789</v>
      </c>
      <c r="G30" s="68">
        <f>RelationTable[[#This Row],[No]]</f>
        <v>2109128</v>
      </c>
      <c r="H30" s="68">
        <f>IF(RelationTable[[#This Row],[No]]="id","resource",VLOOKUP([Resource],CHOOSE({1,2},ResourceTable[Name],ResourceTable[No]),2,0))</f>
        <v>2106109</v>
      </c>
      <c r="I30" s="68" t="s">
        <v>980</v>
      </c>
      <c r="J30" s="69" t="s">
        <v>989</v>
      </c>
      <c r="K30" s="69" t="s">
        <v>970</v>
      </c>
      <c r="L30" s="16" t="s">
        <v>951</v>
      </c>
      <c r="M30" s="71">
        <f>VLOOKUP([Relate Resource],CHOOSE({1,2},ResourceTable[Name],ResourceTable[No]),2,0)</f>
        <v>2106120</v>
      </c>
      <c r="N30" s="72">
        <f>[RELID]</f>
        <v>2109128</v>
      </c>
      <c r="P30" s="63" t="str">
        <f>'Table Seed Map'!$A$9&amp;"-"&amp;COUNTA($Q$1:ResourceScopes[[#This Row],[Resource for Scope]])-1</f>
        <v>Resource Scopes-28</v>
      </c>
      <c r="Q30" s="62" t="s">
        <v>792</v>
      </c>
      <c r="R30" s="63" t="str">
        <f>ResourceScopes[[#This Row],[Resource for Scope]]&amp;"/"&amp;ResourceScopes[[#This Row],[Name]]</f>
        <v>HubShift/OwnShift</v>
      </c>
      <c r="S30" s="69">
        <f>IF(ResourceScopes[[#This Row],[Resource for Scope]]="","id",-1+COUNTA($Q$1:ResourceScopes[[#This Row],[Resource for Scope]])+VLOOKUP('Table Seed Map'!$A$9,SeedMap[],9,0))</f>
        <v>2108128</v>
      </c>
      <c r="T30" s="69">
        <f>IFERROR(VLOOKUP(ResourceScopes[[#This Row],[Resource for Scope]],CHOOSE({1,2},ResourceTable[Name],ResourceTable[No]),2,0),"resource")</f>
        <v>2106127</v>
      </c>
      <c r="U30" s="62" t="s">
        <v>2066</v>
      </c>
      <c r="V30" s="62" t="s">
        <v>2067</v>
      </c>
      <c r="W30" s="62" t="s">
        <v>2039</v>
      </c>
    </row>
    <row r="31" spans="1:23">
      <c r="A31" s="70" t="str">
        <f>Page&amp;"-"&amp;(COUNTA($E$1:RelationTable[[#This Row],[Resource]])-1)</f>
        <v>Resource Relations-29</v>
      </c>
      <c r="B31" s="66">
        <f>IF(RelationTable[[#This Row],[Resource]]="","id",COUNTA($E$2:RelationTable[[#This Row],[Resource]])+IF(ISNUMBER(VLOOKUP('Table Seed Map'!$A$10,SeedMap[],9,0)),VLOOKUP('Table Seed Map'!$A$10,SeedMap[],9,0),0))</f>
        <v>2109129</v>
      </c>
      <c r="C31" s="68" t="str">
        <f>RelationTable[[#This Row],[Resource]]&amp;"/"&amp;RelationTable[[#This Row],[Method]]</f>
        <v>Item/Awaiting</v>
      </c>
      <c r="D31" s="68">
        <f>RelationTable[[#This Row],[No]]</f>
        <v>2109129</v>
      </c>
      <c r="E31" s="63" t="s">
        <v>779</v>
      </c>
      <c r="F31" s="63" t="s">
        <v>789</v>
      </c>
      <c r="G31" s="68">
        <f>RelationTable[[#This Row],[No]]</f>
        <v>2109129</v>
      </c>
      <c r="H31" s="68">
        <f>IF(RelationTable[[#This Row],[No]]="id","resource",VLOOKUP([Resource],CHOOSE({1,2},ResourceTable[Name],ResourceTable[No]),2,0))</f>
        <v>2106109</v>
      </c>
      <c r="I31" s="68" t="s">
        <v>981</v>
      </c>
      <c r="J31" s="68" t="s">
        <v>988</v>
      </c>
      <c r="K31" s="69" t="s">
        <v>971</v>
      </c>
      <c r="L31" s="16" t="s">
        <v>951</v>
      </c>
      <c r="M31" s="71">
        <f>VLOOKUP([Relate Resource],CHOOSE({1,2},ResourceTable[Name],ResourceTable[No]),2,0)</f>
        <v>2106120</v>
      </c>
      <c r="N31" s="72">
        <f>[RELID]</f>
        <v>2109129</v>
      </c>
    </row>
    <row r="32" spans="1:23">
      <c r="A32" s="73" t="str">
        <f>Page&amp;"-"&amp;(COUNTA($E$1:RelationTable[[#This Row],[Resource]])-1)</f>
        <v>Resource Relations-30</v>
      </c>
      <c r="B32" s="67">
        <f>IF(RelationTable[[#This Row],[Resource]]="","id",COUNTA($E$2:RelationTable[[#This Row],[Resource]])+IF(ISNUMBER(VLOOKUP('Table Seed Map'!$A$10,SeedMap[],9,0)),VLOOKUP('Table Seed Map'!$A$10,SeedMap[],9,0),0))</f>
        <v>2109130</v>
      </c>
      <c r="C32" s="69" t="str">
        <f>RelationTable[[#This Row],[Resource]]&amp;"/"&amp;RelationTable[[#This Row],[Method]]</f>
        <v>Item/ServicingUsers</v>
      </c>
      <c r="D32" s="69">
        <f>RelationTable[[#This Row],[No]]</f>
        <v>2109130</v>
      </c>
      <c r="E32" s="63" t="s">
        <v>779</v>
      </c>
      <c r="F32" s="63" t="s">
        <v>789</v>
      </c>
      <c r="G32" s="69">
        <f>RelationTable[[#This Row],[No]]</f>
        <v>2109130</v>
      </c>
      <c r="H32" s="69">
        <f>IF(RelationTable[[#This Row],[No]]="id","resource",VLOOKUP([Resource],CHOOSE({1,2},ResourceTable[Name],ResourceTable[No]),2,0))</f>
        <v>2106109</v>
      </c>
      <c r="I32" s="69" t="s">
        <v>985</v>
      </c>
      <c r="J32" s="69" t="s">
        <v>992</v>
      </c>
      <c r="K32" s="69" t="s">
        <v>985</v>
      </c>
      <c r="L32" s="69" t="s">
        <v>951</v>
      </c>
      <c r="M32" s="74">
        <f>VLOOKUP([Relate Resource],CHOOSE({1,2},ResourceTable[Name],ResourceTable[No]),2,0)</f>
        <v>2106120</v>
      </c>
      <c r="N32" s="75">
        <f>[RELID]</f>
        <v>2109130</v>
      </c>
    </row>
    <row r="33" spans="1:14">
      <c r="A33" s="73" t="str">
        <f>Page&amp;"-"&amp;(COUNTA($E$1:RelationTable[[#This Row],[Resource]])-1)</f>
        <v>Resource Relations-31</v>
      </c>
      <c r="B33" s="67">
        <f>IF(RelationTable[[#This Row],[Resource]]="","id",COUNTA($E$2:RelationTable[[#This Row],[Resource]])+IF(ISNUMBER(VLOOKUP('Table Seed Map'!$A$10,SeedMap[],9,0)),VLOOKUP('Table Seed Map'!$A$10,SeedMap[],9,0),0))</f>
        <v>2109131</v>
      </c>
      <c r="C33" s="69" t="str">
        <f>RelationTable[[#This Row],[Resource]]&amp;"/"&amp;RelationTable[[#This Row],[Method]]</f>
        <v>ItemService/Item</v>
      </c>
      <c r="D33" s="69">
        <f>RelationTable[[#This Row],[No]]</f>
        <v>2109131</v>
      </c>
      <c r="E33" s="63" t="s">
        <v>780</v>
      </c>
      <c r="F33" s="63" t="s">
        <v>779</v>
      </c>
      <c r="G33" s="69">
        <f>RelationTable[[#This Row],[No]]</f>
        <v>2109131</v>
      </c>
      <c r="H33" s="69">
        <f>IF(RelationTable[[#This Row],[No]]="id","resource",VLOOKUP([Resource],CHOOSE({1,2},ResourceTable[Name],ResourceTable[No]),2,0))</f>
        <v>2106110</v>
      </c>
      <c r="I33" s="69" t="s">
        <v>1007</v>
      </c>
      <c r="J33" s="69" t="s">
        <v>1009</v>
      </c>
      <c r="K33" s="69" t="s">
        <v>779</v>
      </c>
      <c r="L33" s="69" t="s">
        <v>993</v>
      </c>
      <c r="M33" s="74">
        <f>VLOOKUP([Relate Resource],CHOOSE({1,2},ResourceTable[Name],ResourceTable[No]),2,0)</f>
        <v>2106109</v>
      </c>
      <c r="N33" s="75">
        <f>[RELID]</f>
        <v>2109131</v>
      </c>
    </row>
    <row r="34" spans="1:14">
      <c r="A34" s="73" t="str">
        <f>Page&amp;"-"&amp;(COUNTA($E$1:RelationTable[[#This Row],[Resource]])-1)</f>
        <v>Resource Relations-32</v>
      </c>
      <c r="B34" s="67">
        <f>IF(RelationTable[[#This Row],[Resource]]="","id",COUNTA($E$2:RelationTable[[#This Row],[Resource]])+IF(ISNUMBER(VLOOKUP('Table Seed Map'!$A$10,SeedMap[],9,0)),VLOOKUP('Table Seed Map'!$A$10,SeedMap[],9,0),0))</f>
        <v>2109132</v>
      </c>
      <c r="C34" s="69" t="str">
        <f>RelationTable[[#This Row],[Resource]]&amp;"/"&amp;RelationTable[[#This Row],[Method]]</f>
        <v>ItemService/Service</v>
      </c>
      <c r="D34" s="69">
        <f>RelationTable[[#This Row],[No]]</f>
        <v>2109132</v>
      </c>
      <c r="E34" s="63" t="s">
        <v>780</v>
      </c>
      <c r="F34" s="63" t="s">
        <v>778</v>
      </c>
      <c r="G34" s="69">
        <f>RelationTable[[#This Row],[No]]</f>
        <v>2109132</v>
      </c>
      <c r="H34" s="69">
        <f>IF(RelationTable[[#This Row],[No]]="id","resource",VLOOKUP([Resource],CHOOSE({1,2},ResourceTable[Name],ResourceTable[No]),2,0))</f>
        <v>2106110</v>
      </c>
      <c r="I34" s="69" t="s">
        <v>1008</v>
      </c>
      <c r="J34" s="69" t="s">
        <v>1010</v>
      </c>
      <c r="K34" s="69" t="s">
        <v>778</v>
      </c>
      <c r="L34" s="69" t="s">
        <v>993</v>
      </c>
      <c r="M34" s="74">
        <f>VLOOKUP([Relate Resource],CHOOSE({1,2},ResourceTable[Name],ResourceTable[No]),2,0)</f>
        <v>2106108</v>
      </c>
      <c r="N34" s="75">
        <f>[RELID]</f>
        <v>2109132</v>
      </c>
    </row>
    <row r="35" spans="1:14">
      <c r="A35" s="76" t="str">
        <f>Page&amp;"-"&amp;(COUNTA($E$1:RelationTable[[#This Row],[Resource]])-1)</f>
        <v>Resource Relations-33</v>
      </c>
      <c r="B35" s="77">
        <f>IF(RelationTable[[#This Row],[Resource]]="","id",COUNTA($E$2:RelationTable[[#This Row],[Resource]])+IF(ISNUMBER(VLOOKUP('Table Seed Map'!$A$10,SeedMap[],9,0)),VLOOKUP('Table Seed Map'!$A$10,SeedMap[],9,0),0))</f>
        <v>2109133</v>
      </c>
      <c r="C35" s="16" t="str">
        <f>RelationTable[[#This Row],[Resource]]&amp;"/"&amp;RelationTable[[#This Row],[Method]]</f>
        <v>ItemService/Price</v>
      </c>
      <c r="D35" s="16">
        <f>RelationTable[[#This Row],[No]]</f>
        <v>2109133</v>
      </c>
      <c r="E35" s="63" t="s">
        <v>780</v>
      </c>
      <c r="F35" s="63" t="s">
        <v>784</v>
      </c>
      <c r="G35" s="16">
        <f>RelationTable[[#This Row],[No]]</f>
        <v>2109133</v>
      </c>
      <c r="H35" s="16">
        <f>IF(RelationTable[[#This Row],[No]]="id","resource",VLOOKUP([Resource],CHOOSE({1,2},ResourceTable[Name],ResourceTable[No]),2,0))</f>
        <v>2106110</v>
      </c>
      <c r="I35" s="16" t="s">
        <v>1043</v>
      </c>
      <c r="J35" s="16" t="s">
        <v>1044</v>
      </c>
      <c r="K35" s="16" t="s">
        <v>1045</v>
      </c>
      <c r="L35" s="16" t="s">
        <v>941</v>
      </c>
      <c r="M35" s="78">
        <f>VLOOKUP([Relate Resource],CHOOSE({1,2},ResourceTable[Name],ResourceTable[No]),2,0)</f>
        <v>2106116</v>
      </c>
      <c r="N35" s="79">
        <f>[RELID]</f>
        <v>2109133</v>
      </c>
    </row>
    <row r="36" spans="1:14">
      <c r="A36" s="73" t="str">
        <f>Page&amp;"-"&amp;(COUNTA($E$1:RelationTable[[#This Row],[Resource]])-1)</f>
        <v>Resource Relations-34</v>
      </c>
      <c r="B36" s="67">
        <f>IF(RelationTable[[#This Row],[Resource]]="","id",COUNTA($E$2:RelationTable[[#This Row],[Resource]])+IF(ISNUMBER(VLOOKUP('Table Seed Map'!$A$10,SeedMap[],9,0)),VLOOKUP('Table Seed Map'!$A$10,SeedMap[],9,0),0))</f>
        <v>2109134</v>
      </c>
      <c r="C36" s="69" t="str">
        <f>RelationTable[[#This Row],[Resource]]&amp;"/"&amp;RelationTable[[#This Row],[Method]]</f>
        <v>UserService/User</v>
      </c>
      <c r="D36" s="69">
        <f>RelationTable[[#This Row],[No]]</f>
        <v>2109134</v>
      </c>
      <c r="E36" s="63" t="s">
        <v>781</v>
      </c>
      <c r="F36" s="61" t="s">
        <v>1337</v>
      </c>
      <c r="G36" s="69">
        <f>RelationTable[[#This Row],[No]]</f>
        <v>2109134</v>
      </c>
      <c r="H36" s="69">
        <f>IF(RelationTable[[#This Row],[No]]="id","resource",VLOOKUP([Resource],CHOOSE({1,2},ResourceTable[Name],ResourceTable[No]),2,0))</f>
        <v>2106111</v>
      </c>
      <c r="I36" s="69" t="s">
        <v>1011</v>
      </c>
      <c r="J36" s="69" t="s">
        <v>1012</v>
      </c>
      <c r="K36" s="69" t="s">
        <v>74</v>
      </c>
      <c r="L36" s="69" t="s">
        <v>993</v>
      </c>
      <c r="M36" s="74">
        <f>VLOOKUP([Relate Resource],CHOOSE({1,2},ResourceTable[Name],ResourceTable[No]),2,0)</f>
        <v>2106104</v>
      </c>
      <c r="N36" s="75">
        <f>[RELID]</f>
        <v>2109134</v>
      </c>
    </row>
    <row r="37" spans="1:14">
      <c r="A37" s="73" t="str">
        <f>Page&amp;"-"&amp;(COUNTA($E$1:RelationTable[[#This Row],[Resource]])-1)</f>
        <v>Resource Relations-35</v>
      </c>
      <c r="B37" s="67">
        <f>IF(RelationTable[[#This Row],[Resource]]="","id",COUNTA($E$2:RelationTable[[#This Row],[Resource]])+IF(ISNUMBER(VLOOKUP('Table Seed Map'!$A$10,SeedMap[],9,0)),VLOOKUP('Table Seed Map'!$A$10,SeedMap[],9,0),0))</f>
        <v>2109135</v>
      </c>
      <c r="C37" s="69" t="str">
        <f>RelationTable[[#This Row],[Resource]]&amp;"/"&amp;RelationTable[[#This Row],[Method]]</f>
        <v>UserService/Service</v>
      </c>
      <c r="D37" s="69">
        <f>RelationTable[[#This Row],[No]]</f>
        <v>2109135</v>
      </c>
      <c r="E37" s="63" t="s">
        <v>781</v>
      </c>
      <c r="F37" s="63" t="s">
        <v>778</v>
      </c>
      <c r="G37" s="69">
        <f>RelationTable[[#This Row],[No]]</f>
        <v>2109135</v>
      </c>
      <c r="H37" s="69">
        <f>IF(RelationTable[[#This Row],[No]]="id","resource",VLOOKUP([Resource],CHOOSE({1,2},ResourceTable[Name],ResourceTable[No]),2,0))</f>
        <v>2106111</v>
      </c>
      <c r="I37" s="69" t="s">
        <v>1008</v>
      </c>
      <c r="J37" s="69" t="s">
        <v>1010</v>
      </c>
      <c r="K37" s="69" t="s">
        <v>778</v>
      </c>
      <c r="L37" s="69" t="s">
        <v>993</v>
      </c>
      <c r="M37" s="74">
        <f>VLOOKUP([Relate Resource],CHOOSE({1,2},ResourceTable[Name],ResourceTable[No]),2,0)</f>
        <v>2106108</v>
      </c>
      <c r="N37" s="75">
        <f>[RELID]</f>
        <v>2109135</v>
      </c>
    </row>
    <row r="38" spans="1:14">
      <c r="A38" s="73" t="str">
        <f>Page&amp;"-"&amp;(COUNTA($E$1:RelationTable[[#This Row],[Resource]])-1)</f>
        <v>Resource Relations-36</v>
      </c>
      <c r="B38" s="67">
        <f>IF(RelationTable[[#This Row],[Resource]]="","id",COUNTA($E$2:RelationTable[[#This Row],[Resource]])+IF(ISNUMBER(VLOOKUP('Table Seed Map'!$A$10,SeedMap[],9,0)),VLOOKUP('Table Seed Map'!$A$10,SeedMap[],9,0),0))</f>
        <v>2109136</v>
      </c>
      <c r="C38" s="69" t="str">
        <f>RelationTable[[#This Row],[Resource]]&amp;"/"&amp;RelationTable[[#This Row],[Method]]</f>
        <v>HubUser/Hub</v>
      </c>
      <c r="D38" s="69">
        <f>RelationTable[[#This Row],[No]]</f>
        <v>2109136</v>
      </c>
      <c r="E38" s="63" t="s">
        <v>782</v>
      </c>
      <c r="F38" s="63" t="s">
        <v>777</v>
      </c>
      <c r="G38" s="69">
        <f>RelationTable[[#This Row],[No]]</f>
        <v>2109136</v>
      </c>
      <c r="H38" s="69">
        <f>IF(RelationTable[[#This Row],[No]]="id","resource",VLOOKUP([Resource],CHOOSE({1,2},ResourceTable[Name],ResourceTable[No]),2,0))</f>
        <v>2106112</v>
      </c>
      <c r="I38" s="69" t="s">
        <v>1013</v>
      </c>
      <c r="J38" s="69" t="s">
        <v>1014</v>
      </c>
      <c r="K38" s="69" t="s">
        <v>777</v>
      </c>
      <c r="L38" s="69" t="s">
        <v>993</v>
      </c>
      <c r="M38" s="74">
        <f>VLOOKUP([Relate Resource],CHOOSE({1,2},ResourceTable[Name],ResourceTable[No]),2,0)</f>
        <v>2106107</v>
      </c>
      <c r="N38" s="75">
        <f>[RELID]</f>
        <v>2109136</v>
      </c>
    </row>
    <row r="39" spans="1:14">
      <c r="A39" s="73" t="str">
        <f>Page&amp;"-"&amp;(COUNTA($E$1:RelationTable[[#This Row],[Resource]])-1)</f>
        <v>Resource Relations-37</v>
      </c>
      <c r="B39" s="67">
        <f>IF(RelationTable[[#This Row],[Resource]]="","id",COUNTA($E$2:RelationTable[[#This Row],[Resource]])+IF(ISNUMBER(VLOOKUP('Table Seed Map'!$A$10,SeedMap[],9,0)),VLOOKUP('Table Seed Map'!$A$10,SeedMap[],9,0),0))</f>
        <v>2109137</v>
      </c>
      <c r="C39" s="69" t="str">
        <f>RelationTable[[#This Row],[Resource]]&amp;"/"&amp;RelationTable[[#This Row],[Method]]</f>
        <v>HubUser/User</v>
      </c>
      <c r="D39" s="69">
        <f>RelationTable[[#This Row],[No]]</f>
        <v>2109137</v>
      </c>
      <c r="E39" s="63" t="s">
        <v>782</v>
      </c>
      <c r="F39" s="61" t="s">
        <v>74</v>
      </c>
      <c r="G39" s="69">
        <f>RelationTable[[#This Row],[No]]</f>
        <v>2109137</v>
      </c>
      <c r="H39" s="69">
        <f>IF(RelationTable[[#This Row],[No]]="id","resource",VLOOKUP([Resource],CHOOSE({1,2},ResourceTable[Name],ResourceTable[No]),2,0))</f>
        <v>2106112</v>
      </c>
      <c r="I39" s="69" t="s">
        <v>1011</v>
      </c>
      <c r="J39" s="69" t="s">
        <v>1012</v>
      </c>
      <c r="K39" s="69" t="s">
        <v>74</v>
      </c>
      <c r="L39" s="69" t="s">
        <v>993</v>
      </c>
      <c r="M39" s="74">
        <f>VLOOKUP([Relate Resource],CHOOSE({1,2},ResourceTable[Name],ResourceTable[No]),2,0)</f>
        <v>2106102</v>
      </c>
      <c r="N39" s="75">
        <f>[RELID]</f>
        <v>2109137</v>
      </c>
    </row>
    <row r="40" spans="1:14">
      <c r="A40" s="73" t="str">
        <f>Page&amp;"-"&amp;(COUNTA($E$1:RelationTable[[#This Row],[Resource]])-1)</f>
        <v>Resource Relations-38</v>
      </c>
      <c r="B40" s="67">
        <f>IF(RelationTable[[#This Row],[Resource]]="","id",COUNTA($E$2:RelationTable[[#This Row],[Resource]])+IF(ISNUMBER(VLOOKUP('Table Seed Map'!$A$10,SeedMap[],9,0)),VLOOKUP('Table Seed Map'!$A$10,SeedMap[],9,0),0))</f>
        <v>2109138</v>
      </c>
      <c r="C40" s="69" t="str">
        <f>RelationTable[[#This Row],[Resource]]&amp;"/"&amp;RelationTable[[#This Row],[Method]]</f>
        <v>Shelf/Hub</v>
      </c>
      <c r="D40" s="69">
        <f>RelationTable[[#This Row],[No]]</f>
        <v>2109138</v>
      </c>
      <c r="E40" s="63" t="s">
        <v>1029</v>
      </c>
      <c r="F40" s="63" t="s">
        <v>777</v>
      </c>
      <c r="G40" s="69">
        <f>RelationTable[[#This Row],[No]]</f>
        <v>2109138</v>
      </c>
      <c r="H40" s="69">
        <f>IF(RelationTable[[#This Row],[No]]="id","resource",VLOOKUP([Resource],CHOOSE({1,2},ResourceTable[Name],ResourceTable[No]),2,0))</f>
        <v>2106113</v>
      </c>
      <c r="I40" s="69" t="s">
        <v>1013</v>
      </c>
      <c r="J40" s="16" t="s">
        <v>1034</v>
      </c>
      <c r="K40" s="69" t="s">
        <v>777</v>
      </c>
      <c r="L40" s="69" t="s">
        <v>993</v>
      </c>
      <c r="M40" s="74">
        <f>VLOOKUP([Relate Resource],CHOOSE({1,2},ResourceTable[Name],ResourceTable[No]),2,0)</f>
        <v>2106107</v>
      </c>
      <c r="N40" s="75">
        <f>[RELID]</f>
        <v>2109138</v>
      </c>
    </row>
    <row r="41" spans="1:14">
      <c r="A41" s="73" t="str">
        <f>Page&amp;"-"&amp;(COUNTA($E$1:RelationTable[[#This Row],[Resource]])-1)</f>
        <v>Resource Relations-39</v>
      </c>
      <c r="B41" s="67">
        <f>IF(RelationTable[[#This Row],[Resource]]="","id",COUNTA($E$2:RelationTable[[#This Row],[Resource]])+IF(ISNUMBER(VLOOKUP('Table Seed Map'!$A$10,SeedMap[],9,0)),VLOOKUP('Table Seed Map'!$A$10,SeedMap[],9,0),0))</f>
        <v>2109139</v>
      </c>
      <c r="C41" s="69" t="str">
        <f>RelationTable[[#This Row],[Resource]]&amp;"/"&amp;RelationTable[[#This Row],[Method]]</f>
        <v>Shelf/Items</v>
      </c>
      <c r="D41" s="69">
        <f>RelationTable[[#This Row],[No]]</f>
        <v>2109139</v>
      </c>
      <c r="E41" s="63" t="s">
        <v>1029</v>
      </c>
      <c r="F41" s="63" t="s">
        <v>788</v>
      </c>
      <c r="G41" s="69">
        <f>RelationTable[[#This Row],[No]]</f>
        <v>2109139</v>
      </c>
      <c r="H41" s="69">
        <f>IF(RelationTable[[#This Row],[No]]="id","resource",VLOOKUP([Resource],CHOOSE({1,2},ResourceTable[Name],ResourceTable[No]),2,0))</f>
        <v>2106113</v>
      </c>
      <c r="I41" s="69" t="s">
        <v>996</v>
      </c>
      <c r="J41" s="16" t="s">
        <v>1035</v>
      </c>
      <c r="K41" s="69" t="s">
        <v>897</v>
      </c>
      <c r="L41" s="69" t="s">
        <v>941</v>
      </c>
      <c r="M41" s="74">
        <f>VLOOKUP([Relate Resource],CHOOSE({1,2},ResourceTable[Name],ResourceTable[No]),2,0)</f>
        <v>2106119</v>
      </c>
      <c r="N41" s="75">
        <f>[RELID]</f>
        <v>2109139</v>
      </c>
    </row>
    <row r="42" spans="1:14">
      <c r="A42" s="73" t="str">
        <f>Page&amp;"-"&amp;(COUNTA($E$1:RelationTable[[#This Row],[Resource]])-1)</f>
        <v>Resource Relations-40</v>
      </c>
      <c r="B42" s="67">
        <f>IF(RelationTable[[#This Row],[Resource]]="","id",COUNTA($E$2:RelationTable[[#This Row],[Resource]])+IF(ISNUMBER(VLOOKUP('Table Seed Map'!$A$10,SeedMap[],9,0)),VLOOKUP('Table Seed Map'!$A$10,SeedMap[],9,0),0))</f>
        <v>2109140</v>
      </c>
      <c r="C42" s="69" t="str">
        <f>RelationTable[[#This Row],[Resource]]&amp;"/"&amp;RelationTable[[#This Row],[Method]]</f>
        <v>HubDefaultShelf/Hub</v>
      </c>
      <c r="D42" s="69">
        <f>RelationTable[[#This Row],[No]]</f>
        <v>2109140</v>
      </c>
      <c r="E42" s="63" t="s">
        <v>1030</v>
      </c>
      <c r="F42" s="63" t="s">
        <v>777</v>
      </c>
      <c r="G42" s="69">
        <f>RelationTable[[#This Row],[No]]</f>
        <v>2109140</v>
      </c>
      <c r="H42" s="69">
        <f>IF(RelationTable[[#This Row],[No]]="id","resource",VLOOKUP([Resource],CHOOSE({1,2},ResourceTable[Name],ResourceTable[No]),2,0))</f>
        <v>2106114</v>
      </c>
      <c r="I42" s="69" t="s">
        <v>1013</v>
      </c>
      <c r="J42" s="16" t="s">
        <v>1034</v>
      </c>
      <c r="K42" s="69" t="s">
        <v>777</v>
      </c>
      <c r="L42" s="69" t="s">
        <v>993</v>
      </c>
      <c r="M42" s="74">
        <f>VLOOKUP([Relate Resource],CHOOSE({1,2},ResourceTable[Name],ResourceTable[No]),2,0)</f>
        <v>2106107</v>
      </c>
      <c r="N42" s="75">
        <f>[RELID]</f>
        <v>2109140</v>
      </c>
    </row>
    <row r="43" spans="1:14">
      <c r="A43" s="73" t="str">
        <f>Page&amp;"-"&amp;(COUNTA($E$1:RelationTable[[#This Row],[Resource]])-1)</f>
        <v>Resource Relations-41</v>
      </c>
      <c r="B43" s="67">
        <f>IF(RelationTable[[#This Row],[Resource]]="","id",COUNTA($E$2:RelationTable[[#This Row],[Resource]])+IF(ISNUMBER(VLOOKUP('Table Seed Map'!$A$10,SeedMap[],9,0)),VLOOKUP('Table Seed Map'!$A$10,SeedMap[],9,0),0))</f>
        <v>2109141</v>
      </c>
      <c r="C43" s="69" t="str">
        <f>RelationTable[[#This Row],[Resource]]&amp;"/"&amp;RelationTable[[#This Row],[Method]]</f>
        <v>HubDefaultShelf/Shelf</v>
      </c>
      <c r="D43" s="69">
        <f>RelationTable[[#This Row],[No]]</f>
        <v>2109141</v>
      </c>
      <c r="E43" s="63" t="s">
        <v>1030</v>
      </c>
      <c r="F43" s="9" t="s">
        <v>1029</v>
      </c>
      <c r="G43" s="69">
        <f>RelationTable[[#This Row],[No]]</f>
        <v>2109141</v>
      </c>
      <c r="H43" s="69">
        <f>IF(RelationTable[[#This Row],[No]]="id","resource",VLOOKUP([Resource],CHOOSE({1,2},ResourceTable[Name],ResourceTable[No]),2,0))</f>
        <v>2106114</v>
      </c>
      <c r="I43" s="16" t="s">
        <v>1039</v>
      </c>
      <c r="J43" s="16" t="s">
        <v>1040</v>
      </c>
      <c r="K43" s="16" t="s">
        <v>1029</v>
      </c>
      <c r="L43" s="69" t="s">
        <v>993</v>
      </c>
      <c r="M43" s="74">
        <f>VLOOKUP([Relate Resource],CHOOSE({1,2},ResourceTable[Name],ResourceTable[No]),2,0)</f>
        <v>2106113</v>
      </c>
      <c r="N43" s="75">
        <f>[RELID]</f>
        <v>2109141</v>
      </c>
    </row>
    <row r="44" spans="1:14">
      <c r="A44" s="73" t="str">
        <f>Page&amp;"-"&amp;(COUNTA($E$1:RelationTable[[#This Row],[Resource]])-1)</f>
        <v>Resource Relations-42</v>
      </c>
      <c r="B44" s="67">
        <f>IF(RelationTable[[#This Row],[Resource]]="","id",COUNTA($E$2:RelationTable[[#This Row],[Resource]])+IF(ISNUMBER(VLOOKUP('Table Seed Map'!$A$10,SeedMap[],9,0)),VLOOKUP('Table Seed Map'!$A$10,SeedMap[],9,0),0))</f>
        <v>2109142</v>
      </c>
      <c r="C44" s="69" t="str">
        <f>RelationTable[[#This Row],[Resource]]&amp;"/"&amp;RelationTable[[#This Row],[Method]]</f>
        <v>Pricelist/Contents</v>
      </c>
      <c r="D44" s="69">
        <f>RelationTable[[#This Row],[No]]</f>
        <v>2109142</v>
      </c>
      <c r="E44" s="63" t="s">
        <v>783</v>
      </c>
      <c r="F44" s="9" t="s">
        <v>784</v>
      </c>
      <c r="G44" s="69">
        <f>RelationTable[[#This Row],[No]]</f>
        <v>2109142</v>
      </c>
      <c r="H44" s="69">
        <f>IF(RelationTable[[#This Row],[No]]="id","resource",VLOOKUP([Resource],CHOOSE({1,2},ResourceTable[Name],ResourceTable[No]),2,0))</f>
        <v>2106115</v>
      </c>
      <c r="I44" s="16" t="s">
        <v>1041</v>
      </c>
      <c r="J44" s="16" t="s">
        <v>1042</v>
      </c>
      <c r="K44" s="16" t="s">
        <v>1041</v>
      </c>
      <c r="L44" s="16" t="s">
        <v>941</v>
      </c>
      <c r="M44" s="74">
        <f>VLOOKUP([Relate Resource],CHOOSE({1,2},ResourceTable[Name],ResourceTable[No]),2,0)</f>
        <v>2106116</v>
      </c>
      <c r="N44" s="75">
        <f>[RELID]</f>
        <v>2109142</v>
      </c>
    </row>
    <row r="45" spans="1:14">
      <c r="A45" s="76" t="str">
        <f>Page&amp;"-"&amp;(COUNTA($E$1:RelationTable[[#This Row],[Resource]])-1)</f>
        <v>Resource Relations-43</v>
      </c>
      <c r="B45" s="77">
        <f>IF(RelationTable[[#This Row],[Resource]]="","id",COUNTA($E$2:RelationTable[[#This Row],[Resource]])+IF(ISNUMBER(VLOOKUP('Table Seed Map'!$A$10,SeedMap[],9,0)),VLOOKUP('Table Seed Map'!$A$10,SeedMap[],9,0),0))</f>
        <v>2109143</v>
      </c>
      <c r="C45" s="16" t="str">
        <f>RelationTable[[#This Row],[Resource]]&amp;"/"&amp;RelationTable[[#This Row],[Method]]</f>
        <v>PricelistContent/Pricelist</v>
      </c>
      <c r="D45" s="16">
        <f>RelationTable[[#This Row],[No]]</f>
        <v>2109143</v>
      </c>
      <c r="E45" s="63" t="s">
        <v>784</v>
      </c>
      <c r="F45" s="9" t="s">
        <v>783</v>
      </c>
      <c r="G45" s="16">
        <f>RelationTable[[#This Row],[No]]</f>
        <v>2109143</v>
      </c>
      <c r="H45" s="16">
        <f>IF(RelationTable[[#This Row],[No]]="id","resource",VLOOKUP([Resource],CHOOSE({1,2},ResourceTable[Name],ResourceTable[No]),2,0))</f>
        <v>2106116</v>
      </c>
      <c r="I45" s="16" t="s">
        <v>1046</v>
      </c>
      <c r="J45" s="16" t="s">
        <v>1047</v>
      </c>
      <c r="K45" s="16" t="s">
        <v>783</v>
      </c>
      <c r="L45" s="16" t="s">
        <v>993</v>
      </c>
      <c r="M45" s="78">
        <f>VLOOKUP([Relate Resource],CHOOSE({1,2},ResourceTable[Name],ResourceTable[No]),2,0)</f>
        <v>2106115</v>
      </c>
      <c r="N45" s="79">
        <f>[RELID]</f>
        <v>2109143</v>
      </c>
    </row>
    <row r="46" spans="1:14">
      <c r="A46" s="76" t="str">
        <f>Page&amp;"-"&amp;(COUNTA($E$1:RelationTable[[#This Row],[Resource]])-1)</f>
        <v>Resource Relations-44</v>
      </c>
      <c r="B46" s="77">
        <f>IF(RelationTable[[#This Row],[Resource]]="","id",COUNTA($E$2:RelationTable[[#This Row],[Resource]])+IF(ISNUMBER(VLOOKUP('Table Seed Map'!$A$10,SeedMap[],9,0)),VLOOKUP('Table Seed Map'!$A$10,SeedMap[],9,0),0))</f>
        <v>2109144</v>
      </c>
      <c r="C46" s="16" t="str">
        <f>RelationTable[[#This Row],[Resource]]&amp;"/"&amp;RelationTable[[#This Row],[Method]]</f>
        <v>PricelistContent/ItemService</v>
      </c>
      <c r="D46" s="16">
        <f>RelationTable[[#This Row],[No]]</f>
        <v>2109144</v>
      </c>
      <c r="E46" s="63" t="s">
        <v>784</v>
      </c>
      <c r="F46" s="9" t="s">
        <v>780</v>
      </c>
      <c r="G46" s="16">
        <f>RelationTable[[#This Row],[No]]</f>
        <v>2109144</v>
      </c>
      <c r="H46" s="16">
        <f>IF(RelationTable[[#This Row],[No]]="id","resource",VLOOKUP([Resource],CHOOSE({1,2},ResourceTable[Name],ResourceTable[No]),2,0))</f>
        <v>2106116</v>
      </c>
      <c r="I46" s="16" t="s">
        <v>780</v>
      </c>
      <c r="J46" s="16" t="s">
        <v>1048</v>
      </c>
      <c r="K46" s="16" t="s">
        <v>780</v>
      </c>
      <c r="L46" s="16" t="s">
        <v>993</v>
      </c>
      <c r="M46" s="78">
        <f>VLOOKUP([Relate Resource],CHOOSE({1,2},ResourceTable[Name],ResourceTable[No]),2,0)</f>
        <v>2106110</v>
      </c>
      <c r="N46" s="79">
        <f>[RELID]</f>
        <v>2109144</v>
      </c>
    </row>
    <row r="47" spans="1:14">
      <c r="A47" s="76" t="str">
        <f>Page&amp;"-"&amp;(COUNTA($E$1:RelationTable[[#This Row],[Resource]])-1)</f>
        <v>Resource Relations-45</v>
      </c>
      <c r="B47" s="77">
        <f>IF(RelationTable[[#This Row],[Resource]]="","id",COUNTA($E$2:RelationTable[[#This Row],[Resource]])+IF(ISNUMBER(VLOOKUP('Table Seed Map'!$A$10,SeedMap[],9,0)),VLOOKUP('Table Seed Map'!$A$10,SeedMap[],9,0),0))</f>
        <v>2109145</v>
      </c>
      <c r="C47" s="16" t="str">
        <f>RelationTable[[#This Row],[Resource]]&amp;"/"&amp;RelationTable[[#This Row],[Method]]</f>
        <v>IdentityLabel/Item</v>
      </c>
      <c r="D47" s="16">
        <f>RelationTable[[#This Row],[No]]</f>
        <v>2109145</v>
      </c>
      <c r="E47" s="63" t="s">
        <v>786</v>
      </c>
      <c r="F47" s="63" t="s">
        <v>788</v>
      </c>
      <c r="G47" s="16">
        <f>RelationTable[[#This Row],[No]]</f>
        <v>2109145</v>
      </c>
      <c r="H47" s="16">
        <f>IF(RelationTable[[#This Row],[No]]="id","resource",VLOOKUP([Resource],CHOOSE({1,2},ResourceTable[Name],ResourceTable[No]),2,0))</f>
        <v>2106117</v>
      </c>
      <c r="I47" s="16" t="s">
        <v>1049</v>
      </c>
      <c r="J47" s="16" t="s">
        <v>1050</v>
      </c>
      <c r="K47" s="16" t="s">
        <v>779</v>
      </c>
      <c r="L47" s="16" t="s">
        <v>942</v>
      </c>
      <c r="M47" s="78">
        <f>VLOOKUP([Relate Resource],CHOOSE({1,2},ResourceTable[Name],ResourceTable[No]),2,0)</f>
        <v>2106119</v>
      </c>
      <c r="N47" s="79">
        <f>[RELID]</f>
        <v>2109145</v>
      </c>
    </row>
    <row r="48" spans="1:14">
      <c r="A48" s="76" t="str">
        <f>Page&amp;"-"&amp;(COUNTA($E$1:RelationTable[[#This Row],[Resource]])-1)</f>
        <v>Resource Relations-46</v>
      </c>
      <c r="B48" s="77">
        <f>IF(RelationTable[[#This Row],[Resource]]="","id",COUNTA($E$2:RelationTable[[#This Row],[Resource]])+IF(ISNUMBER(VLOOKUP('Table Seed Map'!$A$10,SeedMap[],9,0)),VLOOKUP('Table Seed Map'!$A$10,SeedMap[],9,0),0))</f>
        <v>2109146</v>
      </c>
      <c r="C48" s="16" t="str">
        <f>RelationTable[[#This Row],[Resource]]&amp;"/"&amp;RelationTable[[#This Row],[Method]]</f>
        <v>Order/Items</v>
      </c>
      <c r="D48" s="16">
        <f>RelationTable[[#This Row],[No]]</f>
        <v>2109146</v>
      </c>
      <c r="E48" s="63" t="s">
        <v>787</v>
      </c>
      <c r="F48" s="9" t="s">
        <v>788</v>
      </c>
      <c r="G48" s="16">
        <f>RelationTable[[#This Row],[No]]</f>
        <v>2109146</v>
      </c>
      <c r="H48" s="16">
        <f>IF(RelationTable[[#This Row],[No]]="id","resource",VLOOKUP([Resource],CHOOSE({1,2},ResourceTable[Name],ResourceTable[No]),2,0))</f>
        <v>2106118</v>
      </c>
      <c r="I48" s="16" t="s">
        <v>996</v>
      </c>
      <c r="J48" s="16" t="s">
        <v>1052</v>
      </c>
      <c r="K48" s="16" t="s">
        <v>897</v>
      </c>
      <c r="L48" s="16" t="s">
        <v>941</v>
      </c>
      <c r="M48" s="78">
        <f>VLOOKUP([Relate Resource],CHOOSE({1,2},ResourceTable[Name],ResourceTable[No]),2,0)</f>
        <v>2106119</v>
      </c>
      <c r="N48" s="79">
        <f>[RELID]</f>
        <v>2109146</v>
      </c>
    </row>
    <row r="49" spans="1:14">
      <c r="A49" s="73" t="str">
        <f>Page&amp;"-"&amp;(COUNTA($E$1:RelationTable[[#This Row],[Resource]])-1)</f>
        <v>Resource Relations-47</v>
      </c>
      <c r="B49" s="67">
        <f>IF(RelationTable[[#This Row],[Resource]]="","id",COUNTA($E$2:RelationTable[[#This Row],[Resource]])+IF(ISNUMBER(VLOOKUP('Table Seed Map'!$A$10,SeedMap[],9,0)),VLOOKUP('Table Seed Map'!$A$10,SeedMap[],9,0),0))</f>
        <v>2109147</v>
      </c>
      <c r="C49" s="69" t="str">
        <f>RelationTable[[#This Row],[Resource]]&amp;"/"&amp;RelationTable[[#This Row],[Method]]</f>
        <v>Order/Customer</v>
      </c>
      <c r="D49" s="69">
        <f>RelationTable[[#This Row],[No]]</f>
        <v>2109147</v>
      </c>
      <c r="E49" s="63" t="s">
        <v>787</v>
      </c>
      <c r="F49" s="61" t="s">
        <v>785</v>
      </c>
      <c r="G49" s="16">
        <f>RelationTable[[#This Row],[No]]</f>
        <v>2109147</v>
      </c>
      <c r="H49" s="16">
        <f>IF(RelationTable[[#This Row],[No]]="id","resource",VLOOKUP([Resource],CHOOSE({1,2},ResourceTable[Name],ResourceTable[No]),2,0))</f>
        <v>2106118</v>
      </c>
      <c r="I49" s="69" t="s">
        <v>998</v>
      </c>
      <c r="J49" s="69" t="s">
        <v>1053</v>
      </c>
      <c r="K49" s="69" t="s">
        <v>785</v>
      </c>
      <c r="L49" s="69" t="s">
        <v>993</v>
      </c>
      <c r="M49" s="74">
        <f>VLOOKUP([Relate Resource],CHOOSE({1,2},ResourceTable[Name],ResourceTable[No]),2,0)</f>
        <v>2106105</v>
      </c>
      <c r="N49" s="75">
        <f>[RELID]</f>
        <v>2109147</v>
      </c>
    </row>
    <row r="50" spans="1:14">
      <c r="A50" s="73" t="str">
        <f>Page&amp;"-"&amp;(COUNTA($E$1:RelationTable[[#This Row],[Resource]])-1)</f>
        <v>Resource Relations-48</v>
      </c>
      <c r="B50" s="67">
        <f>IF(RelationTable[[#This Row],[Resource]]="","id",COUNTA($E$2:RelationTable[[#This Row],[Resource]])+IF(ISNUMBER(VLOOKUP('Table Seed Map'!$A$10,SeedMap[],9,0)),VLOOKUP('Table Seed Map'!$A$10,SeedMap[],9,0),0))</f>
        <v>2109148</v>
      </c>
      <c r="C50" s="69" t="str">
        <f>RelationTable[[#This Row],[Resource]]&amp;"/"&amp;RelationTable[[#This Row],[Method]]</f>
        <v>Order/Hub</v>
      </c>
      <c r="D50" s="69">
        <f>RelationTable[[#This Row],[No]]</f>
        <v>2109148</v>
      </c>
      <c r="E50" s="63" t="s">
        <v>787</v>
      </c>
      <c r="F50" s="9" t="s">
        <v>777</v>
      </c>
      <c r="G50" s="69">
        <f>RelationTable[[#This Row],[No]]</f>
        <v>2109148</v>
      </c>
      <c r="H50" s="69">
        <f>IF(RelationTable[[#This Row],[No]]="id","resource",VLOOKUP([Resource],CHOOSE({1,2},ResourceTable[Name],ResourceTable[No]),2,0))</f>
        <v>2106118</v>
      </c>
      <c r="I50" s="69" t="s">
        <v>1013</v>
      </c>
      <c r="J50" s="69" t="s">
        <v>1054</v>
      </c>
      <c r="K50" s="69" t="s">
        <v>777</v>
      </c>
      <c r="L50" s="69" t="s">
        <v>993</v>
      </c>
      <c r="M50" s="74">
        <f>VLOOKUP([Relate Resource],CHOOSE({1,2},ResourceTable[Name],ResourceTable[No]),2,0)</f>
        <v>2106107</v>
      </c>
      <c r="N50" s="75">
        <f>[RELID]</f>
        <v>2109148</v>
      </c>
    </row>
    <row r="51" spans="1:14">
      <c r="A51" s="73" t="str">
        <f>Page&amp;"-"&amp;(COUNTA($E$1:RelationTable[[#This Row],[Resource]])-1)</f>
        <v>Resource Relations-49</v>
      </c>
      <c r="B51" s="67">
        <f>IF(RelationTable[[#This Row],[Resource]]="","id",COUNTA($E$2:RelationTable[[#This Row],[Resource]])+IF(ISNUMBER(VLOOKUP('Table Seed Map'!$A$10,SeedMap[],9,0)),VLOOKUP('Table Seed Map'!$A$10,SeedMap[],9,0),0))</f>
        <v>2109149</v>
      </c>
      <c r="C51" s="69" t="str">
        <f>RelationTable[[#This Row],[Resource]]&amp;"/"&amp;RelationTable[[#This Row],[Method]]</f>
        <v>Order/Invoice</v>
      </c>
      <c r="D51" s="69">
        <f>RelationTable[[#This Row],[No]]</f>
        <v>2109149</v>
      </c>
      <c r="E51" s="63" t="s">
        <v>787</v>
      </c>
      <c r="F51" s="9" t="s">
        <v>893</v>
      </c>
      <c r="G51" s="69">
        <f>RelationTable[[#This Row],[No]]</f>
        <v>2109149</v>
      </c>
      <c r="H51" s="69">
        <f>IF(RelationTable[[#This Row],[No]]="id","resource",VLOOKUP([Resource],CHOOSE({1,2},ResourceTable[Name],ResourceTable[No]),2,0))</f>
        <v>2106118</v>
      </c>
      <c r="I51" s="69" t="s">
        <v>997</v>
      </c>
      <c r="J51" s="69" t="s">
        <v>1055</v>
      </c>
      <c r="K51" s="69" t="s">
        <v>893</v>
      </c>
      <c r="L51" s="69" t="s">
        <v>942</v>
      </c>
      <c r="M51" s="74">
        <f>VLOOKUP([Relate Resource],CHOOSE({1,2},ResourceTable[Name],ResourceTable[No]),2,0)</f>
        <v>2106121</v>
      </c>
      <c r="N51" s="75">
        <f>[RELID]</f>
        <v>2109149</v>
      </c>
    </row>
    <row r="52" spans="1:14">
      <c r="A52" s="73" t="str">
        <f>Page&amp;"-"&amp;(COUNTA($E$1:RelationTable[[#This Row],[Resource]])-1)</f>
        <v>Resource Relations-50</v>
      </c>
      <c r="B52" s="67">
        <f>IF(RelationTable[[#This Row],[Resource]]="","id",COUNTA($E$2:RelationTable[[#This Row],[Resource]])+IF(ISNUMBER(VLOOKUP('Table Seed Map'!$A$10,SeedMap[],9,0)),VLOOKUP('Table Seed Map'!$A$10,SeedMap[],9,0),0))</f>
        <v>2109150</v>
      </c>
      <c r="C52" s="69" t="str">
        <f>RelationTable[[#This Row],[Resource]]&amp;"/"&amp;RelationTable[[#This Row],[Method]]</f>
        <v>Order/Deliveries</v>
      </c>
      <c r="D52" s="69">
        <f>RelationTable[[#This Row],[No]]</f>
        <v>2109150</v>
      </c>
      <c r="E52" s="63" t="s">
        <v>787</v>
      </c>
      <c r="F52" s="9" t="s">
        <v>912</v>
      </c>
      <c r="G52" s="69">
        <f>RelationTable[[#This Row],[No]]</f>
        <v>2109150</v>
      </c>
      <c r="H52" s="69">
        <f>IF(RelationTable[[#This Row],[No]]="id","resource",VLOOKUP([Resource],CHOOSE({1,2},ResourceTable[Name],ResourceTable[No]),2,0))</f>
        <v>2106118</v>
      </c>
      <c r="I52" s="69" t="s">
        <v>1051</v>
      </c>
      <c r="J52" s="69" t="s">
        <v>1056</v>
      </c>
      <c r="K52" s="69" t="s">
        <v>952</v>
      </c>
      <c r="L52" s="69" t="s">
        <v>941</v>
      </c>
      <c r="M52" s="74">
        <f>VLOOKUP([Relate Resource],CHOOSE({1,2},ResourceTable[Name],ResourceTable[No]),2,0)</f>
        <v>2106125</v>
      </c>
      <c r="N52" s="75">
        <f>[RELID]</f>
        <v>2109150</v>
      </c>
    </row>
    <row r="53" spans="1:14">
      <c r="A53" s="76" t="str">
        <f>Page&amp;"-"&amp;(COUNTA($E$1:RelationTable[[#This Row],[Resource]])-1)</f>
        <v>Resource Relations-51</v>
      </c>
      <c r="B53" s="77">
        <f>IF(RelationTable[[#This Row],[Resource]]="","id",COUNTA($E$2:RelationTable[[#This Row],[Resource]])+IF(ISNUMBER(VLOOKUP('Table Seed Map'!$A$10,SeedMap[],9,0)),VLOOKUP('Table Seed Map'!$A$10,SeedMap[],9,0),0))</f>
        <v>2109151</v>
      </c>
      <c r="C53" s="16" t="str">
        <f>RelationTable[[#This Row],[Resource]]&amp;"/"&amp;RelationTable[[#This Row],[Method]]</f>
        <v>Order/Receipts</v>
      </c>
      <c r="D53" s="16">
        <f>RelationTable[[#This Row],[No]]</f>
        <v>2109151</v>
      </c>
      <c r="E53" s="63" t="s">
        <v>787</v>
      </c>
      <c r="F53" s="9" t="s">
        <v>791</v>
      </c>
      <c r="G53" s="16">
        <f>RelationTable[[#This Row],[No]]</f>
        <v>2109151</v>
      </c>
      <c r="H53" s="16">
        <f>IF(RelationTable[[#This Row],[No]]="id","resource",VLOOKUP([Resource],CHOOSE({1,2},ResourceTable[Name],ResourceTable[No]),2,0))</f>
        <v>2106118</v>
      </c>
      <c r="I53" s="16" t="s">
        <v>1091</v>
      </c>
      <c r="J53" s="16" t="s">
        <v>1092</v>
      </c>
      <c r="K53" s="16" t="s">
        <v>911</v>
      </c>
      <c r="L53" s="16" t="s">
        <v>951</v>
      </c>
      <c r="M53" s="78">
        <f>VLOOKUP([Relate Resource],CHOOSE({1,2},ResourceTable[Name],ResourceTable[No]),2,0)</f>
        <v>2106124</v>
      </c>
      <c r="N53" s="79">
        <f>[RELID]</f>
        <v>2109151</v>
      </c>
    </row>
    <row r="54" spans="1:14">
      <c r="A54" s="73" t="str">
        <f>Page&amp;"-"&amp;(COUNTA($E$1:RelationTable[[#This Row],[Resource]])-1)</f>
        <v>Resource Relations-52</v>
      </c>
      <c r="B54" s="67">
        <f>IF(RelationTable[[#This Row],[Resource]]="","id",COUNTA($E$2:RelationTable[[#This Row],[Resource]])+IF(ISNUMBER(VLOOKUP('Table Seed Map'!$A$10,SeedMap[],9,0)),VLOOKUP('Table Seed Map'!$A$10,SeedMap[],9,0),0))</f>
        <v>2109152</v>
      </c>
      <c r="C54" s="69" t="str">
        <f>RelationTable[[#This Row],[Resource]]&amp;"/"&amp;RelationTable[[#This Row],[Method]]</f>
        <v>OrderItem/Order</v>
      </c>
      <c r="D54" s="69">
        <f>RelationTable[[#This Row],[No]]</f>
        <v>2109152</v>
      </c>
      <c r="E54" s="63" t="s">
        <v>788</v>
      </c>
      <c r="F54" s="9" t="s">
        <v>787</v>
      </c>
      <c r="G54" s="69">
        <f>RelationTable[[#This Row],[No]]</f>
        <v>2109152</v>
      </c>
      <c r="H54" s="69">
        <f>IF(RelationTable[[#This Row],[No]]="id","resource",VLOOKUP([Resource],CHOOSE({1,2},ResourceTable[Name],ResourceTable[No]),2,0))</f>
        <v>2106119</v>
      </c>
      <c r="I54" s="69" t="s">
        <v>1004</v>
      </c>
      <c r="J54" s="69" t="s">
        <v>1057</v>
      </c>
      <c r="K54" s="69" t="s">
        <v>787</v>
      </c>
      <c r="L54" s="69" t="s">
        <v>993</v>
      </c>
      <c r="M54" s="74">
        <f>VLOOKUP([Relate Resource],CHOOSE({1,2},ResourceTable[Name],ResourceTable[No]),2,0)</f>
        <v>2106118</v>
      </c>
      <c r="N54" s="75">
        <f>[RELID]</f>
        <v>2109152</v>
      </c>
    </row>
    <row r="55" spans="1:14">
      <c r="A55" s="73" t="str">
        <f>Page&amp;"-"&amp;(COUNTA($E$1:RelationTable[[#This Row],[Resource]])-1)</f>
        <v>Resource Relations-53</v>
      </c>
      <c r="B55" s="67">
        <f>IF(RelationTable[[#This Row],[Resource]]="","id",COUNTA($E$2:RelationTable[[#This Row],[Resource]])+IF(ISNUMBER(VLOOKUP('Table Seed Map'!$A$10,SeedMap[],9,0)),VLOOKUP('Table Seed Map'!$A$10,SeedMap[],9,0),0))</f>
        <v>2109153</v>
      </c>
      <c r="C55" s="69" t="str">
        <f>RelationTable[[#This Row],[Resource]]&amp;"/"&amp;RelationTable[[#This Row],[Method]]</f>
        <v>OrderItem/Item</v>
      </c>
      <c r="D55" s="69">
        <f>RelationTable[[#This Row],[No]]</f>
        <v>2109153</v>
      </c>
      <c r="E55" s="63" t="s">
        <v>788</v>
      </c>
      <c r="F55" s="63" t="s">
        <v>779</v>
      </c>
      <c r="G55" s="69">
        <f>RelationTable[[#This Row],[No]]</f>
        <v>2109153</v>
      </c>
      <c r="H55" s="69">
        <f>IF(RelationTable[[#This Row],[No]]="id","resource",VLOOKUP([Resource],CHOOSE({1,2},ResourceTable[Name],ResourceTable[No]),2,0))</f>
        <v>2106119</v>
      </c>
      <c r="I55" s="69" t="s">
        <v>1007</v>
      </c>
      <c r="J55" s="69" t="s">
        <v>1058</v>
      </c>
      <c r="K55" s="69" t="s">
        <v>779</v>
      </c>
      <c r="L55" s="69" t="s">
        <v>993</v>
      </c>
      <c r="M55" s="74">
        <f>VLOOKUP([Relate Resource],CHOOSE({1,2},ResourceTable[Name],ResourceTable[No]),2,0)</f>
        <v>2106109</v>
      </c>
      <c r="N55" s="75">
        <f>[RELID]</f>
        <v>2109153</v>
      </c>
    </row>
    <row r="56" spans="1:14">
      <c r="A56" s="73" t="str">
        <f>Page&amp;"-"&amp;(COUNTA($E$1:RelationTable[[#This Row],[Resource]])-1)</f>
        <v>Resource Relations-54</v>
      </c>
      <c r="B56" s="67">
        <f>IF(RelationTable[[#This Row],[Resource]]="","id",COUNTA($E$2:RelationTable[[#This Row],[Resource]])+IF(ISNUMBER(VLOOKUP('Table Seed Map'!$A$10,SeedMap[],9,0)),VLOOKUP('Table Seed Map'!$A$10,SeedMap[],9,0),0))</f>
        <v>2109154</v>
      </c>
      <c r="C56" s="69" t="str">
        <f>RelationTable[[#This Row],[Resource]]&amp;"/"&amp;RelationTable[[#This Row],[Method]]</f>
        <v>OrderItem/Label</v>
      </c>
      <c r="D56" s="69">
        <f>RelationTable[[#This Row],[No]]</f>
        <v>2109154</v>
      </c>
      <c r="E56" s="63" t="s">
        <v>788</v>
      </c>
      <c r="F56" s="63" t="s">
        <v>786</v>
      </c>
      <c r="G56" s="69">
        <f>RelationTable[[#This Row],[No]]</f>
        <v>2109154</v>
      </c>
      <c r="H56" s="69">
        <f>IF(RelationTable[[#This Row],[No]]="id","resource",VLOOKUP([Resource],CHOOSE({1,2},ResourceTable[Name],ResourceTable[No]),2,0))</f>
        <v>2106119</v>
      </c>
      <c r="I56" s="69" t="s">
        <v>104</v>
      </c>
      <c r="J56" s="69" t="s">
        <v>1059</v>
      </c>
      <c r="K56" s="69" t="s">
        <v>104</v>
      </c>
      <c r="L56" s="69" t="s">
        <v>993</v>
      </c>
      <c r="M56" s="74">
        <f>VLOOKUP([Relate Resource],CHOOSE({1,2},ResourceTable[Name],ResourceTable[No]),2,0)</f>
        <v>2106117</v>
      </c>
      <c r="N56" s="75">
        <f>[RELID]</f>
        <v>2109154</v>
      </c>
    </row>
    <row r="57" spans="1:14">
      <c r="A57" s="73" t="str">
        <f>Page&amp;"-"&amp;(COUNTA($E$1:RelationTable[[#This Row],[Resource]])-1)</f>
        <v>Resource Relations-55</v>
      </c>
      <c r="B57" s="67">
        <f>IF(RelationTable[[#This Row],[Resource]]="","id",COUNTA($E$2:RelationTable[[#This Row],[Resource]])+IF(ISNUMBER(VLOOKUP('Table Seed Map'!$A$10,SeedMap[],9,0)),VLOOKUP('Table Seed Map'!$A$10,SeedMap[],9,0),0))</f>
        <v>2109155</v>
      </c>
      <c r="C57" s="69" t="str">
        <f>RelationTable[[#This Row],[Resource]]&amp;"/"&amp;RelationTable[[#This Row],[Method]]</f>
        <v>OrderItem/Shelf</v>
      </c>
      <c r="D57" s="69">
        <f>RelationTable[[#This Row],[No]]</f>
        <v>2109155</v>
      </c>
      <c r="E57" s="63" t="s">
        <v>788</v>
      </c>
      <c r="F57" s="63" t="s">
        <v>1029</v>
      </c>
      <c r="G57" s="69">
        <f>RelationTable[[#This Row],[No]]</f>
        <v>2109155</v>
      </c>
      <c r="H57" s="69">
        <f>IF(RelationTable[[#This Row],[No]]="id","resource",VLOOKUP([Resource],CHOOSE({1,2},ResourceTable[Name],ResourceTable[No]),2,0))</f>
        <v>2106119</v>
      </c>
      <c r="I57" s="69" t="s">
        <v>1039</v>
      </c>
      <c r="J57" s="69" t="s">
        <v>1060</v>
      </c>
      <c r="K57" s="69" t="s">
        <v>1029</v>
      </c>
      <c r="L57" s="69" t="s">
        <v>993</v>
      </c>
      <c r="M57" s="74">
        <f>VLOOKUP([Relate Resource],CHOOSE({1,2},ResourceTable[Name],ResourceTable[No]),2,0)</f>
        <v>2106113</v>
      </c>
      <c r="N57" s="75">
        <f>[RELID]</f>
        <v>2109155</v>
      </c>
    </row>
    <row r="58" spans="1:14">
      <c r="A58" s="73" t="str">
        <f>Page&amp;"-"&amp;(COUNTA($E$1:RelationTable[[#This Row],[Resource]])-1)</f>
        <v>Resource Relations-56</v>
      </c>
      <c r="B58" s="67">
        <f>IF(RelationTable[[#This Row],[Resource]]="","id",COUNTA($E$2:RelationTable[[#This Row],[Resource]])+IF(ISNUMBER(VLOOKUP('Table Seed Map'!$A$10,SeedMap[],9,0)),VLOOKUP('Table Seed Map'!$A$10,SeedMap[],9,0),0))</f>
        <v>2109156</v>
      </c>
      <c r="C58" s="69" t="str">
        <f>RelationTable[[#This Row],[Resource]]&amp;"/"&amp;RelationTable[[#This Row],[Method]]</f>
        <v>OrderItem/OIS</v>
      </c>
      <c r="D58" s="69">
        <f>RelationTable[[#This Row],[No]]</f>
        <v>2109156</v>
      </c>
      <c r="E58" s="63" t="s">
        <v>788</v>
      </c>
      <c r="F58" s="63" t="s">
        <v>789</v>
      </c>
      <c r="G58" s="69">
        <f>RelationTable[[#This Row],[No]]</f>
        <v>2109156</v>
      </c>
      <c r="H58" s="69">
        <f>IF(RelationTable[[#This Row],[No]]="id","resource",VLOOKUP([Resource],CHOOSE({1,2},ResourceTable[Name],ResourceTable[No]),2,0))</f>
        <v>2106119</v>
      </c>
      <c r="I58" s="69" t="s">
        <v>1638</v>
      </c>
      <c r="J58" s="69" t="s">
        <v>1061</v>
      </c>
      <c r="K58" s="69" t="s">
        <v>1637</v>
      </c>
      <c r="L58" s="69" t="s">
        <v>941</v>
      </c>
      <c r="M58" s="74">
        <f>VLOOKUP([Relate Resource],CHOOSE({1,2},ResourceTable[Name],ResourceTable[No]),2,0)</f>
        <v>2106120</v>
      </c>
      <c r="N58" s="75">
        <f>[RELID]</f>
        <v>2109156</v>
      </c>
    </row>
    <row r="59" spans="1:14">
      <c r="A59" s="73" t="str">
        <f>Page&amp;"-"&amp;(COUNTA($E$1:RelationTable[[#This Row],[Resource]])-1)</f>
        <v>Resource Relations-57</v>
      </c>
      <c r="B59" s="67">
        <f>IF(RelationTable[[#This Row],[Resource]]="","id",COUNTA($E$2:RelationTable[[#This Row],[Resource]])+IF(ISNUMBER(VLOOKUP('Table Seed Map'!$A$10,SeedMap[],9,0)),VLOOKUP('Table Seed Map'!$A$10,SeedMap[],9,0),0))</f>
        <v>2109157</v>
      </c>
      <c r="C59" s="69" t="str">
        <f>RelationTable[[#This Row],[Resource]]&amp;"/"&amp;RelationTable[[#This Row],[Method]]</f>
        <v>OrderItem/Shifts</v>
      </c>
      <c r="D59" s="69">
        <f>RelationTable[[#This Row],[No]]</f>
        <v>2109157</v>
      </c>
      <c r="E59" s="63" t="s">
        <v>788</v>
      </c>
      <c r="F59" s="63" t="s">
        <v>793</v>
      </c>
      <c r="G59" s="69">
        <f>RelationTable[[#This Row],[No]]</f>
        <v>2109157</v>
      </c>
      <c r="H59" s="69">
        <f>IF(RelationTable[[#This Row],[No]]="id","resource",VLOOKUP([Resource],CHOOSE({1,2},ResourceTable[Name],ResourceTable[No]),2,0))</f>
        <v>2106119</v>
      </c>
      <c r="I59" s="69" t="s">
        <v>1005</v>
      </c>
      <c r="J59" s="69" t="s">
        <v>1062</v>
      </c>
      <c r="K59" s="69" t="s">
        <v>1006</v>
      </c>
      <c r="L59" s="69" t="s">
        <v>941</v>
      </c>
      <c r="M59" s="74">
        <f>VLOOKUP([Relate Resource],CHOOSE({1,2},ResourceTable[Name],ResourceTable[No]),2,0)</f>
        <v>2106128</v>
      </c>
      <c r="N59" s="75">
        <f>[RELID]</f>
        <v>2109157</v>
      </c>
    </row>
    <row r="60" spans="1:14">
      <c r="A60" s="73" t="str">
        <f>Page&amp;"-"&amp;(COUNTA($E$1:RelationTable[[#This Row],[Resource]])-1)</f>
        <v>Resource Relations-58</v>
      </c>
      <c r="B60" s="67">
        <f>IF(RelationTable[[#This Row],[Resource]]="","id",COUNTA($E$2:RelationTable[[#This Row],[Resource]])+IF(ISNUMBER(VLOOKUP('Table Seed Map'!$A$10,SeedMap[],9,0)),VLOOKUP('Table Seed Map'!$A$10,SeedMap[],9,0),0))</f>
        <v>2109158</v>
      </c>
      <c r="C60" s="69" t="str">
        <f>RelationTable[[#This Row],[Resource]]&amp;"/"&amp;RelationTable[[#This Row],[Method]]</f>
        <v>OrderItemService/OrderItem</v>
      </c>
      <c r="D60" s="69">
        <f>RelationTable[[#This Row],[No]]</f>
        <v>2109158</v>
      </c>
      <c r="E60" s="63" t="s">
        <v>789</v>
      </c>
      <c r="F60" s="63" t="s">
        <v>788</v>
      </c>
      <c r="G60" s="69">
        <f>RelationTable[[#This Row],[No]]</f>
        <v>2109158</v>
      </c>
      <c r="H60" s="69">
        <f>IF(RelationTable[[#This Row],[No]]="id","resource",VLOOKUP([Resource],CHOOSE({1,2},ResourceTable[Name],ResourceTable[No]),2,0))</f>
        <v>2106120</v>
      </c>
      <c r="I60" s="69" t="s">
        <v>1063</v>
      </c>
      <c r="J60" s="69" t="s">
        <v>1064</v>
      </c>
      <c r="K60" s="69" t="s">
        <v>788</v>
      </c>
      <c r="L60" s="69" t="s">
        <v>993</v>
      </c>
      <c r="M60" s="74">
        <f>VLOOKUP([Relate Resource],CHOOSE({1,2},ResourceTable[Name],ResourceTable[No]),2,0)</f>
        <v>2106119</v>
      </c>
      <c r="N60" s="75">
        <f>[RELID]</f>
        <v>2109158</v>
      </c>
    </row>
    <row r="61" spans="1:14">
      <c r="A61" s="73" t="str">
        <f>Page&amp;"-"&amp;(COUNTA($E$1:RelationTable[[#This Row],[Resource]])-1)</f>
        <v>Resource Relations-59</v>
      </c>
      <c r="B61" s="67">
        <f>IF(RelationTable[[#This Row],[Resource]]="","id",COUNTA($E$2:RelationTable[[#This Row],[Resource]])+IF(ISNUMBER(VLOOKUP('Table Seed Map'!$A$10,SeedMap[],9,0)),VLOOKUP('Table Seed Map'!$A$10,SeedMap[],9,0),0))</f>
        <v>2109159</v>
      </c>
      <c r="C61" s="69" t="str">
        <f>RelationTable[[#This Row],[Resource]]&amp;"/"&amp;RelationTable[[#This Row],[Method]]</f>
        <v>OrderItemService/Service</v>
      </c>
      <c r="D61" s="69">
        <f>RelationTable[[#This Row],[No]]</f>
        <v>2109159</v>
      </c>
      <c r="E61" s="63" t="s">
        <v>789</v>
      </c>
      <c r="F61" s="63" t="s">
        <v>778</v>
      </c>
      <c r="G61" s="69">
        <f>RelationTable[[#This Row],[No]]</f>
        <v>2109159</v>
      </c>
      <c r="H61" s="69">
        <f>IF(RelationTable[[#This Row],[No]]="id","resource",VLOOKUP([Resource],CHOOSE({1,2},ResourceTable[Name],ResourceTable[No]),2,0))</f>
        <v>2106120</v>
      </c>
      <c r="I61" s="69" t="s">
        <v>1008</v>
      </c>
      <c r="J61" s="69" t="s">
        <v>1065</v>
      </c>
      <c r="K61" s="69" t="s">
        <v>778</v>
      </c>
      <c r="L61" s="69" t="s">
        <v>993</v>
      </c>
      <c r="M61" s="74">
        <f>VLOOKUP([Relate Resource],CHOOSE({1,2},ResourceTable[Name],ResourceTable[No]),2,0)</f>
        <v>2106108</v>
      </c>
      <c r="N61" s="75">
        <f>[RELID]</f>
        <v>2109159</v>
      </c>
    </row>
    <row r="62" spans="1:14">
      <c r="A62" s="73" t="str">
        <f>Page&amp;"-"&amp;(COUNTA($E$1:RelationTable[[#This Row],[Resource]])-1)</f>
        <v>Resource Relations-60</v>
      </c>
      <c r="B62" s="67">
        <f>IF(RelationTable[[#This Row],[Resource]]="","id",COUNTA($E$2:RelationTable[[#This Row],[Resource]])+IF(ISNUMBER(VLOOKUP('Table Seed Map'!$A$10,SeedMap[],9,0)),VLOOKUP('Table Seed Map'!$A$10,SeedMap[],9,0),0))</f>
        <v>2109160</v>
      </c>
      <c r="C62" s="69" t="str">
        <f>RelationTable[[#This Row],[Resource]]&amp;"/"&amp;RelationTable[[#This Row],[Method]]</f>
        <v>OrderItemService/Assigned</v>
      </c>
      <c r="D62" s="69">
        <f>RelationTable[[#This Row],[No]]</f>
        <v>2109160</v>
      </c>
      <c r="E62" s="63" t="s">
        <v>789</v>
      </c>
      <c r="F62" s="63" t="s">
        <v>790</v>
      </c>
      <c r="G62" s="69">
        <f>RelationTable[[#This Row],[No]]</f>
        <v>2109160</v>
      </c>
      <c r="H62" s="69">
        <f>IF(RelationTable[[#This Row],[No]]="id","resource",VLOOKUP([Resource],CHOOSE({1,2},ResourceTable[Name],ResourceTable[No]),2,0))</f>
        <v>2106120</v>
      </c>
      <c r="I62" s="69" t="s">
        <v>1646</v>
      </c>
      <c r="J62" s="69" t="s">
        <v>1647</v>
      </c>
      <c r="K62" s="69" t="s">
        <v>974</v>
      </c>
      <c r="L62" s="69" t="s">
        <v>941</v>
      </c>
      <c r="M62" s="74">
        <f>VLOOKUP([Relate Resource],CHOOSE({1,2},ResourceTable[Name],ResourceTable[No]),2,0)</f>
        <v>2106123</v>
      </c>
      <c r="N62" s="75">
        <f>[RELID]</f>
        <v>2109160</v>
      </c>
    </row>
    <row r="63" spans="1:14">
      <c r="A63" s="73" t="str">
        <f>Page&amp;"-"&amp;(COUNTA($E$1:RelationTable[[#This Row],[Resource]])-1)</f>
        <v>Resource Relations-61</v>
      </c>
      <c r="B63" s="67">
        <f>IF(RelationTable[[#This Row],[Resource]]="","id",COUNTA($E$2:RelationTable[[#This Row],[Resource]])+IF(ISNUMBER(VLOOKUP('Table Seed Map'!$A$10,SeedMap[],9,0)),VLOOKUP('Table Seed Map'!$A$10,SeedMap[],9,0),0))</f>
        <v>2109161</v>
      </c>
      <c r="C63" s="69" t="str">
        <f>RelationTable[[#This Row],[Resource]]&amp;"/"&amp;RelationTable[[#This Row],[Method]]</f>
        <v>Invoice/Order</v>
      </c>
      <c r="D63" s="69">
        <f>RelationTable[[#This Row],[No]]</f>
        <v>2109161</v>
      </c>
      <c r="E63" s="63" t="s">
        <v>893</v>
      </c>
      <c r="F63" s="63" t="s">
        <v>787</v>
      </c>
      <c r="G63" s="69">
        <f>RelationTable[[#This Row],[No]]</f>
        <v>2109161</v>
      </c>
      <c r="H63" s="69">
        <f>IF(RelationTable[[#This Row],[No]]="id","resource",VLOOKUP([Resource],CHOOSE({1,2},ResourceTable[Name],ResourceTable[No]),2,0))</f>
        <v>2106121</v>
      </c>
      <c r="I63" s="69" t="s">
        <v>1004</v>
      </c>
      <c r="J63" s="69" t="s">
        <v>1066</v>
      </c>
      <c r="K63" s="69" t="s">
        <v>787</v>
      </c>
      <c r="L63" s="69" t="s">
        <v>993</v>
      </c>
      <c r="M63" s="74">
        <f>VLOOKUP([Relate Resource],CHOOSE({1,2},ResourceTable[Name],ResourceTable[No]),2,0)</f>
        <v>2106118</v>
      </c>
      <c r="N63" s="75">
        <f>[RELID]</f>
        <v>2109161</v>
      </c>
    </row>
    <row r="64" spans="1:14">
      <c r="A64" s="73" t="str">
        <f>Page&amp;"-"&amp;(COUNTA($E$1:RelationTable[[#This Row],[Resource]])-1)</f>
        <v>Resource Relations-62</v>
      </c>
      <c r="B64" s="67">
        <f>IF(RelationTable[[#This Row],[Resource]]="","id",COUNTA($E$2:RelationTable[[#This Row],[Resource]])+IF(ISNUMBER(VLOOKUP('Table Seed Map'!$A$10,SeedMap[],9,0)),VLOOKUP('Table Seed Map'!$A$10,SeedMap[],9,0),0))</f>
        <v>2109162</v>
      </c>
      <c r="C64" s="69" t="str">
        <f>RelationTable[[#This Row],[Resource]]&amp;"/"&amp;RelationTable[[#This Row],[Method]]</f>
        <v>Invoice/Customer</v>
      </c>
      <c r="D64" s="69">
        <f>RelationTable[[#This Row],[No]]</f>
        <v>2109162</v>
      </c>
      <c r="E64" s="63" t="s">
        <v>893</v>
      </c>
      <c r="F64" s="61" t="s">
        <v>785</v>
      </c>
      <c r="G64" s="69">
        <f>RelationTable[[#This Row],[No]]</f>
        <v>2109162</v>
      </c>
      <c r="H64" s="69">
        <f>IF(RelationTable[[#This Row],[No]]="id","resource",VLOOKUP([Resource],CHOOSE({1,2},ResourceTable[Name],ResourceTable[No]),2,0))</f>
        <v>2106121</v>
      </c>
      <c r="I64" s="69" t="s">
        <v>998</v>
      </c>
      <c r="J64" s="69" t="s">
        <v>1067</v>
      </c>
      <c r="K64" s="69" t="s">
        <v>785</v>
      </c>
      <c r="L64" s="69" t="s">
        <v>993</v>
      </c>
      <c r="M64" s="74">
        <f>VLOOKUP([Relate Resource],CHOOSE({1,2},ResourceTable[Name],ResourceTable[No]),2,0)</f>
        <v>2106105</v>
      </c>
      <c r="N64" s="75">
        <f>[RELID]</f>
        <v>2109162</v>
      </c>
    </row>
    <row r="65" spans="1:14">
      <c r="A65" s="73" t="str">
        <f>Page&amp;"-"&amp;(COUNTA($E$1:RelationTable[[#This Row],[Resource]])-1)</f>
        <v>Resource Relations-63</v>
      </c>
      <c r="B65" s="67">
        <f>IF(RelationTable[[#This Row],[Resource]]="","id",COUNTA($E$2:RelationTable[[#This Row],[Resource]])+IF(ISNUMBER(VLOOKUP('Table Seed Map'!$A$10,SeedMap[],9,0)),VLOOKUP('Table Seed Map'!$A$10,SeedMap[],9,0),0))</f>
        <v>2109163</v>
      </c>
      <c r="C65" s="69" t="str">
        <f>RelationTable[[#This Row],[Resource]]&amp;"/"&amp;RelationTable[[#This Row],[Method]]</f>
        <v>Invoice/Items</v>
      </c>
      <c r="D65" s="69">
        <f>RelationTable[[#This Row],[No]]</f>
        <v>2109163</v>
      </c>
      <c r="E65" s="63" t="s">
        <v>893</v>
      </c>
      <c r="F65" s="63" t="s">
        <v>894</v>
      </c>
      <c r="G65" s="69">
        <f>RelationTable[[#This Row],[No]]</f>
        <v>2109163</v>
      </c>
      <c r="H65" s="69">
        <f>IF(RelationTable[[#This Row],[No]]="id","resource",VLOOKUP([Resource],CHOOSE({1,2},ResourceTable[Name],ResourceTable[No]),2,0))</f>
        <v>2106121</v>
      </c>
      <c r="I65" s="69" t="s">
        <v>1068</v>
      </c>
      <c r="J65" s="69" t="s">
        <v>1069</v>
      </c>
      <c r="K65" s="69" t="s">
        <v>897</v>
      </c>
      <c r="L65" s="69" t="s">
        <v>941</v>
      </c>
      <c r="M65" s="74">
        <f>VLOOKUP([Relate Resource],CHOOSE({1,2},ResourceTable[Name],ResourceTable[No]),2,0)</f>
        <v>2106122</v>
      </c>
      <c r="N65" s="75">
        <f>[RELID]</f>
        <v>2109163</v>
      </c>
    </row>
    <row r="66" spans="1:14">
      <c r="A66" s="73" t="str">
        <f>Page&amp;"-"&amp;(COUNTA($E$1:RelationTable[[#This Row],[Resource]])-1)</f>
        <v>Resource Relations-64</v>
      </c>
      <c r="B66" s="67">
        <f>IF(RelationTable[[#This Row],[Resource]]="","id",COUNTA($E$2:RelationTable[[#This Row],[Resource]])+IF(ISNUMBER(VLOOKUP('Table Seed Map'!$A$10,SeedMap[],9,0)),VLOOKUP('Table Seed Map'!$A$10,SeedMap[],9,0),0))</f>
        <v>2109164</v>
      </c>
      <c r="C66" s="69" t="str">
        <f>RelationTable[[#This Row],[Resource]]&amp;"/"&amp;RelationTable[[#This Row],[Method]]</f>
        <v>Invoice/Receipts</v>
      </c>
      <c r="D66" s="69">
        <f>RelationTable[[#This Row],[No]]</f>
        <v>2109164</v>
      </c>
      <c r="E66" s="63" t="s">
        <v>893</v>
      </c>
      <c r="F66" s="63" t="s">
        <v>791</v>
      </c>
      <c r="G66" s="69">
        <f>RelationTable[[#This Row],[No]]</f>
        <v>2109164</v>
      </c>
      <c r="H66" s="69">
        <f>IF(RelationTable[[#This Row],[No]]="id","resource",VLOOKUP([Resource],CHOOSE({1,2},ResourceTable[Name],ResourceTable[No]),2,0))</f>
        <v>2106121</v>
      </c>
      <c r="I66" s="69" t="s">
        <v>911</v>
      </c>
      <c r="J66" s="69" t="s">
        <v>1070</v>
      </c>
      <c r="K66" s="69" t="s">
        <v>911</v>
      </c>
      <c r="L66" s="69" t="s">
        <v>941</v>
      </c>
      <c r="M66" s="74">
        <f>VLOOKUP([Relate Resource],CHOOSE({1,2},ResourceTable[Name],ResourceTable[No]),2,0)</f>
        <v>2106124</v>
      </c>
      <c r="N66" s="75">
        <f>[RELID]</f>
        <v>2109164</v>
      </c>
    </row>
    <row r="67" spans="1:14">
      <c r="A67" s="73" t="str">
        <f>Page&amp;"-"&amp;(COUNTA($E$1:RelationTable[[#This Row],[Resource]])-1)</f>
        <v>Resource Relations-65</v>
      </c>
      <c r="B67" s="67">
        <f>IF(RelationTable[[#This Row],[Resource]]="","id",COUNTA($E$2:RelationTable[[#This Row],[Resource]])+IF(ISNUMBER(VLOOKUP('Table Seed Map'!$A$10,SeedMap[],9,0)),VLOOKUP('Table Seed Map'!$A$10,SeedMap[],9,0),0))</f>
        <v>2109165</v>
      </c>
      <c r="C67" s="69" t="str">
        <f>RelationTable[[#This Row],[Resource]]&amp;"/"&amp;RelationTable[[#This Row],[Method]]</f>
        <v>InvoiceItem/Invoice</v>
      </c>
      <c r="D67" s="69">
        <f>RelationTable[[#This Row],[No]]</f>
        <v>2109165</v>
      </c>
      <c r="E67" s="63" t="s">
        <v>894</v>
      </c>
      <c r="F67" s="63" t="s">
        <v>893</v>
      </c>
      <c r="G67" s="69">
        <f>RelationTable[[#This Row],[No]]</f>
        <v>2109165</v>
      </c>
      <c r="H67" s="69">
        <f>IF(RelationTable[[#This Row],[No]]="id","resource",VLOOKUP([Resource],CHOOSE({1,2},ResourceTable[Name],ResourceTable[No]),2,0))</f>
        <v>2106122</v>
      </c>
      <c r="I67" s="69" t="s">
        <v>1071</v>
      </c>
      <c r="J67" s="69" t="s">
        <v>1072</v>
      </c>
      <c r="K67" s="69" t="s">
        <v>893</v>
      </c>
      <c r="L67" s="69" t="s">
        <v>993</v>
      </c>
      <c r="M67" s="74">
        <f>VLOOKUP([Relate Resource],CHOOSE({1,2},ResourceTable[Name],ResourceTable[No]),2,0)</f>
        <v>2106121</v>
      </c>
      <c r="N67" s="75">
        <f>[RELID]</f>
        <v>2109165</v>
      </c>
    </row>
    <row r="68" spans="1:14">
      <c r="A68" s="73" t="str">
        <f>Page&amp;"-"&amp;(COUNTA($E$1:RelationTable[[#This Row],[Resource]])-1)</f>
        <v>Resource Relations-66</v>
      </c>
      <c r="B68" s="67">
        <f>IF(RelationTable[[#This Row],[Resource]]="","id",COUNTA($E$2:RelationTable[[#This Row],[Resource]])+IF(ISNUMBER(VLOOKUP('Table Seed Map'!$A$10,SeedMap[],9,0)),VLOOKUP('Table Seed Map'!$A$10,SeedMap[],9,0),0))</f>
        <v>2109166</v>
      </c>
      <c r="C68" s="69" t="str">
        <f>RelationTable[[#This Row],[Resource]]&amp;"/"&amp;RelationTable[[#This Row],[Method]]</f>
        <v>InvoiceItem/Item</v>
      </c>
      <c r="D68" s="69">
        <f>RelationTable[[#This Row],[No]]</f>
        <v>2109166</v>
      </c>
      <c r="E68" s="63" t="s">
        <v>894</v>
      </c>
      <c r="F68" s="63" t="s">
        <v>779</v>
      </c>
      <c r="G68" s="69">
        <f>RelationTable[[#This Row],[No]]</f>
        <v>2109166</v>
      </c>
      <c r="H68" s="69">
        <f>IF(RelationTable[[#This Row],[No]]="id","resource",VLOOKUP([Resource],CHOOSE({1,2},ResourceTable[Name],ResourceTable[No]),2,0))</f>
        <v>2106122</v>
      </c>
      <c r="I68" s="69" t="s">
        <v>1007</v>
      </c>
      <c r="J68" s="69" t="s">
        <v>1073</v>
      </c>
      <c r="K68" s="69" t="s">
        <v>779</v>
      </c>
      <c r="L68" s="69" t="s">
        <v>993</v>
      </c>
      <c r="M68" s="74">
        <f>VLOOKUP([Relate Resource],CHOOSE({1,2},ResourceTable[Name],ResourceTable[No]),2,0)</f>
        <v>2106109</v>
      </c>
      <c r="N68" s="75">
        <f>[RELID]</f>
        <v>2109166</v>
      </c>
    </row>
    <row r="69" spans="1:14">
      <c r="A69" s="73" t="str">
        <f>Page&amp;"-"&amp;(COUNTA($E$1:RelationTable[[#This Row],[Resource]])-1)</f>
        <v>Resource Relations-67</v>
      </c>
      <c r="B69" s="67">
        <f>IF(RelationTable[[#This Row],[Resource]]="","id",COUNTA($E$2:RelationTable[[#This Row],[Resource]])+IF(ISNUMBER(VLOOKUP('Table Seed Map'!$A$10,SeedMap[],9,0)),VLOOKUP('Table Seed Map'!$A$10,SeedMap[],9,0),0))</f>
        <v>2109167</v>
      </c>
      <c r="C69" s="69" t="str">
        <f>RelationTable[[#This Row],[Resource]]&amp;"/"&amp;RelationTable[[#This Row],[Method]]</f>
        <v>InvoiceItem/Service</v>
      </c>
      <c r="D69" s="69">
        <f>RelationTable[[#This Row],[No]]</f>
        <v>2109167</v>
      </c>
      <c r="E69" s="63" t="s">
        <v>894</v>
      </c>
      <c r="F69" s="63" t="s">
        <v>778</v>
      </c>
      <c r="G69" s="69">
        <f>RelationTable[[#This Row],[No]]</f>
        <v>2109167</v>
      </c>
      <c r="H69" s="69">
        <f>IF(RelationTable[[#This Row],[No]]="id","resource",VLOOKUP([Resource],CHOOSE({1,2},ResourceTable[Name],ResourceTable[No]),2,0))</f>
        <v>2106122</v>
      </c>
      <c r="I69" s="69" t="s">
        <v>1008</v>
      </c>
      <c r="J69" s="69" t="s">
        <v>1074</v>
      </c>
      <c r="K69" s="69" t="s">
        <v>778</v>
      </c>
      <c r="L69" s="69" t="s">
        <v>993</v>
      </c>
      <c r="M69" s="74">
        <f>VLOOKUP([Relate Resource],CHOOSE({1,2},ResourceTable[Name],ResourceTable[No]),2,0)</f>
        <v>2106108</v>
      </c>
      <c r="N69" s="75">
        <f>[RELID]</f>
        <v>2109167</v>
      </c>
    </row>
    <row r="70" spans="1:14">
      <c r="A70" s="73" t="str">
        <f>Page&amp;"-"&amp;(COUNTA($E$1:RelationTable[[#This Row],[Resource]])-1)</f>
        <v>Resource Relations-68</v>
      </c>
      <c r="B70" s="67">
        <f>IF(RelationTable[[#This Row],[Resource]]="","id",COUNTA($E$2:RelationTable[[#This Row],[Resource]])+IF(ISNUMBER(VLOOKUP('Table Seed Map'!$A$10,SeedMap[],9,0)),VLOOKUP('Table Seed Map'!$A$10,SeedMap[],9,0),0))</f>
        <v>2109168</v>
      </c>
      <c r="C70" s="69" t="str">
        <f>RelationTable[[#This Row],[Resource]]&amp;"/"&amp;RelationTable[[#This Row],[Method]]</f>
        <v>OrderItemServiceUser/OIS</v>
      </c>
      <c r="D70" s="69">
        <f>RelationTable[[#This Row],[No]]</f>
        <v>2109168</v>
      </c>
      <c r="E70" s="63" t="s">
        <v>790</v>
      </c>
      <c r="F70" s="63" t="s">
        <v>789</v>
      </c>
      <c r="G70" s="69">
        <f>RelationTable[[#This Row],[No]]</f>
        <v>2109168</v>
      </c>
      <c r="H70" s="69">
        <f>IF(RelationTable[[#This Row],[No]]="id","resource",VLOOKUP([Resource],CHOOSE({1,2},ResourceTable[Name],ResourceTable[No]),2,0))</f>
        <v>2106123</v>
      </c>
      <c r="I70" s="69" t="s">
        <v>1637</v>
      </c>
      <c r="J70" s="69" t="s">
        <v>1075</v>
      </c>
      <c r="K70" s="69" t="s">
        <v>1637</v>
      </c>
      <c r="L70" s="69" t="s">
        <v>993</v>
      </c>
      <c r="M70" s="74">
        <f>VLOOKUP([Relate Resource],CHOOSE({1,2},ResourceTable[Name],ResourceTable[No]),2,0)</f>
        <v>2106120</v>
      </c>
      <c r="N70" s="75">
        <f>[RELID]</f>
        <v>2109168</v>
      </c>
    </row>
    <row r="71" spans="1:14">
      <c r="A71" s="73" t="str">
        <f>Page&amp;"-"&amp;(COUNTA($E$1:RelationTable[[#This Row],[Resource]])-1)</f>
        <v>Resource Relations-69</v>
      </c>
      <c r="B71" s="67">
        <f>IF(RelationTable[[#This Row],[Resource]]="","id",COUNTA($E$2:RelationTable[[#This Row],[Resource]])+IF(ISNUMBER(VLOOKUP('Table Seed Map'!$A$10,SeedMap[],9,0)),VLOOKUP('Table Seed Map'!$A$10,SeedMap[],9,0),0))</f>
        <v>2109169</v>
      </c>
      <c r="C71" s="69" t="str">
        <f>RelationTable[[#This Row],[Resource]]&amp;"/"&amp;RelationTable[[#This Row],[Method]]</f>
        <v>OrderItemServiceUser/User</v>
      </c>
      <c r="D71" s="69">
        <f>RelationTable[[#This Row],[No]]</f>
        <v>2109169</v>
      </c>
      <c r="E71" s="63" t="s">
        <v>790</v>
      </c>
      <c r="F71" s="61" t="s">
        <v>1337</v>
      </c>
      <c r="G71" s="69">
        <f>RelationTable[[#This Row],[No]]</f>
        <v>2109169</v>
      </c>
      <c r="H71" s="69">
        <f>IF(RelationTable[[#This Row],[No]]="id","resource",VLOOKUP([Resource],CHOOSE({1,2},ResourceTable[Name],ResourceTable[No]),2,0))</f>
        <v>2106123</v>
      </c>
      <c r="I71" s="69" t="s">
        <v>1011</v>
      </c>
      <c r="J71" s="69" t="s">
        <v>1076</v>
      </c>
      <c r="K71" s="69" t="s">
        <v>74</v>
      </c>
      <c r="L71" s="69" t="s">
        <v>993</v>
      </c>
      <c r="M71" s="74">
        <f>VLOOKUP([Relate Resource],CHOOSE({1,2},ResourceTable[Name],ResourceTable[No]),2,0)</f>
        <v>2106104</v>
      </c>
      <c r="N71" s="75">
        <f>[RELID]</f>
        <v>2109169</v>
      </c>
    </row>
    <row r="72" spans="1:14">
      <c r="A72" s="73" t="str">
        <f>Page&amp;"-"&amp;(COUNTA($E$1:RelationTable[[#This Row],[Resource]])-1)</f>
        <v>Resource Relations-70</v>
      </c>
      <c r="B72" s="67">
        <f>IF(RelationTable[[#This Row],[Resource]]="","id",COUNTA($E$2:RelationTable[[#This Row],[Resource]])+IF(ISNUMBER(VLOOKUP('Table Seed Map'!$A$10,SeedMap[],9,0)),VLOOKUP('Table Seed Map'!$A$10,SeedMap[],9,0),0))</f>
        <v>2109170</v>
      </c>
      <c r="C72" s="69" t="str">
        <f>RelationTable[[#This Row],[Resource]]&amp;"/"&amp;RelationTable[[#This Row],[Method]]</f>
        <v>Receipt/Invoice</v>
      </c>
      <c r="D72" s="69">
        <f>RelationTable[[#This Row],[No]]</f>
        <v>2109170</v>
      </c>
      <c r="E72" s="63" t="s">
        <v>791</v>
      </c>
      <c r="F72" s="63" t="s">
        <v>893</v>
      </c>
      <c r="G72" s="69">
        <f>RelationTable[[#This Row],[No]]</f>
        <v>2109170</v>
      </c>
      <c r="H72" s="69">
        <f>IF(RelationTable[[#This Row],[No]]="id","resource",VLOOKUP([Resource],CHOOSE({1,2},ResourceTable[Name],ResourceTable[No]),2,0))</f>
        <v>2106124</v>
      </c>
      <c r="I72" s="69" t="s">
        <v>1071</v>
      </c>
      <c r="J72" s="69" t="s">
        <v>1077</v>
      </c>
      <c r="K72" s="69" t="s">
        <v>893</v>
      </c>
      <c r="L72" s="69" t="s">
        <v>993</v>
      </c>
      <c r="M72" s="74">
        <f>VLOOKUP([Relate Resource],CHOOSE({1,2},ResourceTable[Name],ResourceTable[No]),2,0)</f>
        <v>2106121</v>
      </c>
      <c r="N72" s="75">
        <f>[RELID]</f>
        <v>2109170</v>
      </c>
    </row>
    <row r="73" spans="1:14">
      <c r="A73" s="73" t="str">
        <f>Page&amp;"-"&amp;(COUNTA($E$1:RelationTable[[#This Row],[Resource]])-1)</f>
        <v>Resource Relations-71</v>
      </c>
      <c r="B73" s="67">
        <f>IF(RelationTable[[#This Row],[Resource]]="","id",COUNTA($E$2:RelationTable[[#This Row],[Resource]])+IF(ISNUMBER(VLOOKUP('Table Seed Map'!$A$10,SeedMap[],9,0)),VLOOKUP('Table Seed Map'!$A$10,SeedMap[],9,0),0))</f>
        <v>2109171</v>
      </c>
      <c r="C73" s="69" t="str">
        <f>RelationTable[[#This Row],[Resource]]&amp;"/"&amp;RelationTable[[#This Row],[Method]]</f>
        <v>Delivery/Order</v>
      </c>
      <c r="D73" s="69">
        <f>RelationTable[[#This Row],[No]]</f>
        <v>2109171</v>
      </c>
      <c r="E73" s="63" t="s">
        <v>912</v>
      </c>
      <c r="F73" s="63" t="s">
        <v>787</v>
      </c>
      <c r="G73" s="69">
        <f>RelationTable[[#This Row],[No]]</f>
        <v>2109171</v>
      </c>
      <c r="H73" s="69">
        <f>IF(RelationTable[[#This Row],[No]]="id","resource",VLOOKUP([Resource],CHOOSE({1,2},ResourceTable[Name],ResourceTable[No]),2,0))</f>
        <v>2106125</v>
      </c>
      <c r="I73" s="69" t="s">
        <v>1004</v>
      </c>
      <c r="J73" s="69" t="s">
        <v>1078</v>
      </c>
      <c r="K73" s="69" t="s">
        <v>787</v>
      </c>
      <c r="L73" s="69" t="s">
        <v>993</v>
      </c>
      <c r="M73" s="74">
        <f>VLOOKUP([Relate Resource],CHOOSE({1,2},ResourceTable[Name],ResourceTable[No]),2,0)</f>
        <v>2106118</v>
      </c>
      <c r="N73" s="75">
        <f>[RELID]</f>
        <v>2109171</v>
      </c>
    </row>
    <row r="74" spans="1:14">
      <c r="A74" s="73" t="str">
        <f>Page&amp;"-"&amp;(COUNTA($E$1:RelationTable[[#This Row],[Resource]])-1)</f>
        <v>Resource Relations-72</v>
      </c>
      <c r="B74" s="67">
        <f>IF(RelationTable[[#This Row],[Resource]]="","id",COUNTA($E$2:RelationTable[[#This Row],[Resource]])+IF(ISNUMBER(VLOOKUP('Table Seed Map'!$A$10,SeedMap[],9,0)),VLOOKUP('Table Seed Map'!$A$10,SeedMap[],9,0),0))</f>
        <v>2109172</v>
      </c>
      <c r="C74" s="69" t="str">
        <f>RelationTable[[#This Row],[Resource]]&amp;"/"&amp;RelationTable[[#This Row],[Method]]</f>
        <v>Delivery/Hub</v>
      </c>
      <c r="D74" s="69">
        <f>RelationTable[[#This Row],[No]]</f>
        <v>2109172</v>
      </c>
      <c r="E74" s="63" t="s">
        <v>912</v>
      </c>
      <c r="F74" s="63" t="s">
        <v>777</v>
      </c>
      <c r="G74" s="69">
        <f>RelationTable[[#This Row],[No]]</f>
        <v>2109172</v>
      </c>
      <c r="H74" s="69">
        <f>IF(RelationTable[[#This Row],[No]]="id","resource",VLOOKUP([Resource],CHOOSE({1,2},ResourceTable[Name],ResourceTable[No]),2,0))</f>
        <v>2106125</v>
      </c>
      <c r="I74" s="69" t="s">
        <v>1013</v>
      </c>
      <c r="J74" s="69" t="s">
        <v>1054</v>
      </c>
      <c r="K74" s="69" t="s">
        <v>777</v>
      </c>
      <c r="L74" s="69" t="s">
        <v>993</v>
      </c>
      <c r="M74" s="74">
        <f>VLOOKUP([Relate Resource],CHOOSE({1,2},ResourceTable[Name],ResourceTable[No]),2,0)</f>
        <v>2106107</v>
      </c>
      <c r="N74" s="75">
        <f>[RELID]</f>
        <v>2109172</v>
      </c>
    </row>
    <row r="75" spans="1:14">
      <c r="A75" s="73" t="str">
        <f>Page&amp;"-"&amp;(COUNTA($E$1:RelationTable[[#This Row],[Resource]])-1)</f>
        <v>Resource Relations-73</v>
      </c>
      <c r="B75" s="67">
        <f>IF(RelationTable[[#This Row],[Resource]]="","id",COUNTA($E$2:RelationTable[[#This Row],[Resource]])+IF(ISNUMBER(VLOOKUP('Table Seed Map'!$A$10,SeedMap[],9,0)),VLOOKUP('Table Seed Map'!$A$10,SeedMap[],9,0),0))</f>
        <v>2109173</v>
      </c>
      <c r="C75" s="69" t="str">
        <f>RelationTable[[#This Row],[Resource]]&amp;"/"&amp;RelationTable[[#This Row],[Method]]</f>
        <v>Delivery/Items</v>
      </c>
      <c r="D75" s="69">
        <f>RelationTable[[#This Row],[No]]</f>
        <v>2109173</v>
      </c>
      <c r="E75" s="63" t="s">
        <v>912</v>
      </c>
      <c r="F75" s="63" t="s">
        <v>1003</v>
      </c>
      <c r="G75" s="69">
        <f>RelationTable[[#This Row],[No]]</f>
        <v>2109173</v>
      </c>
      <c r="H75" s="69">
        <f>IF(RelationTable[[#This Row],[No]]="id","resource",VLOOKUP([Resource],CHOOSE({1,2},ResourceTable[Name],ResourceTable[No]),2,0))</f>
        <v>2106125</v>
      </c>
      <c r="I75" s="69" t="s">
        <v>897</v>
      </c>
      <c r="J75" s="69" t="s">
        <v>1079</v>
      </c>
      <c r="K75" s="69" t="s">
        <v>897</v>
      </c>
      <c r="L75" s="69" t="s">
        <v>941</v>
      </c>
      <c r="M75" s="74">
        <f>VLOOKUP([Relate Resource],CHOOSE({1,2},ResourceTable[Name],ResourceTable[No]),2,0)</f>
        <v>2106126</v>
      </c>
      <c r="N75" s="75">
        <f>[RELID]</f>
        <v>2109173</v>
      </c>
    </row>
    <row r="76" spans="1:14">
      <c r="A76" s="76" t="str">
        <f>Page&amp;"-"&amp;(COUNTA($E$1:RelationTable[[#This Row],[Resource]])-1)</f>
        <v>Resource Relations-74</v>
      </c>
      <c r="B76" s="77">
        <f>IF(RelationTable[[#This Row],[Resource]]="","id",COUNTA($E$2:RelationTable[[#This Row],[Resource]])+IF(ISNUMBER(VLOOKUP('Table Seed Map'!$A$10,SeedMap[],9,0)),VLOOKUP('Table Seed Map'!$A$10,SeedMap[],9,0),0))</f>
        <v>2109174</v>
      </c>
      <c r="C76" s="16" t="str">
        <f>RelationTable[[#This Row],[Resource]]&amp;"/"&amp;RelationTable[[#This Row],[Method]]</f>
        <v>DeliveryItem/Delivery</v>
      </c>
      <c r="D76" s="16">
        <f>RelationTable[[#This Row],[No]]</f>
        <v>2109174</v>
      </c>
      <c r="E76" s="63" t="s">
        <v>1003</v>
      </c>
      <c r="F76" s="9" t="s">
        <v>912</v>
      </c>
      <c r="G76" s="16">
        <f>RelationTable[[#This Row],[No]]</f>
        <v>2109174</v>
      </c>
      <c r="H76" s="16">
        <f>IF(RelationTable[[#This Row],[No]]="id","resource",VLOOKUP([Resource],CHOOSE({1,2},ResourceTable[Name],ResourceTable[No]),2,0))</f>
        <v>2106126</v>
      </c>
      <c r="I76" s="16" t="s">
        <v>1093</v>
      </c>
      <c r="J76" s="16" t="s">
        <v>1094</v>
      </c>
      <c r="K76" s="16" t="s">
        <v>912</v>
      </c>
      <c r="L76" s="16" t="s">
        <v>993</v>
      </c>
      <c r="M76" s="78">
        <f>VLOOKUP([Relate Resource],CHOOSE({1,2},ResourceTable[Name],ResourceTable[No]),2,0)</f>
        <v>2106125</v>
      </c>
      <c r="N76" s="79">
        <f>[RELID]</f>
        <v>2109174</v>
      </c>
    </row>
    <row r="77" spans="1:14">
      <c r="A77" s="76" t="str">
        <f>Page&amp;"-"&amp;(COUNTA($E$1:RelationTable[[#This Row],[Resource]])-1)</f>
        <v>Resource Relations-75</v>
      </c>
      <c r="B77" s="77">
        <f>IF(RelationTable[[#This Row],[Resource]]="","id",COUNTA($E$2:RelationTable[[#This Row],[Resource]])+IF(ISNUMBER(VLOOKUP('Table Seed Map'!$A$10,SeedMap[],9,0)),VLOOKUP('Table Seed Map'!$A$10,SeedMap[],9,0),0))</f>
        <v>2109175</v>
      </c>
      <c r="C77" s="16" t="str">
        <f>RelationTable[[#This Row],[Resource]]&amp;"/"&amp;RelationTable[[#This Row],[Method]]</f>
        <v>DeliveryItem/Item</v>
      </c>
      <c r="D77" s="16">
        <f>RelationTable[[#This Row],[No]]</f>
        <v>2109175</v>
      </c>
      <c r="E77" s="63" t="s">
        <v>1003</v>
      </c>
      <c r="F77" s="9" t="s">
        <v>788</v>
      </c>
      <c r="G77" s="16">
        <f>RelationTable[[#This Row],[No]]</f>
        <v>2109175</v>
      </c>
      <c r="H77" s="16">
        <f>IF(RelationTable[[#This Row],[No]]="id","resource",VLOOKUP([Resource],CHOOSE({1,2},ResourceTable[Name],ResourceTable[No]),2,0))</f>
        <v>2106126</v>
      </c>
      <c r="I77" s="16" t="s">
        <v>1063</v>
      </c>
      <c r="J77" s="16" t="s">
        <v>1095</v>
      </c>
      <c r="K77" s="16" t="s">
        <v>779</v>
      </c>
      <c r="L77" s="16" t="s">
        <v>993</v>
      </c>
      <c r="M77" s="78">
        <f>VLOOKUP([Relate Resource],CHOOSE({1,2},ResourceTable[Name],ResourceTable[No]),2,0)</f>
        <v>2106119</v>
      </c>
      <c r="N77" s="79">
        <f>[RELID]</f>
        <v>2109175</v>
      </c>
    </row>
    <row r="78" spans="1:14">
      <c r="A78" s="76" t="str">
        <f>Page&amp;"-"&amp;(COUNTA($E$1:RelationTable[[#This Row],[Resource]])-1)</f>
        <v>Resource Relations-76</v>
      </c>
      <c r="B78" s="77">
        <f>IF(RelationTable[[#This Row],[Resource]]="","id",COUNTA($E$2:RelationTable[[#This Row],[Resource]])+IF(ISNUMBER(VLOOKUP('Table Seed Map'!$A$10,SeedMap[],9,0)),VLOOKUP('Table Seed Map'!$A$10,SeedMap[],9,0),0))</f>
        <v>2109176</v>
      </c>
      <c r="C78" s="16" t="str">
        <f>RelationTable[[#This Row],[Resource]]&amp;"/"&amp;RelationTable[[#This Row],[Method]]</f>
        <v>DeliveryItem/Shelf</v>
      </c>
      <c r="D78" s="16">
        <f>RelationTable[[#This Row],[No]]</f>
        <v>2109176</v>
      </c>
      <c r="E78" s="63" t="s">
        <v>1003</v>
      </c>
      <c r="F78" s="9" t="s">
        <v>1029</v>
      </c>
      <c r="G78" s="16">
        <f>RelationTable[[#This Row],[No]]</f>
        <v>2109176</v>
      </c>
      <c r="H78" s="16">
        <f>IF(RelationTable[[#This Row],[No]]="id","resource",VLOOKUP([Resource],CHOOSE({1,2},ResourceTable[Name],ResourceTable[No]),2,0))</f>
        <v>2106126</v>
      </c>
      <c r="I78" s="16" t="s">
        <v>1039</v>
      </c>
      <c r="J78" s="16" t="s">
        <v>1096</v>
      </c>
      <c r="K78" s="16" t="s">
        <v>1029</v>
      </c>
      <c r="L78" s="16" t="s">
        <v>993</v>
      </c>
      <c r="M78" s="78">
        <f>VLOOKUP([Relate Resource],CHOOSE({1,2},ResourceTable[Name],ResourceTable[No]),2,0)</f>
        <v>2106113</v>
      </c>
      <c r="N78" s="79">
        <f>[RELID]</f>
        <v>2109176</v>
      </c>
    </row>
    <row r="79" spans="1:14">
      <c r="A79" s="73" t="str">
        <f>Page&amp;"-"&amp;(COUNTA($E$1:RelationTable[[#This Row],[Resource]])-1)</f>
        <v>Resource Relations-77</v>
      </c>
      <c r="B79" s="67">
        <f>IF(RelationTable[[#This Row],[Resource]]="","id",COUNTA($E$2:RelationTable[[#This Row],[Resource]])+IF(ISNUMBER(VLOOKUP('Table Seed Map'!$A$10,SeedMap[],9,0)),VLOOKUP('Table Seed Map'!$A$10,SeedMap[],9,0),0))</f>
        <v>2109177</v>
      </c>
      <c r="C79" s="69" t="str">
        <f>RelationTable[[#This Row],[Resource]]&amp;"/"&amp;RelationTable[[#This Row],[Method]]</f>
        <v>HubShift/Source</v>
      </c>
      <c r="D79" s="69">
        <f>RelationTable[[#This Row],[No]]</f>
        <v>2109177</v>
      </c>
      <c r="E79" s="63" t="s">
        <v>792</v>
      </c>
      <c r="F79" s="63" t="s">
        <v>777</v>
      </c>
      <c r="G79" s="69">
        <f>RelationTable[[#This Row],[No]]</f>
        <v>2109177</v>
      </c>
      <c r="H79" s="69">
        <f>IF(RelationTable[[#This Row],[No]]="id","resource",VLOOKUP([Resource],CHOOSE({1,2},ResourceTable[Name],ResourceTable[No]),2,0))</f>
        <v>2106127</v>
      </c>
      <c r="I79" s="69" t="s">
        <v>1080</v>
      </c>
      <c r="J79" s="69" t="s">
        <v>1085</v>
      </c>
      <c r="K79" s="69" t="s">
        <v>1082</v>
      </c>
      <c r="L79" s="69" t="s">
        <v>993</v>
      </c>
      <c r="M79" s="74">
        <f>VLOOKUP([Relate Resource],CHOOSE({1,2},ResourceTable[Name],ResourceTable[No]),2,0)</f>
        <v>2106107</v>
      </c>
      <c r="N79" s="75">
        <f>[RELID]</f>
        <v>2109177</v>
      </c>
    </row>
    <row r="80" spans="1:14">
      <c r="A80" s="73" t="str">
        <f>Page&amp;"-"&amp;(COUNTA($E$1:RelationTable[[#This Row],[Resource]])-1)</f>
        <v>Resource Relations-78</v>
      </c>
      <c r="B80" s="67">
        <f>IF(RelationTable[[#This Row],[Resource]]="","id",COUNTA($E$2:RelationTable[[#This Row],[Resource]])+IF(ISNUMBER(VLOOKUP('Table Seed Map'!$A$10,SeedMap[],9,0)),VLOOKUP('Table Seed Map'!$A$10,SeedMap[],9,0),0))</f>
        <v>2109178</v>
      </c>
      <c r="C80" s="69" t="str">
        <f>RelationTable[[#This Row],[Resource]]&amp;"/"&amp;RelationTable[[#This Row],[Method]]</f>
        <v>HubShift/Target</v>
      </c>
      <c r="D80" s="69">
        <f>RelationTable[[#This Row],[No]]</f>
        <v>2109178</v>
      </c>
      <c r="E80" s="63" t="s">
        <v>792</v>
      </c>
      <c r="F80" s="63" t="s">
        <v>777</v>
      </c>
      <c r="G80" s="69">
        <f>RelationTable[[#This Row],[No]]</f>
        <v>2109178</v>
      </c>
      <c r="H80" s="69">
        <f>IF(RelationTable[[#This Row],[No]]="id","resource",VLOOKUP([Resource],CHOOSE({1,2},ResourceTable[Name],ResourceTable[No]),2,0))</f>
        <v>2106127</v>
      </c>
      <c r="I80" s="69" t="s">
        <v>1081</v>
      </c>
      <c r="J80" s="69" t="s">
        <v>1084</v>
      </c>
      <c r="K80" s="69" t="s">
        <v>1083</v>
      </c>
      <c r="L80" s="69" t="s">
        <v>993</v>
      </c>
      <c r="M80" s="74">
        <f>VLOOKUP([Relate Resource],CHOOSE({1,2},ResourceTable[Name],ResourceTable[No]),2,0)</f>
        <v>2106107</v>
      </c>
      <c r="N80" s="75">
        <f>[RELID]</f>
        <v>2109178</v>
      </c>
    </row>
    <row r="81" spans="1:14">
      <c r="A81" s="73" t="str">
        <f>Page&amp;"-"&amp;(COUNTA($E$1:RelationTable[[#This Row],[Resource]])-1)</f>
        <v>Resource Relations-79</v>
      </c>
      <c r="B81" s="67">
        <f>IF(RelationTable[[#This Row],[Resource]]="","id",COUNTA($E$2:RelationTable[[#This Row],[Resource]])+IF(ISNUMBER(VLOOKUP('Table Seed Map'!$A$10,SeedMap[],9,0)),VLOOKUP('Table Seed Map'!$A$10,SeedMap[],9,0),0))</f>
        <v>2109179</v>
      </c>
      <c r="C81" s="69" t="str">
        <f>RelationTable[[#This Row],[Resource]]&amp;"/"&amp;RelationTable[[#This Row],[Method]]</f>
        <v>HubShift/Items</v>
      </c>
      <c r="D81" s="69">
        <f>RelationTable[[#This Row],[No]]</f>
        <v>2109179</v>
      </c>
      <c r="E81" s="63" t="s">
        <v>792</v>
      </c>
      <c r="F81" s="63" t="s">
        <v>793</v>
      </c>
      <c r="G81" s="69">
        <f>RelationTable[[#This Row],[No]]</f>
        <v>2109179</v>
      </c>
      <c r="H81" s="69">
        <f>IF(RelationTable[[#This Row],[No]]="id","resource",VLOOKUP([Resource],CHOOSE({1,2},ResourceTable[Name],ResourceTable[No]),2,0))</f>
        <v>2106127</v>
      </c>
      <c r="I81" s="69" t="s">
        <v>779</v>
      </c>
      <c r="J81" s="69" t="s">
        <v>1086</v>
      </c>
      <c r="K81" s="69" t="s">
        <v>897</v>
      </c>
      <c r="L81" s="69" t="s">
        <v>941</v>
      </c>
      <c r="M81" s="74">
        <f>VLOOKUP([Relate Resource],CHOOSE({1,2},ResourceTable[Name],ResourceTable[No]),2,0)</f>
        <v>2106128</v>
      </c>
      <c r="N81" s="75">
        <f>[RELID]</f>
        <v>2109179</v>
      </c>
    </row>
    <row r="82" spans="1:14">
      <c r="A82" s="73" t="str">
        <f>Page&amp;"-"&amp;(COUNTA($E$1:RelationTable[[#This Row],[Resource]])-1)</f>
        <v>Resource Relations-80</v>
      </c>
      <c r="B82" s="67">
        <f>IF(RelationTable[[#This Row],[Resource]]="","id",COUNTA($E$2:RelationTable[[#This Row],[Resource]])+IF(ISNUMBER(VLOOKUP('Table Seed Map'!$A$10,SeedMap[],9,0)),VLOOKUP('Table Seed Map'!$A$10,SeedMap[],9,0),0))</f>
        <v>2109180</v>
      </c>
      <c r="C82" s="69" t="str">
        <f>RelationTable[[#This Row],[Resource]]&amp;"/"&amp;RelationTable[[#This Row],[Method]]</f>
        <v>HubShiftItem/Shift</v>
      </c>
      <c r="D82" s="69">
        <f>RelationTable[[#This Row],[No]]</f>
        <v>2109180</v>
      </c>
      <c r="E82" s="63" t="s">
        <v>793</v>
      </c>
      <c r="F82" s="63" t="s">
        <v>792</v>
      </c>
      <c r="G82" s="69">
        <f>RelationTable[[#This Row],[No]]</f>
        <v>2109180</v>
      </c>
      <c r="H82" s="69">
        <f>IF(RelationTable[[#This Row],[No]]="id","resource",VLOOKUP([Resource],CHOOSE({1,2},ResourceTable[Name],ResourceTable[No]),2,0))</f>
        <v>2106128</v>
      </c>
      <c r="I82" s="69" t="s">
        <v>792</v>
      </c>
      <c r="J82" s="69" t="s">
        <v>1087</v>
      </c>
      <c r="K82" s="69" t="s">
        <v>1088</v>
      </c>
      <c r="L82" s="69" t="s">
        <v>993</v>
      </c>
      <c r="M82" s="74">
        <f>VLOOKUP([Relate Resource],CHOOSE({1,2},ResourceTable[Name],ResourceTable[No]),2,0)</f>
        <v>2106127</v>
      </c>
      <c r="N82" s="75">
        <f>[RELID]</f>
        <v>2109180</v>
      </c>
    </row>
    <row r="83" spans="1:14">
      <c r="A83" s="73" t="str">
        <f>Page&amp;"-"&amp;(COUNTA($E$1:RelationTable[[#This Row],[Resource]])-1)</f>
        <v>Resource Relations-81</v>
      </c>
      <c r="B83" s="67">
        <f>IF(RelationTable[[#This Row],[Resource]]="","id",COUNTA($E$2:RelationTable[[#This Row],[Resource]])+IF(ISNUMBER(VLOOKUP('Table Seed Map'!$A$10,SeedMap[],9,0)),VLOOKUP('Table Seed Map'!$A$10,SeedMap[],9,0),0))</f>
        <v>2109181</v>
      </c>
      <c r="C83" s="69" t="str">
        <f>RelationTable[[#This Row],[Resource]]&amp;"/"&amp;RelationTable[[#This Row],[Method]]</f>
        <v>HubShiftItem/Item</v>
      </c>
      <c r="D83" s="69">
        <f>RelationTable[[#This Row],[No]]</f>
        <v>2109181</v>
      </c>
      <c r="E83" s="63" t="s">
        <v>793</v>
      </c>
      <c r="F83" s="63" t="s">
        <v>788</v>
      </c>
      <c r="G83" s="69">
        <f>RelationTable[[#This Row],[No]]</f>
        <v>2109181</v>
      </c>
      <c r="H83" s="69">
        <f>IF(RelationTable[[#This Row],[No]]="id","resource",VLOOKUP([Resource],CHOOSE({1,2},ResourceTable[Name],ResourceTable[No]),2,0))</f>
        <v>2106128</v>
      </c>
      <c r="I83" s="69" t="s">
        <v>1089</v>
      </c>
      <c r="J83" s="69" t="s">
        <v>1064</v>
      </c>
      <c r="K83" s="69" t="s">
        <v>779</v>
      </c>
      <c r="L83" s="69" t="s">
        <v>993</v>
      </c>
      <c r="M83" s="74">
        <f>VLOOKUP([Relate Resource],CHOOSE({1,2},ResourceTable[Name],ResourceTable[No]),2,0)</f>
        <v>2106119</v>
      </c>
      <c r="N83" s="75">
        <f>[RELID]</f>
        <v>2109181</v>
      </c>
    </row>
    <row r="84" spans="1:14">
      <c r="A84" s="76" t="str">
        <f>Page&amp;"-"&amp;(COUNTA($E$1:RelationTable[[#This Row],[Resource]])-1)</f>
        <v>Resource Relations-82</v>
      </c>
      <c r="B84" s="77">
        <f>IF(RelationTable[[#This Row],[Resource]]="","id",COUNTA($E$2:RelationTable[[#This Row],[Resource]])+IF(ISNUMBER(VLOOKUP('Table Seed Map'!$A$10,SeedMap[],9,0)),VLOOKUP('Table Seed Map'!$A$10,SeedMap[],9,0),0))</f>
        <v>2109182</v>
      </c>
      <c r="C84" s="16" t="str">
        <f>RelationTable[[#This Row],[Resource]]&amp;"/"&amp;RelationTable[[#This Row],[Method]]</f>
        <v>Customer/Orders</v>
      </c>
      <c r="D84" s="16">
        <f>RelationTable[[#This Row],[No]]</f>
        <v>2109182</v>
      </c>
      <c r="E84" s="63" t="s">
        <v>785</v>
      </c>
      <c r="F84" s="9" t="s">
        <v>787</v>
      </c>
      <c r="G84" s="16">
        <f>RelationTable[[#This Row],[No]]</f>
        <v>2109182</v>
      </c>
      <c r="H84" s="16">
        <f>IF(RelationTable[[#This Row],[No]]="id","resource",VLOOKUP([Resource],CHOOSE({1,2},ResourceTable[Name],ResourceTable[No]),2,0))</f>
        <v>2106105</v>
      </c>
      <c r="I84" s="16" t="s">
        <v>1100</v>
      </c>
      <c r="J84" s="16" t="s">
        <v>1103</v>
      </c>
      <c r="K84" s="16" t="s">
        <v>905</v>
      </c>
      <c r="L84" s="16" t="s">
        <v>941</v>
      </c>
      <c r="M84" s="78">
        <f>VLOOKUP([Relate Resource],CHOOSE({1,2},ResourceTable[Name],ResourceTable[No]),2,0)</f>
        <v>2106118</v>
      </c>
      <c r="N84" s="79">
        <f>[RELID]</f>
        <v>2109182</v>
      </c>
    </row>
    <row r="85" spans="1:14">
      <c r="A85" s="76" t="str">
        <f>Page&amp;"-"&amp;(COUNTA($E$1:RelationTable[[#This Row],[Resource]])-1)</f>
        <v>Resource Relations-83</v>
      </c>
      <c r="B85" s="77">
        <f>IF(RelationTable[[#This Row],[Resource]]="","id",COUNTA($E$2:RelationTable[[#This Row],[Resource]])+IF(ISNUMBER(VLOOKUP('Table Seed Map'!$A$10,SeedMap[],9,0)),VLOOKUP('Table Seed Map'!$A$10,SeedMap[],9,0),0))</f>
        <v>2109183</v>
      </c>
      <c r="C85" s="16" t="str">
        <f>RelationTable[[#This Row],[Resource]]&amp;"/"&amp;RelationTable[[#This Row],[Method]]</f>
        <v>Customer/Invoices</v>
      </c>
      <c r="D85" s="16">
        <f>RelationTable[[#This Row],[No]]</f>
        <v>2109183</v>
      </c>
      <c r="E85" s="63" t="s">
        <v>785</v>
      </c>
      <c r="F85" s="9" t="s">
        <v>893</v>
      </c>
      <c r="G85" s="16">
        <f>RelationTable[[#This Row],[No]]</f>
        <v>2109183</v>
      </c>
      <c r="H85" s="16">
        <f>IF(RelationTable[[#This Row],[No]]="id","resource",VLOOKUP([Resource],CHOOSE({1,2},ResourceTable[Name],ResourceTable[No]),2,0))</f>
        <v>2106105</v>
      </c>
      <c r="I85" s="16" t="s">
        <v>1101</v>
      </c>
      <c r="J85" s="16" t="s">
        <v>1104</v>
      </c>
      <c r="K85" s="16" t="s">
        <v>908</v>
      </c>
      <c r="L85" s="16" t="s">
        <v>941</v>
      </c>
      <c r="M85" s="78">
        <f>VLOOKUP([Relate Resource],CHOOSE({1,2},ResourceTable[Name],ResourceTable[No]),2,0)</f>
        <v>2106121</v>
      </c>
      <c r="N85" s="79">
        <f>[RELID]</f>
        <v>2109183</v>
      </c>
    </row>
    <row r="86" spans="1:14">
      <c r="A86" s="76" t="str">
        <f>Page&amp;"-"&amp;(COUNTA($E$1:RelationTable[[#This Row],[Resource]])-1)</f>
        <v>Resource Relations-84</v>
      </c>
      <c r="B86" s="77">
        <f>IF(RelationTable[[#This Row],[Resource]]="","id",COUNTA($E$2:RelationTable[[#This Row],[Resource]])+IF(ISNUMBER(VLOOKUP('Table Seed Map'!$A$10,SeedMap[],9,0)),VLOOKUP('Table Seed Map'!$A$10,SeedMap[],9,0),0))</f>
        <v>2109184</v>
      </c>
      <c r="C86" s="16" t="str">
        <f>RelationTable[[#This Row],[Resource]]&amp;"/"&amp;RelationTable[[#This Row],[Method]]</f>
        <v>Customer/Receipts</v>
      </c>
      <c r="D86" s="16">
        <f>RelationTable[[#This Row],[No]]</f>
        <v>2109184</v>
      </c>
      <c r="E86" s="63" t="s">
        <v>785</v>
      </c>
      <c r="F86" s="9" t="s">
        <v>791</v>
      </c>
      <c r="G86" s="16">
        <f>RelationTable[[#This Row],[No]]</f>
        <v>2109184</v>
      </c>
      <c r="H86" s="16">
        <f>IF(RelationTable[[#This Row],[No]]="id","resource",VLOOKUP([Resource],CHOOSE({1,2},ResourceTable[Name],ResourceTable[No]),2,0))</f>
        <v>2106105</v>
      </c>
      <c r="I86" s="16" t="s">
        <v>1102</v>
      </c>
      <c r="J86" s="16" t="s">
        <v>1105</v>
      </c>
      <c r="K86" s="16" t="s">
        <v>911</v>
      </c>
      <c r="L86" s="16" t="s">
        <v>951</v>
      </c>
      <c r="M86" s="78">
        <f>VLOOKUP([Relate Resource],CHOOSE({1,2},ResourceTable[Name],ResourceTable[No]),2,0)</f>
        <v>2106124</v>
      </c>
      <c r="N86" s="79">
        <f>[RELID]</f>
        <v>2109184</v>
      </c>
    </row>
    <row r="87" spans="1:14">
      <c r="A87" s="73" t="str">
        <f>Page&amp;"-"&amp;(COUNTA($E$1:RelationTable[[#This Row],[Resource]])-1)</f>
        <v>Resource Relations-85</v>
      </c>
      <c r="B87" s="67">
        <f>IF(RelationTable[[#This Row],[Resource]]="","id",COUNTA($E$2:RelationTable[[#This Row],[Resource]])+IF(ISNUMBER(VLOOKUP('Table Seed Map'!$A$10,SeedMap[],9,0)),VLOOKUP('Table Seed Map'!$A$10,SeedMap[],9,0),0))</f>
        <v>2109185</v>
      </c>
      <c r="C87" s="69" t="str">
        <f>RelationTable[[#This Row],[Resource]]&amp;"/"&amp;RelationTable[[#This Row],[Method]]</f>
        <v>Customer/Detail</v>
      </c>
      <c r="D87" s="69">
        <f>RelationTable[[#This Row],[No]]</f>
        <v>2109185</v>
      </c>
      <c r="E87" s="63" t="s">
        <v>785</v>
      </c>
      <c r="F87" s="63" t="s">
        <v>998</v>
      </c>
      <c r="G87" s="69">
        <f>RelationTable[[#This Row],[No]]</f>
        <v>2109185</v>
      </c>
      <c r="H87" s="69">
        <f>IF(RelationTable[[#This Row],[No]]="id","resource",VLOOKUP([Resource],CHOOSE({1,2},ResourceTable[Name],ResourceTable[No]),2,0))</f>
        <v>2106105</v>
      </c>
      <c r="I87" s="69" t="s">
        <v>998</v>
      </c>
      <c r="J87" s="69" t="s">
        <v>1151</v>
      </c>
      <c r="K87" s="69" t="s">
        <v>98</v>
      </c>
      <c r="L87" s="69" t="s">
        <v>942</v>
      </c>
      <c r="M87" s="74">
        <f>VLOOKUP([Relate Resource],CHOOSE({1,2},ResourceTable[Name],ResourceTable[No]),2,0)</f>
        <v>2106106</v>
      </c>
      <c r="N87" s="75">
        <f>[RELID]</f>
        <v>2109185</v>
      </c>
    </row>
    <row r="88" spans="1:14">
      <c r="A88" s="73" t="str">
        <f>Page&amp;"-"&amp;(COUNTA($E$1:RelationTable[[#This Row],[Resource]])-1)</f>
        <v>Resource Relations-86</v>
      </c>
      <c r="B88" s="67">
        <f>IF(RelationTable[[#This Row],[Resource]]="","id",COUNTA($E$2:RelationTable[[#This Row],[Resource]])+IF(ISNUMBER(VLOOKUP('Table Seed Map'!$A$10,SeedMap[],9,0)),VLOOKUP('Table Seed Map'!$A$10,SeedMap[],9,0),0))</f>
        <v>2109186</v>
      </c>
      <c r="C88" s="69" t="str">
        <f>RelationTable[[#This Row],[Resource]]&amp;"/"&amp;RelationTable[[#This Row],[Method]]</f>
        <v>Customer/Groups</v>
      </c>
      <c r="D88" s="69">
        <f>RelationTable[[#This Row],[No]]</f>
        <v>2109186</v>
      </c>
      <c r="E88" s="63" t="s">
        <v>785</v>
      </c>
      <c r="F88" s="63" t="s">
        <v>96</v>
      </c>
      <c r="G88" s="69">
        <f>RelationTable[[#This Row],[No]]</f>
        <v>2109186</v>
      </c>
      <c r="H88" s="69">
        <f>IF(RelationTable[[#This Row],[No]]="id","resource",VLOOKUP([Resource],CHOOSE({1,2},ResourceTable[Name],ResourceTable[No]),2,0))</f>
        <v>2106105</v>
      </c>
      <c r="I88" s="69" t="s">
        <v>1176</v>
      </c>
      <c r="J88" s="69" t="s">
        <v>1177</v>
      </c>
      <c r="K88" s="69" t="s">
        <v>76</v>
      </c>
      <c r="L88" s="69" t="s">
        <v>977</v>
      </c>
      <c r="M88" s="74">
        <f>VLOOKUP([Relate Resource],CHOOSE({1,2},ResourceTable[Name],ResourceTable[No]),2,0)</f>
        <v>2106101</v>
      </c>
      <c r="N88" s="75">
        <f>[RELID]</f>
        <v>2109186</v>
      </c>
    </row>
    <row r="89" spans="1:14">
      <c r="A89" s="73" t="str">
        <f>Page&amp;"-"&amp;(COUNTA($E$1:RelationTable[[#This Row],[Resource]])-1)</f>
        <v>Resource Relations-87</v>
      </c>
      <c r="B89" s="67">
        <f>IF(RelationTable[[#This Row],[Resource]]="","id",COUNTA($E$2:RelationTable[[#This Row],[Resource]])+IF(ISNUMBER(VLOOKUP('Table Seed Map'!$A$10,SeedMap[],9,0)),VLOOKUP('Table Seed Map'!$A$10,SeedMap[],9,0),0))</f>
        <v>2109187</v>
      </c>
      <c r="C89" s="69" t="str">
        <f>RelationTable[[#This Row],[Resource]]&amp;"/"&amp;RelationTable[[#This Row],[Method]]</f>
        <v>Employee/GroupsDisplayable</v>
      </c>
      <c r="D89" s="69">
        <f>RelationTable[[#This Row],[No]]</f>
        <v>2109187</v>
      </c>
      <c r="E89" s="63" t="s">
        <v>1337</v>
      </c>
      <c r="F89" s="63" t="s">
        <v>96</v>
      </c>
      <c r="G89" s="69">
        <f>RelationTable[[#This Row],[No]]</f>
        <v>2109187</v>
      </c>
      <c r="H89" s="69">
        <f>IF(RelationTable[[#This Row],[No]]="id","resource",VLOOKUP([Resource],CHOOSE({1,2},ResourceTable[Name],ResourceTable[No]),2,0))</f>
        <v>2106104</v>
      </c>
      <c r="I89" s="69" t="s">
        <v>1495</v>
      </c>
      <c r="J89" s="69" t="s">
        <v>1496</v>
      </c>
      <c r="K89" s="69" t="s">
        <v>1497</v>
      </c>
      <c r="L89" s="69" t="s">
        <v>977</v>
      </c>
      <c r="M89" s="74">
        <f>VLOOKUP([Relate Resource],CHOOSE({1,2},ResourceTable[Name],ResourceTable[No]),2,0)</f>
        <v>2106101</v>
      </c>
      <c r="N89" s="75">
        <f>[RELID]</f>
        <v>2109187</v>
      </c>
    </row>
    <row r="90" spans="1:14">
      <c r="A90" s="73" t="str">
        <f>Page&amp;"-"&amp;(COUNTA($E$1:RelationTable[[#This Row],[Resource]])-1)</f>
        <v>Resource Relations-88</v>
      </c>
      <c r="B90" s="67">
        <f>IF(RelationTable[[#This Row],[Resource]]="","id",COUNTA($E$2:RelationTable[[#This Row],[Resource]])+IF(ISNUMBER(VLOOKUP('Table Seed Map'!$A$10,SeedMap[],9,0)),VLOOKUP('Table Seed Map'!$A$10,SeedMap[],9,0),0))</f>
        <v>2109188</v>
      </c>
      <c r="C90" s="69" t="str">
        <f>RelationTable[[#This Row],[Resource]]&amp;"/"&amp;RelationTable[[#This Row],[Method]]</f>
        <v>OrderItem/Services</v>
      </c>
      <c r="D90" s="69">
        <f>RelationTable[[#This Row],[No]]</f>
        <v>2109188</v>
      </c>
      <c r="E90" s="63" t="s">
        <v>788</v>
      </c>
      <c r="F90" s="63" t="s">
        <v>778</v>
      </c>
      <c r="G90" s="69">
        <f>RelationTable[[#This Row],[No]]</f>
        <v>2109188</v>
      </c>
      <c r="H90" s="69">
        <f>IF(RelationTable[[#This Row],[No]]="id","resource",VLOOKUP([Resource],CHOOSE({1,2},ResourceTable[Name],ResourceTable[No]),2,0))</f>
        <v>2106119</v>
      </c>
      <c r="I90" s="69" t="s">
        <v>983</v>
      </c>
      <c r="J90" s="69" t="s">
        <v>1061</v>
      </c>
      <c r="K90" s="69" t="s">
        <v>896</v>
      </c>
      <c r="L90" s="69" t="s">
        <v>977</v>
      </c>
      <c r="M90" s="74">
        <f>VLOOKUP([Relate Resource],CHOOSE({1,2},ResourceTable[Name],ResourceTable[No]),2,0)</f>
        <v>2106108</v>
      </c>
      <c r="N90" s="75">
        <f>[RELID]</f>
        <v>2109188</v>
      </c>
    </row>
    <row r="91" spans="1:14">
      <c r="A91" s="73" t="str">
        <f>Page&amp;"-"&amp;(COUNTA($E$1:RelationTable[[#This Row],[Resource]])-1)</f>
        <v>Resource Relations-89</v>
      </c>
      <c r="B91" s="67">
        <f>IF(RelationTable[[#This Row],[Resource]]="","id",COUNTA($E$2:RelationTable[[#This Row],[Resource]])+IF(ISNUMBER(VLOOKUP('Table Seed Map'!$A$10,SeedMap[],9,0)),VLOOKUP('Table Seed Map'!$A$10,SeedMap[],9,0),0))</f>
        <v>2109189</v>
      </c>
      <c r="C91" s="69" t="str">
        <f>RelationTable[[#This Row],[Resource]]&amp;"/"&amp;RelationTable[[#This Row],[Method]]</f>
        <v>OrderItemService/Users</v>
      </c>
      <c r="D91" s="69">
        <f>RelationTable[[#This Row],[No]]</f>
        <v>2109189</v>
      </c>
      <c r="E91" s="63" t="s">
        <v>789</v>
      </c>
      <c r="F91" s="63" t="s">
        <v>1337</v>
      </c>
      <c r="G91" s="69">
        <f>RelationTable[[#This Row],[No]]</f>
        <v>2109189</v>
      </c>
      <c r="H91" s="69">
        <f>IF(RelationTable[[#This Row],[No]]="id","resource",VLOOKUP([Resource],CHOOSE({1,2},ResourceTable[Name],ResourceTable[No]),2,0))</f>
        <v>2106120</v>
      </c>
      <c r="I91" s="69" t="s">
        <v>78</v>
      </c>
      <c r="J91" s="69" t="s">
        <v>1648</v>
      </c>
      <c r="K91" s="69" t="s">
        <v>78</v>
      </c>
      <c r="L91" s="69" t="s">
        <v>977</v>
      </c>
      <c r="M91" s="74">
        <f>VLOOKUP([Relate Resource],CHOOSE({1,2},ResourceTable[Name],ResourceTable[No]),2,0)</f>
        <v>2106104</v>
      </c>
      <c r="N91" s="75">
        <f>[RELID]</f>
        <v>2109189</v>
      </c>
    </row>
    <row r="92" spans="1:14">
      <c r="A92" s="73" t="str">
        <f>Page&amp;"-"&amp;(COUNTA($E$1:RelationTable[[#This Row],[Resource]])-1)</f>
        <v>Resource Relations-90</v>
      </c>
      <c r="B92" s="67">
        <f>IF(RelationTable[[#This Row],[Resource]]="","id",COUNTA($E$2:RelationTable[[#This Row],[Resource]])+IF(ISNUMBER(VLOOKUP('Table Seed Map'!$A$10,SeedMap[],9,0)),VLOOKUP('Table Seed Map'!$A$10,SeedMap[],9,0),0))</f>
        <v>2109190</v>
      </c>
      <c r="C92" s="69" t="str">
        <f>RelationTable[[#This Row],[Resource]]&amp;"/"&amp;RelationTable[[#This Row],[Method]]</f>
        <v>OrderItemServiceUser/AssignedBy</v>
      </c>
      <c r="D92" s="69">
        <f>RelationTable[[#This Row],[No]]</f>
        <v>2109190</v>
      </c>
      <c r="E92" s="63" t="s">
        <v>790</v>
      </c>
      <c r="F92" s="63" t="s">
        <v>74</v>
      </c>
      <c r="G92" s="69">
        <f>RelationTable[[#This Row],[No]]</f>
        <v>2109190</v>
      </c>
      <c r="H92" s="69">
        <f>IF(RelationTable[[#This Row],[No]]="id","resource",VLOOKUP([Resource],CHOOSE({1,2},ResourceTable[Name],ResourceTable[No]),2,0))</f>
        <v>2106123</v>
      </c>
      <c r="I92" s="69" t="s">
        <v>1663</v>
      </c>
      <c r="J92" s="69" t="s">
        <v>1664</v>
      </c>
      <c r="K92" s="69" t="s">
        <v>1663</v>
      </c>
      <c r="L92" s="69" t="s">
        <v>993</v>
      </c>
      <c r="M92" s="74">
        <f>VLOOKUP([Relate Resource],CHOOSE({1,2},ResourceTable[Name],ResourceTable[No]),2,0)</f>
        <v>2106102</v>
      </c>
      <c r="N92" s="75">
        <f>[RELID]</f>
        <v>2109190</v>
      </c>
    </row>
    <row r="93" spans="1:14">
      <c r="A93" s="73" t="str">
        <f>Page&amp;"-"&amp;(COUNTA($E$1:RelationTable[[#This Row],[Resource]])-1)</f>
        <v>Resource Relations-91</v>
      </c>
      <c r="B93" s="67">
        <f>IF(RelationTable[[#This Row],[Resource]]="","id",COUNTA($E$2:RelationTable[[#This Row],[Resource]])+IF(ISNUMBER(VLOOKUP('Table Seed Map'!$A$10,SeedMap[],9,0)),VLOOKUP('Table Seed Map'!$A$10,SeedMap[],9,0),0))</f>
        <v>2109191</v>
      </c>
      <c r="C93" s="69" t="str">
        <f>RelationTable[[#This Row],[Resource]]&amp;"/"&amp;RelationTable[[#This Row],[Method]]</f>
        <v>Item/Services</v>
      </c>
      <c r="D93" s="69">
        <f>RelationTable[[#This Row],[No]]</f>
        <v>2109191</v>
      </c>
      <c r="E93" s="63" t="s">
        <v>779</v>
      </c>
      <c r="F93" s="63" t="s">
        <v>778</v>
      </c>
      <c r="G93" s="69">
        <f>RelationTable[[#This Row],[No]]</f>
        <v>2109191</v>
      </c>
      <c r="H93" s="69">
        <f>IF(RelationTable[[#This Row],[No]]="id","resource",VLOOKUP([Resource],CHOOSE({1,2},ResourceTable[Name],ResourceTable[No]),2,0))</f>
        <v>2106109</v>
      </c>
      <c r="I93" s="69" t="s">
        <v>1684</v>
      </c>
      <c r="J93" s="69" t="s">
        <v>1685</v>
      </c>
      <c r="K93" s="69" t="s">
        <v>896</v>
      </c>
      <c r="L93" s="69" t="s">
        <v>977</v>
      </c>
      <c r="M93" s="74">
        <f>VLOOKUP([Relate Resource],CHOOSE({1,2},ResourceTable[Name],ResourceTable[No]),2,0)</f>
        <v>2106108</v>
      </c>
      <c r="N93" s="75">
        <f>[RELID]</f>
        <v>2109191</v>
      </c>
    </row>
    <row r="94" spans="1:14">
      <c r="A94" s="73" t="str">
        <f>Page&amp;"-"&amp;(COUNTA($E$1:RelationTable[[#This Row],[Resource]])-1)</f>
        <v>Resource Relations-92</v>
      </c>
      <c r="B94" s="67">
        <f>IF(RelationTable[[#This Row],[Resource]]="","id",COUNTA($E$2:RelationTable[[#This Row],[Resource]])+IF(ISNUMBER(VLOOKUP('Table Seed Map'!$A$10,SeedMap[],9,0)),VLOOKUP('Table Seed Map'!$A$10,SeedMap[],9,0),0))</f>
        <v>2109192</v>
      </c>
      <c r="C94" s="69" t="str">
        <f>RelationTable[[#This Row],[Resource]]&amp;"/"&amp;RelationTable[[#This Row],[Method]]</f>
        <v>IdentityLabel/Hub</v>
      </c>
      <c r="D94" s="69">
        <f>RelationTable[[#This Row],[No]]</f>
        <v>2109192</v>
      </c>
      <c r="E94" s="63" t="s">
        <v>786</v>
      </c>
      <c r="F94" s="63" t="s">
        <v>777</v>
      </c>
      <c r="G94" s="69">
        <f>RelationTable[[#This Row],[No]]</f>
        <v>2109192</v>
      </c>
      <c r="H94" s="69">
        <f>IF(RelationTable[[#This Row],[No]]="id","resource",VLOOKUP([Resource],CHOOSE({1,2},ResourceTable[Name],ResourceTable[No]),2,0))</f>
        <v>2106117</v>
      </c>
      <c r="I94" s="69" t="s">
        <v>1771</v>
      </c>
      <c r="J94" s="69" t="s">
        <v>1772</v>
      </c>
      <c r="K94" s="69" t="s">
        <v>777</v>
      </c>
      <c r="L94" s="69" t="s">
        <v>993</v>
      </c>
      <c r="M94" s="74">
        <f>VLOOKUP([Relate Resource],CHOOSE({1,2},ResourceTable[Name],ResourceTable[No]),2,0)</f>
        <v>2106107</v>
      </c>
      <c r="N94" s="75">
        <f>[RELID]</f>
        <v>2109192</v>
      </c>
    </row>
    <row r="95" spans="1:14">
      <c r="A95" s="73" t="str">
        <f>Page&amp;"-"&amp;(COUNTA($E$1:RelationTable[[#This Row],[Resource]])-1)</f>
        <v>Resource Relations-93</v>
      </c>
      <c r="B95" s="67">
        <f>IF(RelationTable[[#This Row],[Resource]]="","id",COUNTA($E$2:RelationTable[[#This Row],[Resource]])+IF(ISNUMBER(VLOOKUP('Table Seed Map'!$A$10,SeedMap[],9,0)),VLOOKUP('Table Seed Map'!$A$10,SeedMap[],9,0),0))</f>
        <v>2109193</v>
      </c>
      <c r="C95" s="69" t="str">
        <f>RelationTable[[#This Row],[Resource]]&amp;"/"&amp;RelationTable[[#This Row],[Method]]</f>
        <v>Order/Pricelist</v>
      </c>
      <c r="D95" s="69">
        <f>RelationTable[[#This Row],[No]]</f>
        <v>2109193</v>
      </c>
      <c r="E95" s="63" t="s">
        <v>787</v>
      </c>
      <c r="F95" s="63" t="s">
        <v>783</v>
      </c>
      <c r="G95" s="69">
        <f>RelationTable[[#This Row],[No]]</f>
        <v>2109193</v>
      </c>
      <c r="H95" s="69">
        <f>IF(RelationTable[[#This Row],[No]]="id","resource",VLOOKUP([Resource],CHOOSE({1,2},ResourceTable[Name],ResourceTable[No]),2,0))</f>
        <v>2106118</v>
      </c>
      <c r="I95" s="69" t="s">
        <v>1784</v>
      </c>
      <c r="J95" s="69" t="s">
        <v>1785</v>
      </c>
      <c r="K95" s="69" t="s">
        <v>783</v>
      </c>
      <c r="L95" s="69" t="s">
        <v>993</v>
      </c>
      <c r="M95" s="74">
        <f>VLOOKUP([Relate Resource],CHOOSE({1,2},ResourceTable[Name],ResourceTable[No]),2,0)</f>
        <v>2106115</v>
      </c>
      <c r="N95" s="75">
        <f>[RELID]</f>
        <v>2109193</v>
      </c>
    </row>
    <row r="96" spans="1:14">
      <c r="A96" s="73" t="str">
        <f>Page&amp;"-"&amp;(COUNTA($E$1:RelationTable[[#This Row],[Resource]])-1)</f>
        <v>Resource Relations-94</v>
      </c>
      <c r="B96" s="67">
        <f>IF(RelationTable[[#This Row],[Resource]]="","id",COUNTA($E$2:RelationTable[[#This Row],[Resource]])+IF(ISNUMBER(VLOOKUP('Table Seed Map'!$A$10,SeedMap[],9,0)),VLOOKUP('Table Seed Map'!$A$10,SeedMap[],9,0),0))</f>
        <v>2109194</v>
      </c>
      <c r="C96" s="69" t="str">
        <f>RelationTable[[#This Row],[Resource]]&amp;"/"&amp;RelationTable[[#This Row],[Method]]</f>
        <v>OrderItem/Hub</v>
      </c>
      <c r="D96" s="69">
        <f>RelationTable[[#This Row],[No]]</f>
        <v>2109194</v>
      </c>
      <c r="E96" s="63" t="s">
        <v>788</v>
      </c>
      <c r="F96" s="63" t="s">
        <v>777</v>
      </c>
      <c r="G96" s="69">
        <f>RelationTable[[#This Row],[No]]</f>
        <v>2109194</v>
      </c>
      <c r="H96" s="69">
        <f>IF(RelationTable[[#This Row],[No]]="id","resource",VLOOKUP([Resource],CHOOSE({1,2},ResourceTable[Name],ResourceTable[No]),2,0))</f>
        <v>2106119</v>
      </c>
      <c r="I96" s="69" t="s">
        <v>1844</v>
      </c>
      <c r="J96" s="69" t="s">
        <v>1845</v>
      </c>
      <c r="K96" s="69" t="s">
        <v>777</v>
      </c>
      <c r="L96" s="69" t="s">
        <v>993</v>
      </c>
      <c r="M96" s="74">
        <f>VLOOKUP([Relate Resource],CHOOSE({1,2},ResourceTable[Name],ResourceTable[No]),2,0)</f>
        <v>2106107</v>
      </c>
      <c r="N96" s="75">
        <f>[RELID]</f>
        <v>2109194</v>
      </c>
    </row>
    <row r="97" spans="1:14">
      <c r="A97" s="73" t="str">
        <f>Page&amp;"-"&amp;(COUNTA($E$1:RelationTable[[#This Row],[Resource]])-1)</f>
        <v>Resource Relations-95</v>
      </c>
      <c r="B97" s="67">
        <f>IF(RelationTable[[#This Row],[Resource]]="","id",COUNTA($E$2:RelationTable[[#This Row],[Resource]])+IF(ISNUMBER(VLOOKUP('Table Seed Map'!$A$10,SeedMap[],9,0)),VLOOKUP('Table Seed Map'!$A$10,SeedMap[],9,0),0))</f>
        <v>2109195</v>
      </c>
      <c r="C97" s="69" t="str">
        <f>RelationTable[[#This Row],[Resource]]&amp;"/"&amp;RelationTable[[#This Row],[Method]]</f>
        <v>Hub/OrderItems</v>
      </c>
      <c r="D97" s="69">
        <f>RelationTable[[#This Row],[No]]</f>
        <v>2109195</v>
      </c>
      <c r="E97" s="63" t="s">
        <v>777</v>
      </c>
      <c r="F97" s="63" t="s">
        <v>788</v>
      </c>
      <c r="G97" s="69">
        <f>RelationTable[[#This Row],[No]]</f>
        <v>2109195</v>
      </c>
      <c r="H97" s="69">
        <f>IF(RelationTable[[#This Row],[No]]="id","resource",VLOOKUP([Resource],CHOOSE({1,2},ResourceTable[Name],ResourceTable[No]),2,0))</f>
        <v>2106107</v>
      </c>
      <c r="I97" s="69" t="s">
        <v>1846</v>
      </c>
      <c r="J97" s="69" t="s">
        <v>1847</v>
      </c>
      <c r="K97" s="69" t="s">
        <v>996</v>
      </c>
      <c r="L97" s="69" t="s">
        <v>941</v>
      </c>
      <c r="M97" s="74">
        <f>VLOOKUP([Relate Resource],CHOOSE({1,2},ResourceTable[Name],ResourceTable[No]),2,0)</f>
        <v>2106119</v>
      </c>
      <c r="N97" s="75">
        <f>[RELID]</f>
        <v>2109195</v>
      </c>
    </row>
    <row r="98" spans="1:14">
      <c r="A98" s="73" t="str">
        <f>Page&amp;"-"&amp;(COUNTA($E$1:RelationTable[[#This Row],[Resource]])-1)</f>
        <v>Resource Relations-96</v>
      </c>
      <c r="B98" s="67">
        <f>IF(RelationTable[[#This Row],[Resource]]="","id",COUNTA($E$2:RelationTable[[#This Row],[Resource]])+IF(ISNUMBER(VLOOKUP('Table Seed Map'!$A$10,SeedMap[],9,0)),VLOOKUP('Table Seed Map'!$A$10,SeedMap[],9,0),0))</f>
        <v>2109196</v>
      </c>
      <c r="C98" s="69" t="str">
        <f>RelationTable[[#This Row],[Resource]]&amp;"/"&amp;RelationTable[[#This Row],[Method]]</f>
        <v>HubShift/ManageItems</v>
      </c>
      <c r="D98" s="69">
        <f>RelationTable[[#This Row],[No]]</f>
        <v>2109196</v>
      </c>
      <c r="E98" s="63" t="s">
        <v>792</v>
      </c>
      <c r="F98" s="63" t="s">
        <v>788</v>
      </c>
      <c r="G98" s="69">
        <f>RelationTable[[#This Row],[No]]</f>
        <v>2109196</v>
      </c>
      <c r="H98" s="69">
        <f>IF(RelationTable[[#This Row],[No]]="id","resource",VLOOKUP([Resource],CHOOSE({1,2},ResourceTable[Name],ResourceTable[No]),2,0))</f>
        <v>2106127</v>
      </c>
      <c r="I98" s="69" t="s">
        <v>1874</v>
      </c>
      <c r="J98" s="69" t="s">
        <v>1876</v>
      </c>
      <c r="K98" s="69" t="s">
        <v>1875</v>
      </c>
      <c r="L98" s="69" t="s">
        <v>977</v>
      </c>
      <c r="M98" s="74">
        <f>VLOOKUP([Relate Resource],CHOOSE({1,2},ResourceTable[Name],ResourceTable[No]),2,0)</f>
        <v>2106119</v>
      </c>
      <c r="N98" s="75">
        <f>[RELID]</f>
        <v>2109196</v>
      </c>
    </row>
    <row r="99" spans="1:14">
      <c r="A99" s="73" t="str">
        <f>Page&amp;"-"&amp;(COUNTA($E$1:RelationTable[[#This Row],[Resource]])-1)</f>
        <v>Resource Relations-97</v>
      </c>
      <c r="B99" s="67">
        <f>IF(RelationTable[[#This Row],[Resource]]="","id",COUNTA($E$2:RelationTable[[#This Row],[Resource]])+IF(ISNUMBER(VLOOKUP('Table Seed Map'!$A$10,SeedMap[],9,0)),VLOOKUP('Table Seed Map'!$A$10,SeedMap[],9,0),0))</f>
        <v>2109197</v>
      </c>
      <c r="C99" s="69" t="str">
        <f>RelationTable[[#This Row],[Resource]]&amp;"/"&amp;RelationTable[[#This Row],[Method]]</f>
        <v>Employee/Tasks</v>
      </c>
      <c r="D99" s="69">
        <f>RelationTable[[#This Row],[No]]</f>
        <v>2109197</v>
      </c>
      <c r="E99" s="63" t="s">
        <v>1337</v>
      </c>
      <c r="F99" s="63" t="s">
        <v>789</v>
      </c>
      <c r="G99" s="69">
        <f>RelationTable[[#This Row],[No]]</f>
        <v>2109197</v>
      </c>
      <c r="H99" s="69">
        <f>IF(RelationTable[[#This Row],[No]]="id","resource",VLOOKUP([Resource],CHOOSE({1,2},ResourceTable[Name],ResourceTable[No]),2,0))</f>
        <v>2106104</v>
      </c>
      <c r="I99" s="69" t="s">
        <v>1878</v>
      </c>
      <c r="J99" s="69" t="s">
        <v>1880</v>
      </c>
      <c r="K99" s="69" t="s">
        <v>1879</v>
      </c>
      <c r="L99" s="69" t="s">
        <v>977</v>
      </c>
      <c r="M99" s="74">
        <f>VLOOKUP([Relate Resource],CHOOSE({1,2},ResourceTable[Name],ResourceTable[No]),2,0)</f>
        <v>2106120</v>
      </c>
      <c r="N99" s="75">
        <f>[RELID]</f>
        <v>2109197</v>
      </c>
    </row>
    <row r="100" spans="1:14">
      <c r="A100" s="73" t="str">
        <f>Page&amp;"-"&amp;(COUNTA($E$1:RelationTable[[#This Row],[Resource]])-1)</f>
        <v>Resource Relations-98</v>
      </c>
      <c r="B100" s="67">
        <f>IF(RelationTable[[#This Row],[Resource]]="","id",COUNTA($E$2:RelationTable[[#This Row],[Resource]])+IF(ISNUMBER(VLOOKUP('Table Seed Map'!$A$10,SeedMap[],9,0)),VLOOKUP('Table Seed Map'!$A$10,SeedMap[],9,0),0))</f>
        <v>2109198</v>
      </c>
      <c r="C100" s="69" t="str">
        <f>RelationTable[[#This Row],[Resource]]&amp;"/"&amp;RelationTable[[#This Row],[Method]]</f>
        <v>Employee/TaskList</v>
      </c>
      <c r="D100" s="69">
        <f>RelationTable[[#This Row],[No]]</f>
        <v>2109198</v>
      </c>
      <c r="E100" s="63" t="s">
        <v>1337</v>
      </c>
      <c r="F100" s="63" t="s">
        <v>790</v>
      </c>
      <c r="G100" s="69">
        <f>RelationTable[[#This Row],[No]]</f>
        <v>2109198</v>
      </c>
      <c r="H100" s="69">
        <f>IF(RelationTable[[#This Row],[No]]="id","resource",VLOOKUP([Resource],CHOOSE({1,2},ResourceTable[Name],ResourceTable[No]),2,0))</f>
        <v>2106104</v>
      </c>
      <c r="I100" s="69" t="s">
        <v>1889</v>
      </c>
      <c r="J100" s="69" t="s">
        <v>1890</v>
      </c>
      <c r="K100" s="69" t="s">
        <v>1889</v>
      </c>
      <c r="L100" s="69" t="s">
        <v>941</v>
      </c>
      <c r="M100" s="74">
        <f>VLOOKUP([Relate Resource],CHOOSE({1,2},ResourceTable[Name],ResourceTable[No]),2,0)</f>
        <v>2106123</v>
      </c>
      <c r="N100" s="75">
        <f>[RELID]</f>
        <v>2109198</v>
      </c>
    </row>
    <row r="101" spans="1:14">
      <c r="A101" s="73" t="str">
        <f>Page&amp;"-"&amp;(COUNTA($E$1:RelationTable[[#This Row],[Resource]])-1)</f>
        <v>Resource Relations-99</v>
      </c>
      <c r="B101" s="67">
        <f>IF(RelationTable[[#This Row],[Resource]]="","id",COUNTA($E$2:RelationTable[[#This Row],[Resource]])+IF(ISNUMBER(VLOOKUP('Table Seed Map'!$A$10,SeedMap[],9,0)),VLOOKUP('Table Seed Map'!$A$10,SeedMap[],9,0),0))</f>
        <v>2109199</v>
      </c>
      <c r="C101" s="69" t="str">
        <f>RelationTable[[#This Row],[Resource]]&amp;"/"&amp;RelationTable[[#This Row],[Method]]</f>
        <v>OrderItem/Delivery</v>
      </c>
      <c r="D101" s="69">
        <f>RelationTable[[#This Row],[No]]</f>
        <v>2109199</v>
      </c>
      <c r="E101" s="63" t="s">
        <v>788</v>
      </c>
      <c r="F101" s="63" t="s">
        <v>1003</v>
      </c>
      <c r="G101" s="69">
        <f>RelationTable[[#This Row],[No]]</f>
        <v>2109199</v>
      </c>
      <c r="H101" s="69">
        <f>IF(RelationTable[[#This Row],[No]]="id","resource",VLOOKUP([Resource],CHOOSE({1,2},ResourceTable[Name],ResourceTable[No]),2,0))</f>
        <v>2106119</v>
      </c>
      <c r="I101" s="69" t="s">
        <v>2001</v>
      </c>
      <c r="J101" s="69" t="s">
        <v>2002</v>
      </c>
      <c r="K101" s="69" t="s">
        <v>912</v>
      </c>
      <c r="L101" s="69" t="s">
        <v>942</v>
      </c>
      <c r="M101" s="74">
        <f>VLOOKUP([Relate Resource],CHOOSE({1,2},ResourceTable[Name],ResourceTable[No]),2,0)</f>
        <v>2106126</v>
      </c>
      <c r="N101" s="75">
        <f>[RELID]</f>
        <v>2109199</v>
      </c>
    </row>
  </sheetData>
  <dataValidations count="1">
    <dataValidation type="list" allowBlank="1" showInputMessage="1" showErrorMessage="1" sqref="Q2:Q30 E2:F101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103"/>
  <sheetViews>
    <sheetView topLeftCell="C64" workbookViewId="0">
      <selection activeCell="F101" sqref="F101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hidden="1" customWidth="1"/>
    <col min="8" max="8" width="13.5703125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7109375" style="20" customWidth="1"/>
    <col min="22" max="22" width="10.5703125" style="20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38" t="str">
        <f>'Table Seed Map'!$A$34&amp;"-"&amp;(COUNTA($E$1:ResourceAction[[#This Row],[Resource]])-2)</f>
        <v>Resource Actions-1</v>
      </c>
      <c r="B3" s="38" t="str">
        <f>ResourceAction[[#This Row],[Resource Name]]&amp;"/"&amp;ResourceAction[[#This Row],[Name]]</f>
        <v>Owner/NewOwnerFormAction</v>
      </c>
      <c r="C3" s="88" t="s">
        <v>1119</v>
      </c>
      <c r="D3" s="38">
        <f>IF(ResourceAction[[#This Row],[Resource Name]]="","id",COUNTA($C$1:ResourceAction[[#This Row],[Resource Name]])-1+IF(VLOOKUP('Table Seed Map'!$A$34,SeedMap[],9,0),VLOOKUP('Table Seed Map'!$A$34,SeedMap[],9,0),0))</f>
        <v>2133101</v>
      </c>
      <c r="E3" s="38">
        <f>IFERROR(VLOOKUP(ResourceAction[[#This Row],[Resource Name]],ResourceTable[[RName]:[No]],3,0),"resource")</f>
        <v>2106103</v>
      </c>
      <c r="F3" s="38" t="s">
        <v>1141</v>
      </c>
      <c r="G3" s="38"/>
      <c r="H3" s="38" t="s">
        <v>1142</v>
      </c>
      <c r="I3" s="38"/>
      <c r="J3" s="38" t="s">
        <v>1142</v>
      </c>
      <c r="K3" s="80" t="str">
        <f>'Table Seed Map'!$A$35&amp;"-"&amp;(COUNTA($E$1:ResourceAction[[#This Row],[Resource]])-2)</f>
        <v>Action Method-1</v>
      </c>
      <c r="L3" s="38">
        <f>IF(ResourceAction[[#This Row],[No]]="id","id",-2+COUNTA($E$1:ResourceAction[[#This Row],[Resource]])+IF(ISNUMBER(VLOOKUP('Table Seed Map'!$A$35,SeedMap[],9,0)),VLOOKUP('Table Seed Map'!$A$35,SeedMap[],9,0),0))</f>
        <v>2134101</v>
      </c>
      <c r="M3" s="38">
        <f>IF(ResourceAction[[#This Row],[No]]="id","resource_action",ResourceAction[[#This Row],[No]])</f>
        <v>2133101</v>
      </c>
      <c r="N3" s="91" t="s">
        <v>121</v>
      </c>
      <c r="O3" s="92">
        <f ca="1">IF(ResourceAction[[#This Row],[Resource Name]]="","idn1",IF(ResourceAction[[#This Row],[IDN1]]="","",VLOOKUP(ResourceAction[[#This Row],[IDN1]],IDNMaps[[Display]:[ID]],2,0)))</f>
        <v>2110101</v>
      </c>
      <c r="P3" s="92" t="str">
        <f>IF(ResourceAction[[#This Row],[Resource Name]]="","idn2",IF(ResourceAction[[#This Row],[IDN2]]="","",VLOOKUP(ResourceAction[[#This Row],[IDN2]],IDNMaps[[Display]:[ID]],2,0)))</f>
        <v/>
      </c>
      <c r="Q3" s="92" t="str">
        <f>IF(ResourceAction[[#This Row],[Resource Name]]="","idn3",IF(ResourceAction[[#This Row],[IDN3]]="","",VLOOKUP(ResourceAction[[#This Row],[IDN3]],IDNMaps[[Display]:[ID]],2,0)))</f>
        <v/>
      </c>
      <c r="R3" s="92" t="str">
        <f>IF(ResourceAction[[#This Row],[Resource Name]]="","idn4",IF(ResourceAction[[#This Row],[IDN4]]="","",VLOOKUP(ResourceAction[[#This Row],[IDN4]],IDNMaps[[Display]:[ID]],2,0)))</f>
        <v/>
      </c>
      <c r="S3" s="92" t="str">
        <f>IF(ResourceAction[[#This Row],[Resource Name]]="","idn5",IF(ResourceAction[[#This Row],[IDN5]]="","",VLOOKUP(ResourceAction[[#This Row],[IDN5]],IDNMaps[[Display]:[ID]],2,0)))</f>
        <v/>
      </c>
      <c r="T3" s="93" t="s">
        <v>1357</v>
      </c>
      <c r="U3" s="93"/>
      <c r="V3" s="93"/>
      <c r="W3" s="93"/>
      <c r="X3" s="93"/>
      <c r="Y3" s="55">
        <f>[No]</f>
        <v>2133101</v>
      </c>
      <c r="Z3"/>
      <c r="AA3" s="62" t="s">
        <v>1491</v>
      </c>
      <c r="AB3" s="69">
        <f>VLOOKUP(ActionListNData[[#This Row],[Action Name]],ResourceAction[[Display]:[No]],3,0)</f>
        <v>2133132</v>
      </c>
      <c r="AC3" s="15" t="s">
        <v>1457</v>
      </c>
      <c r="AD3" s="69"/>
      <c r="AE3" s="69" t="str">
        <f>'Table Seed Map'!$A$37&amp;"-"&amp;-1+COUNTA($AC$1:ActionListNData[[#This Row],[Resource List]])</f>
        <v>Action List-1</v>
      </c>
      <c r="AF3" s="69">
        <f>IF(ActionListNData[[#This Row],[Action Name]]="","id",-1+COUNTA($AC$1:ActionListNData[[#This Row],[Resource List]])+IF(ISNUMBER(VLOOKUP('Table Seed Map'!$A$37,SeedMap[],9,0)),VLOOKUP('Table Seed Map'!$A$37,SeedMap[],9,0),0))</f>
        <v>2136101</v>
      </c>
      <c r="AG3" s="69">
        <f>ActionListNData[[#This Row],[Action]]</f>
        <v>2133132</v>
      </c>
      <c r="AH3" s="69">
        <f>IF(ActionListNData[[#This Row],[Action Name]]="","resource_list",IFERROR(VLOOKUP(ActionListNData[[#This Row],[Resource List]],ResourceList[[ListDisplayName]:[No]],2,0),""))</f>
        <v>2123108</v>
      </c>
      <c r="AI3" s="69" t="str">
        <f>'Table Seed Map'!$A$38&amp;"-"&amp;-1+COUNTA($AD$1:ActionListNData[[#This Row],[Resource Data]])</f>
        <v>Action Data-0</v>
      </c>
      <c r="AJ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" s="69">
        <f>ActionListNData[[#This Row],[Action]]</f>
        <v>2133132</v>
      </c>
      <c r="AL3" s="69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96" t="str">
        <f>'Table Seed Map'!$A$34&amp;"-"&amp;(COUNTA($E$1:ResourceAction[[#This Row],[Resource]])-2)</f>
        <v>Resource Actions-2</v>
      </c>
      <c r="B4" s="96" t="str">
        <f>ResourceAction[[#This Row],[Resource Name]]&amp;"/"&amp;ResourceAction[[#This Row],[Name]]</f>
        <v>Employee/NewEmployeeFormAction</v>
      </c>
      <c r="C4" s="88" t="s">
        <v>1337</v>
      </c>
      <c r="D4" s="96">
        <f>IF(ResourceAction[[#This Row],[Resource Name]]="","id",COUNTA($C$1:ResourceAction[[#This Row],[Resource Name]])-1+IF(VLOOKUP('Table Seed Map'!$A$34,SeedMap[],9,0),VLOOKUP('Table Seed Map'!$A$34,SeedMap[],9,0),0))</f>
        <v>2133102</v>
      </c>
      <c r="E4" s="96">
        <f>IFERROR(VLOOKUP(ResourceAction[[#This Row],[Resource Name]],ResourceTable[[RName]:[No]],3,0),"resource")</f>
        <v>2106104</v>
      </c>
      <c r="F4" s="38" t="s">
        <v>1355</v>
      </c>
      <c r="G4" s="96"/>
      <c r="H4" s="96" t="s">
        <v>1356</v>
      </c>
      <c r="I4" s="96"/>
      <c r="J4" s="96" t="s">
        <v>1356</v>
      </c>
      <c r="K4" s="95" t="str">
        <f>'Table Seed Map'!$A$35&amp;"-"&amp;(COUNTA($E$1:ResourceAction[[#This Row],[Resource]])-2)</f>
        <v>Action Method-2</v>
      </c>
      <c r="L4" s="96">
        <f>IF(ResourceAction[[#This Row],[No]]="id","id",-2+COUNTA($E$1:ResourceAction[[#This Row],[Resource]])+IF(ISNUMBER(VLOOKUP('Table Seed Map'!$A$35,SeedMap[],9,0)),VLOOKUP('Table Seed Map'!$A$35,SeedMap[],9,0),0))</f>
        <v>2134102</v>
      </c>
      <c r="M4" s="96">
        <f>IF(ResourceAction[[#This Row],[No]]="id","resource_action",ResourceAction[[#This Row],[No]])</f>
        <v>2133102</v>
      </c>
      <c r="N4" s="91" t="s">
        <v>121</v>
      </c>
      <c r="O4" s="109">
        <f ca="1">IF(ResourceAction[[#This Row],[Resource Name]]="","idn1",IF(ResourceAction[[#This Row],[IDN1]]="","",VLOOKUP(ResourceAction[[#This Row],[IDN1]],IDNMaps[[Display]:[ID]],2,0)))</f>
        <v>2110102</v>
      </c>
      <c r="P4" s="109" t="str">
        <f>IF(ResourceAction[[#This Row],[Resource Name]]="","idn2",IF(ResourceAction[[#This Row],[IDN2]]="","",VLOOKUP(ResourceAction[[#This Row],[IDN2]],IDNMaps[[Display]:[ID]],2,0)))</f>
        <v/>
      </c>
      <c r="Q4" s="109" t="str">
        <f>IF(ResourceAction[[#This Row],[Resource Name]]="","idn3",IF(ResourceAction[[#This Row],[IDN3]]="","",VLOOKUP(ResourceAction[[#This Row],[IDN3]],IDNMaps[[Display]:[ID]],2,0)))</f>
        <v/>
      </c>
      <c r="R4" s="109" t="str">
        <f>IF(ResourceAction[[#This Row],[Resource Name]]="","idn4",IF(ResourceAction[[#This Row],[IDN4]]="","",VLOOKUP(ResourceAction[[#This Row],[IDN4]],IDNMaps[[Display]:[ID]],2,0)))</f>
        <v/>
      </c>
      <c r="S4" s="109" t="str">
        <f>IF(ResourceAction[[#This Row],[Resource Name]]="","idn5",IF(ResourceAction[[#This Row],[IDN5]]="","",VLOOKUP(ResourceAction[[#This Row],[IDN5]],IDNMaps[[Display]:[ID]],2,0)))</f>
        <v/>
      </c>
      <c r="T4" s="93" t="s">
        <v>1358</v>
      </c>
      <c r="U4" s="110"/>
      <c r="V4" s="110"/>
      <c r="W4" s="110"/>
      <c r="X4" s="110"/>
      <c r="Y4" s="103">
        <f>[No]</f>
        <v>2133102</v>
      </c>
      <c r="Z4"/>
      <c r="AA4" s="62" t="s">
        <v>1502</v>
      </c>
      <c r="AB4" s="69">
        <f>VLOOKUP(ActionListNData[[#This Row],[Action Name]],ResourceAction[[Display]:[No]],3,0)</f>
        <v>2133133</v>
      </c>
      <c r="AC4" s="15" t="s">
        <v>1395</v>
      </c>
      <c r="AD4" s="69"/>
      <c r="AE4" s="69" t="str">
        <f>'Table Seed Map'!$A$37&amp;"-"&amp;-1+COUNTA($AC$1:ActionListNData[[#This Row],[Resource List]])</f>
        <v>Action List-2</v>
      </c>
      <c r="AF4" s="69">
        <f>IF(ActionListNData[[#This Row],[Action Name]]="","id",-1+COUNTA($AC$1:ActionListNData[[#This Row],[Resource List]])+IF(ISNUMBER(VLOOKUP('Table Seed Map'!$A$37,SeedMap[],9,0)),VLOOKUP('Table Seed Map'!$A$37,SeedMap[],9,0),0))</f>
        <v>2136102</v>
      </c>
      <c r="AG4" s="69">
        <f>ActionListNData[[#This Row],[Action]]</f>
        <v>2133133</v>
      </c>
      <c r="AH4" s="69">
        <f>IF(ActionListNData[[#This Row],[Action Name]]="","resource_list",IFERROR(VLOOKUP(ActionListNData[[#This Row],[Resource List]],ResourceList[[ListDisplayName]:[No]],2,0),""))</f>
        <v>2123104</v>
      </c>
      <c r="AI4" s="69" t="str">
        <f>'Table Seed Map'!$A$38&amp;"-"&amp;-1+COUNTA($AD$1:ActionListNData[[#This Row],[Resource Data]])</f>
        <v>Action Data-0</v>
      </c>
      <c r="AJ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" s="69">
        <f>ActionListNData[[#This Row],[Action]]</f>
        <v>2133133</v>
      </c>
      <c r="AL4" s="69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96" t="str">
        <f>'Table Seed Map'!$A$34&amp;"-"&amp;(COUNTA($E$1:ResourceAction[[#This Row],[Resource]])-2)</f>
        <v>Resource Actions-3</v>
      </c>
      <c r="B5" s="96" t="str">
        <f>ResourceAction[[#This Row],[Resource Name]]&amp;"/"&amp;ResourceAction[[#This Row],[Name]]</f>
        <v>Employee/NewProviderFormAction</v>
      </c>
      <c r="C5" s="88" t="s">
        <v>1337</v>
      </c>
      <c r="D5" s="96">
        <f>IF(ResourceAction[[#This Row],[Resource Name]]="","id",COUNTA($C$1:ResourceAction[[#This Row],[Resource Name]])-1+IF(VLOOKUP('Table Seed Map'!$A$34,SeedMap[],9,0),VLOOKUP('Table Seed Map'!$A$34,SeedMap[],9,0),0))</f>
        <v>2133103</v>
      </c>
      <c r="E5" s="96">
        <f>IFERROR(VLOOKUP(ResourceAction[[#This Row],[Resource Name]],ResourceTable[[RName]:[No]],3,0),"resource")</f>
        <v>2106104</v>
      </c>
      <c r="F5" s="96" t="s">
        <v>1385</v>
      </c>
      <c r="G5" s="96"/>
      <c r="H5" s="96" t="s">
        <v>1386</v>
      </c>
      <c r="I5" s="96"/>
      <c r="J5" s="96" t="s">
        <v>1386</v>
      </c>
      <c r="K5" s="95" t="str">
        <f>'Table Seed Map'!$A$35&amp;"-"&amp;(COUNTA($E$1:ResourceAction[[#This Row],[Resource]])-2)</f>
        <v>Action Method-3</v>
      </c>
      <c r="L5" s="96">
        <f>IF(ResourceAction[[#This Row],[No]]="id","id",-2+COUNTA($E$1:ResourceAction[[#This Row],[Resource]])+IF(ISNUMBER(VLOOKUP('Table Seed Map'!$A$35,SeedMap[],9,0)),VLOOKUP('Table Seed Map'!$A$35,SeedMap[],9,0),0))</f>
        <v>2134103</v>
      </c>
      <c r="M5" s="96">
        <f>IF(ResourceAction[[#This Row],[No]]="id","resource_action",ResourceAction[[#This Row],[No]])</f>
        <v>2133103</v>
      </c>
      <c r="N5" s="91" t="s">
        <v>121</v>
      </c>
      <c r="O5" s="109">
        <f ca="1">IF(ResourceAction[[#This Row],[Resource Name]]="","idn1",IF(ResourceAction[[#This Row],[IDN1]]="","",VLOOKUP(ResourceAction[[#This Row],[IDN1]],IDNMaps[[Display]:[ID]],2,0)))</f>
        <v>2110103</v>
      </c>
      <c r="P5" s="109" t="str">
        <f>IF(ResourceAction[[#This Row],[Resource Name]]="","idn2",IF(ResourceAction[[#This Row],[IDN2]]="","",VLOOKUP(ResourceAction[[#This Row],[IDN2]],IDNMaps[[Display]:[ID]],2,0)))</f>
        <v/>
      </c>
      <c r="Q5" s="109" t="str">
        <f>IF(ResourceAction[[#This Row],[Resource Name]]="","idn3",IF(ResourceAction[[#This Row],[IDN3]]="","",VLOOKUP(ResourceAction[[#This Row],[IDN3]],IDNMaps[[Display]:[ID]],2,0)))</f>
        <v/>
      </c>
      <c r="R5" s="109" t="str">
        <f>IF(ResourceAction[[#This Row],[Resource Name]]="","idn4",IF(ResourceAction[[#This Row],[IDN4]]="","",VLOOKUP(ResourceAction[[#This Row],[IDN4]],IDNMaps[[Display]:[ID]],2,0)))</f>
        <v/>
      </c>
      <c r="S5" s="109" t="str">
        <f>IF(ResourceAction[[#This Row],[Resource Name]]="","idn5",IF(ResourceAction[[#This Row],[IDN5]]="","",VLOOKUP(ResourceAction[[#This Row],[IDN5]],IDNMaps[[Display]:[ID]],2,0)))</f>
        <v/>
      </c>
      <c r="T5" s="93" t="s">
        <v>1387</v>
      </c>
      <c r="U5" s="110"/>
      <c r="V5" s="110"/>
      <c r="W5" s="110"/>
      <c r="X5" s="110"/>
      <c r="Y5" s="103">
        <f>[No]</f>
        <v>2133103</v>
      </c>
      <c r="Z5"/>
      <c r="AA5" s="62" t="s">
        <v>1504</v>
      </c>
      <c r="AB5" s="69">
        <f>VLOOKUP(ActionListNData[[#This Row],[Action Name]],ResourceAction[[Display]:[No]],3,0)</f>
        <v>2133134</v>
      </c>
      <c r="AC5" s="15" t="s">
        <v>1448</v>
      </c>
      <c r="AD5" s="69"/>
      <c r="AE5" s="69" t="str">
        <f>'Table Seed Map'!$A$37&amp;"-"&amp;-1+COUNTA($AC$1:ActionListNData[[#This Row],[Resource List]])</f>
        <v>Action List-3</v>
      </c>
      <c r="AF5" s="69">
        <f>IF(ActionListNData[[#This Row],[Action Name]]="","id",-1+COUNTA($AC$1:ActionListNData[[#This Row],[Resource List]])+IF(ISNUMBER(VLOOKUP('Table Seed Map'!$A$37,SeedMap[],9,0)),VLOOKUP('Table Seed Map'!$A$37,SeedMap[],9,0),0))</f>
        <v>2136103</v>
      </c>
      <c r="AG5" s="69">
        <f>ActionListNData[[#This Row],[Action]]</f>
        <v>2133134</v>
      </c>
      <c r="AH5" s="69">
        <f>IF(ActionListNData[[#This Row],[Action Name]]="","resource_list",IFERROR(VLOOKUP(ActionListNData[[#This Row],[Resource List]],ResourceList[[ListDisplayName]:[No]],2,0),""))</f>
        <v>2123105</v>
      </c>
      <c r="AI5" s="69" t="str">
        <f>'Table Seed Map'!$A$38&amp;"-"&amp;-1+COUNTA($AD$1:ActionListNData[[#This Row],[Resource Data]])</f>
        <v>Action Data-0</v>
      </c>
      <c r="AJ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" s="69">
        <f>ActionListNData[[#This Row],[Action]]</f>
        <v>2133134</v>
      </c>
      <c r="AL5" s="69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96" t="str">
        <f>'Table Seed Map'!$A$34&amp;"-"&amp;(COUNTA($E$1:ResourceAction[[#This Row],[Resource]])-2)</f>
        <v>Resource Actions-4</v>
      </c>
      <c r="B6" s="96" t="str">
        <f>ResourceAction[[#This Row],[Resource Name]]&amp;"/"&amp;ResourceAction[[#This Row],[Name]]</f>
        <v>Customer/NewCustomerFormAction</v>
      </c>
      <c r="C6" s="88" t="s">
        <v>785</v>
      </c>
      <c r="D6" s="96">
        <f>IF(ResourceAction[[#This Row],[Resource Name]]="","id",COUNTA($C$1:ResourceAction[[#This Row],[Resource Name]])-1+IF(VLOOKUP('Table Seed Map'!$A$34,SeedMap[],9,0),VLOOKUP('Table Seed Map'!$A$34,SeedMap[],9,0),0))</f>
        <v>2133104</v>
      </c>
      <c r="E6" s="96">
        <f>IFERROR(VLOOKUP(ResourceAction[[#This Row],[Resource Name]],ResourceTable[[RName]:[No]],3,0),"resource")</f>
        <v>2106105</v>
      </c>
      <c r="F6" s="38" t="s">
        <v>1159</v>
      </c>
      <c r="G6" s="96"/>
      <c r="H6" s="96" t="s">
        <v>1158</v>
      </c>
      <c r="I6" s="96"/>
      <c r="J6" s="96" t="s">
        <v>1158</v>
      </c>
      <c r="K6" s="95" t="str">
        <f>'Table Seed Map'!$A$35&amp;"-"&amp;(COUNTA($E$1:ResourceAction[[#This Row],[Resource]])-2)</f>
        <v>Action Method-4</v>
      </c>
      <c r="L6" s="96">
        <f>IF(ResourceAction[[#This Row],[No]]="id","id",-2+COUNTA($E$1:ResourceAction[[#This Row],[Resource]])+IF(ISNUMBER(VLOOKUP('Table Seed Map'!$A$35,SeedMap[],9,0)),VLOOKUP('Table Seed Map'!$A$35,SeedMap[],9,0),0))</f>
        <v>2134104</v>
      </c>
      <c r="M6" s="96">
        <f>IF(ResourceAction[[#This Row],[No]]="id","resource_action",ResourceAction[[#This Row],[No]])</f>
        <v>2133104</v>
      </c>
      <c r="N6" s="91" t="s">
        <v>121</v>
      </c>
      <c r="O6" s="109">
        <f ca="1">IF(ResourceAction[[#This Row],[Resource Name]]="","idn1",IF(ResourceAction[[#This Row],[IDN1]]="","",VLOOKUP(ResourceAction[[#This Row],[IDN1]],IDNMaps[[Display]:[ID]],2,0)))</f>
        <v>2110104</v>
      </c>
      <c r="P6" s="109" t="str">
        <f>IF(ResourceAction[[#This Row],[Resource Name]]="","idn2",IF(ResourceAction[[#This Row],[IDN2]]="","",VLOOKUP(ResourceAction[[#This Row],[IDN2]],IDNMaps[[Display]:[ID]],2,0)))</f>
        <v/>
      </c>
      <c r="Q6" s="109" t="str">
        <f>IF(ResourceAction[[#This Row],[Resource Name]]="","idn3",IF(ResourceAction[[#This Row],[IDN3]]="","",VLOOKUP(ResourceAction[[#This Row],[IDN3]],IDNMaps[[Display]:[ID]],2,0)))</f>
        <v/>
      </c>
      <c r="R6" s="109" t="str">
        <f>IF(ResourceAction[[#This Row],[Resource Name]]="","idn4",IF(ResourceAction[[#This Row],[IDN4]]="","",VLOOKUP(ResourceAction[[#This Row],[IDN4]],IDNMaps[[Display]:[ID]],2,0)))</f>
        <v/>
      </c>
      <c r="S6" s="109" t="str">
        <f>IF(ResourceAction[[#This Row],[Resource Name]]="","idn5",IF(ResourceAction[[#This Row],[IDN5]]="","",VLOOKUP(ResourceAction[[#This Row],[IDN5]],IDNMaps[[Display]:[ID]],2,0)))</f>
        <v/>
      </c>
      <c r="T6" s="93" t="s">
        <v>1157</v>
      </c>
      <c r="U6" s="110"/>
      <c r="V6" s="110"/>
      <c r="W6" s="110"/>
      <c r="X6" s="110"/>
      <c r="Y6" s="103">
        <f>[No]</f>
        <v>2133104</v>
      </c>
      <c r="Z6"/>
      <c r="AA6" s="62" t="s">
        <v>1508</v>
      </c>
      <c r="AB6" s="69">
        <f>VLOOKUP(ActionListNData[[#This Row],[Action Name]],ResourceAction[[Display]:[No]],3,0)</f>
        <v>2133135</v>
      </c>
      <c r="AC6" s="15" t="s">
        <v>1448</v>
      </c>
      <c r="AD6" s="69"/>
      <c r="AE6" s="69" t="str">
        <f>'Table Seed Map'!$A$37&amp;"-"&amp;-1+COUNTA($AC$1:ActionListNData[[#This Row],[Resource List]])</f>
        <v>Action List-4</v>
      </c>
      <c r="AF6" s="69">
        <f>IF(ActionListNData[[#This Row],[Action Name]]="","id",-1+COUNTA($AC$1:ActionListNData[[#This Row],[Resource List]])+IF(ISNUMBER(VLOOKUP('Table Seed Map'!$A$37,SeedMap[],9,0)),VLOOKUP('Table Seed Map'!$A$37,SeedMap[],9,0),0))</f>
        <v>2136104</v>
      </c>
      <c r="AG6" s="69">
        <f>ActionListNData[[#This Row],[Action]]</f>
        <v>2133135</v>
      </c>
      <c r="AH6" s="69">
        <f>IF(ActionListNData[[#This Row],[Action Name]]="","resource_list",IFERROR(VLOOKUP(ActionListNData[[#This Row],[Resource List]],ResourceList[[ListDisplayName]:[No]],2,0),""))</f>
        <v>2123105</v>
      </c>
      <c r="AI6" s="69" t="str">
        <f>'Table Seed Map'!$A$38&amp;"-"&amp;-1+COUNTA($AD$1:ActionListNData[[#This Row],[Resource Data]])</f>
        <v>Action Data-0</v>
      </c>
      <c r="AJ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" s="69">
        <f>ActionListNData[[#This Row],[Action]]</f>
        <v>2133135</v>
      </c>
      <c r="AL6" s="69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96" t="str">
        <f>'Table Seed Map'!$A$34&amp;"-"&amp;(COUNTA($E$1:ResourceAction[[#This Row],[Resource]])-2)</f>
        <v>Resource Actions-5</v>
      </c>
      <c r="B7" s="96" t="str">
        <f>ResourceAction[[#This Row],[Resource Name]]&amp;"/"&amp;ResourceAction[[#This Row],[Name]]</f>
        <v>Hub/NewHubAction</v>
      </c>
      <c r="C7" s="88" t="s">
        <v>777</v>
      </c>
      <c r="D7" s="96">
        <f>IF(ResourceAction[[#This Row],[Resource Name]]="","id",COUNTA($C$1:ResourceAction[[#This Row],[Resource Name]])-1+IF(VLOOKUP('Table Seed Map'!$A$34,SeedMap[],9,0),VLOOKUP('Table Seed Map'!$A$34,SeedMap[],9,0),0))</f>
        <v>2133105</v>
      </c>
      <c r="E7" s="96">
        <f>IFERROR(VLOOKUP(ResourceAction[[#This Row],[Resource Name]],ResourceTable[[RName]:[No]],3,0),"resource")</f>
        <v>2106107</v>
      </c>
      <c r="F7" s="96" t="s">
        <v>1307</v>
      </c>
      <c r="G7" s="96"/>
      <c r="H7" s="96" t="s">
        <v>1318</v>
      </c>
      <c r="I7" s="96"/>
      <c r="J7" s="96" t="s">
        <v>1318</v>
      </c>
      <c r="K7" s="95" t="str">
        <f>'Table Seed Map'!$A$35&amp;"-"&amp;(COUNTA($E$1:ResourceAction[[#This Row],[Resource]])-2)</f>
        <v>Action Method-5</v>
      </c>
      <c r="L7" s="96">
        <f>IF(ResourceAction[[#This Row],[No]]="id","id",-2+COUNTA($E$1:ResourceAction[[#This Row],[Resource]])+IF(ISNUMBER(VLOOKUP('Table Seed Map'!$A$35,SeedMap[],9,0)),VLOOKUP('Table Seed Map'!$A$35,SeedMap[],9,0),0))</f>
        <v>2134105</v>
      </c>
      <c r="M7" s="96">
        <f>IF(ResourceAction[[#This Row],[No]]="id","resource_action",ResourceAction[[#This Row],[No]])</f>
        <v>2133105</v>
      </c>
      <c r="N7" s="91" t="s">
        <v>121</v>
      </c>
      <c r="O7" s="109">
        <f ca="1">IF(ResourceAction[[#This Row],[Resource Name]]="","idn1",IF(ResourceAction[[#This Row],[IDN1]]="","",VLOOKUP(ResourceAction[[#This Row],[IDN1]],IDNMaps[[Display]:[ID]],2,0)))</f>
        <v>2110105</v>
      </c>
      <c r="P7" s="109" t="str">
        <f>IF(ResourceAction[[#This Row],[Resource Name]]="","idn2",IF(ResourceAction[[#This Row],[IDN2]]="","",VLOOKUP(ResourceAction[[#This Row],[IDN2]],IDNMaps[[Display]:[ID]],2,0)))</f>
        <v/>
      </c>
      <c r="Q7" s="109" t="str">
        <f>IF(ResourceAction[[#This Row],[Resource Name]]="","idn3",IF(ResourceAction[[#This Row],[IDN3]]="","",VLOOKUP(ResourceAction[[#This Row],[IDN3]],IDNMaps[[Display]:[ID]],2,0)))</f>
        <v/>
      </c>
      <c r="R7" s="109" t="str">
        <f>IF(ResourceAction[[#This Row],[Resource Name]]="","idn4",IF(ResourceAction[[#This Row],[IDN4]]="","",VLOOKUP(ResourceAction[[#This Row],[IDN4]],IDNMaps[[Display]:[ID]],2,0)))</f>
        <v/>
      </c>
      <c r="S7" s="109" t="str">
        <f>IF(ResourceAction[[#This Row],[Resource Name]]="","idn5",IF(ResourceAction[[#This Row],[IDN5]]="","",VLOOKUP(ResourceAction[[#This Row],[IDN5]],IDNMaps[[Display]:[ID]],2,0)))</f>
        <v/>
      </c>
      <c r="T7" s="93" t="s">
        <v>1296</v>
      </c>
      <c r="U7" s="110"/>
      <c r="V7" s="110"/>
      <c r="W7" s="110"/>
      <c r="X7" s="110"/>
      <c r="Y7" s="103">
        <f>[No]</f>
        <v>2133105</v>
      </c>
      <c r="Z7"/>
      <c r="AA7" s="62" t="s">
        <v>1570</v>
      </c>
      <c r="AB7" s="69">
        <f>VLOOKUP(ActionListNData[[#This Row],[Action Name]],ResourceAction[[Display]:[No]],3,0)</f>
        <v>2133136</v>
      </c>
      <c r="AC7" s="15" t="s">
        <v>1452</v>
      </c>
      <c r="AD7" s="69"/>
      <c r="AE7" s="69" t="str">
        <f>'Table Seed Map'!$A$37&amp;"-"&amp;-1+COUNTA($AC$1:ActionListNData[[#This Row],[Resource List]])</f>
        <v>Action List-5</v>
      </c>
      <c r="AF7" s="69">
        <f>IF(ActionListNData[[#This Row],[Action Name]]="","id",-1+COUNTA($AC$1:ActionListNData[[#This Row],[Resource List]])+IF(ISNUMBER(VLOOKUP('Table Seed Map'!$A$37,SeedMap[],9,0)),VLOOKUP('Table Seed Map'!$A$37,SeedMap[],9,0),0))</f>
        <v>2136105</v>
      </c>
      <c r="AG7" s="69">
        <f>ActionListNData[[#This Row],[Action]]</f>
        <v>2133136</v>
      </c>
      <c r="AH7" s="69">
        <f>IF(ActionListNData[[#This Row],[Action Name]]="","resource_list",IFERROR(VLOOKUP(ActionListNData[[#This Row],[Resource List]],ResourceList[[ListDisplayName]:[No]],2,0),""))</f>
        <v>2123103</v>
      </c>
      <c r="AI7" s="69" t="str">
        <f>'Table Seed Map'!$A$38&amp;"-"&amp;-1+COUNTA($AD$1:ActionListNData[[#This Row],[Resource Data]])</f>
        <v>Action Data-0</v>
      </c>
      <c r="AJ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7" s="69">
        <f>ActionListNData[[#This Row],[Action]]</f>
        <v>2133136</v>
      </c>
      <c r="AL7" s="69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96" t="str">
        <f>'Table Seed Map'!$A$34&amp;"-"&amp;(COUNTA($E$1:ResourceAction[[#This Row],[Resource]])-2)</f>
        <v>Resource Actions-6</v>
      </c>
      <c r="B8" s="96" t="str">
        <f>ResourceAction[[#This Row],[Resource Name]]&amp;"/"&amp;ResourceAction[[#This Row],[Name]]</f>
        <v>Service/AddServiceAction</v>
      </c>
      <c r="C8" s="88" t="s">
        <v>778</v>
      </c>
      <c r="D8" s="96">
        <f>IF(ResourceAction[[#This Row],[Resource Name]]="","id",COUNTA($C$1:ResourceAction[[#This Row],[Resource Name]])-1+IF(VLOOKUP('Table Seed Map'!$A$34,SeedMap[],9,0),VLOOKUP('Table Seed Map'!$A$34,SeedMap[],9,0),0))</f>
        <v>2133106</v>
      </c>
      <c r="E8" s="96">
        <f>IFERROR(VLOOKUP(ResourceAction[[#This Row],[Resource Name]],ResourceTable[[RName]:[No]],3,0),"resource")</f>
        <v>2106108</v>
      </c>
      <c r="F8" s="96" t="s">
        <v>1308</v>
      </c>
      <c r="G8" s="96"/>
      <c r="H8" s="96" t="s">
        <v>1319</v>
      </c>
      <c r="I8" s="96"/>
      <c r="J8" s="96" t="s">
        <v>1319</v>
      </c>
      <c r="K8" s="95" t="str">
        <f>'Table Seed Map'!$A$35&amp;"-"&amp;(COUNTA($E$1:ResourceAction[[#This Row],[Resource]])-2)</f>
        <v>Action Method-6</v>
      </c>
      <c r="L8" s="96">
        <f>IF(ResourceAction[[#This Row],[No]]="id","id",-2+COUNTA($E$1:ResourceAction[[#This Row],[Resource]])+IF(ISNUMBER(VLOOKUP('Table Seed Map'!$A$35,SeedMap[],9,0)),VLOOKUP('Table Seed Map'!$A$35,SeedMap[],9,0),0))</f>
        <v>2134106</v>
      </c>
      <c r="M8" s="96">
        <f>IF(ResourceAction[[#This Row],[No]]="id","resource_action",ResourceAction[[#This Row],[No]])</f>
        <v>2133106</v>
      </c>
      <c r="N8" s="91" t="s">
        <v>121</v>
      </c>
      <c r="O8" s="109">
        <f ca="1">IF(ResourceAction[[#This Row],[Resource Name]]="","idn1",IF(ResourceAction[[#This Row],[IDN1]]="","",VLOOKUP(ResourceAction[[#This Row],[IDN1]],IDNMaps[[Display]:[ID]],2,0)))</f>
        <v>2110106</v>
      </c>
      <c r="P8" s="109" t="str">
        <f>IF(ResourceAction[[#This Row],[Resource Name]]="","idn2",IF(ResourceAction[[#This Row],[IDN2]]="","",VLOOKUP(ResourceAction[[#This Row],[IDN2]],IDNMaps[[Display]:[ID]],2,0)))</f>
        <v/>
      </c>
      <c r="Q8" s="109" t="str">
        <f>IF(ResourceAction[[#This Row],[Resource Name]]="","idn3",IF(ResourceAction[[#This Row],[IDN3]]="","",VLOOKUP(ResourceAction[[#This Row],[IDN3]],IDNMaps[[Display]:[ID]],2,0)))</f>
        <v/>
      </c>
      <c r="R8" s="109" t="str">
        <f>IF(ResourceAction[[#This Row],[Resource Name]]="","idn4",IF(ResourceAction[[#This Row],[IDN4]]="","",VLOOKUP(ResourceAction[[#This Row],[IDN4]],IDNMaps[[Display]:[ID]],2,0)))</f>
        <v/>
      </c>
      <c r="S8" s="109" t="str">
        <f>IF(ResourceAction[[#This Row],[Resource Name]]="","idn5",IF(ResourceAction[[#This Row],[IDN5]]="","",VLOOKUP(ResourceAction[[#This Row],[IDN5]],IDNMaps[[Display]:[ID]],2,0)))</f>
        <v/>
      </c>
      <c r="T8" s="93" t="s">
        <v>1297</v>
      </c>
      <c r="U8" s="110"/>
      <c r="V8" s="110"/>
      <c r="W8" s="110"/>
      <c r="X8" s="110"/>
      <c r="Y8" s="103">
        <f>[No]</f>
        <v>2133106</v>
      </c>
      <c r="Z8"/>
      <c r="AA8" s="62" t="s">
        <v>1523</v>
      </c>
      <c r="AB8" s="69">
        <f>VLOOKUP(ActionListNData[[#This Row],[Action Name]],ResourceAction[[Display]:[No]],3,0)</f>
        <v>2133137</v>
      </c>
      <c r="AC8" s="15" t="s">
        <v>1458</v>
      </c>
      <c r="AD8" s="69"/>
      <c r="AE8" s="69" t="str">
        <f>'Table Seed Map'!$A$37&amp;"-"&amp;-1+COUNTA($AC$1:ActionListNData[[#This Row],[Resource List]])</f>
        <v>Action List-6</v>
      </c>
      <c r="AF8" s="69">
        <f>IF(ActionListNData[[#This Row],[Action Name]]="","id",-1+COUNTA($AC$1:ActionListNData[[#This Row],[Resource List]])+IF(ISNUMBER(VLOOKUP('Table Seed Map'!$A$37,SeedMap[],9,0)),VLOOKUP('Table Seed Map'!$A$37,SeedMap[],9,0),0))</f>
        <v>2136106</v>
      </c>
      <c r="AG8" s="69">
        <f>ActionListNData[[#This Row],[Action]]</f>
        <v>2133137</v>
      </c>
      <c r="AH8" s="69">
        <f>IF(ActionListNData[[#This Row],[Action Name]]="","resource_list",IFERROR(VLOOKUP(ActionListNData[[#This Row],[Resource List]],ResourceList[[ListDisplayName]:[No]],2,0),""))</f>
        <v>2123109</v>
      </c>
      <c r="AI8" s="69" t="str">
        <f>'Table Seed Map'!$A$38&amp;"-"&amp;-1+COUNTA($AD$1:ActionListNData[[#This Row],[Resource Data]])</f>
        <v>Action Data-0</v>
      </c>
      <c r="AJ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8" s="69">
        <f>ActionListNData[[#This Row],[Action]]</f>
        <v>2133137</v>
      </c>
      <c r="AL8" s="69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96" t="str">
        <f>'Table Seed Map'!$A$34&amp;"-"&amp;(COUNTA($E$1:ResourceAction[[#This Row],[Resource]])-2)</f>
        <v>Resource Actions-7</v>
      </c>
      <c r="B9" s="96" t="str">
        <f>ResourceAction[[#This Row],[Resource Name]]&amp;"/"&amp;ResourceAction[[#This Row],[Name]]</f>
        <v>Item/AddItemAction</v>
      </c>
      <c r="C9" s="88" t="s">
        <v>779</v>
      </c>
      <c r="D9" s="96">
        <f>IF(ResourceAction[[#This Row],[Resource Name]]="","id",COUNTA($C$1:ResourceAction[[#This Row],[Resource Name]])-1+IF(VLOOKUP('Table Seed Map'!$A$34,SeedMap[],9,0),VLOOKUP('Table Seed Map'!$A$34,SeedMap[],9,0),0))</f>
        <v>2133107</v>
      </c>
      <c r="E9" s="96">
        <f>IFERROR(VLOOKUP(ResourceAction[[#This Row],[Resource Name]],ResourceTable[[RName]:[No]],3,0),"resource")</f>
        <v>2106109</v>
      </c>
      <c r="F9" s="96" t="s">
        <v>1309</v>
      </c>
      <c r="G9" s="96"/>
      <c r="H9" s="96" t="s">
        <v>1320</v>
      </c>
      <c r="I9" s="96"/>
      <c r="J9" s="96" t="s">
        <v>1320</v>
      </c>
      <c r="K9" s="95" t="str">
        <f>'Table Seed Map'!$A$35&amp;"-"&amp;(COUNTA($E$1:ResourceAction[[#This Row],[Resource]])-2)</f>
        <v>Action Method-7</v>
      </c>
      <c r="L9" s="96">
        <f>IF(ResourceAction[[#This Row],[No]]="id","id",-2+COUNTA($E$1:ResourceAction[[#This Row],[Resource]])+IF(ISNUMBER(VLOOKUP('Table Seed Map'!$A$35,SeedMap[],9,0)),VLOOKUP('Table Seed Map'!$A$35,SeedMap[],9,0),0))</f>
        <v>2134107</v>
      </c>
      <c r="M9" s="96">
        <f>IF(ResourceAction[[#This Row],[No]]="id","resource_action",ResourceAction[[#This Row],[No]])</f>
        <v>2133107</v>
      </c>
      <c r="N9" s="91" t="s">
        <v>121</v>
      </c>
      <c r="O9" s="109">
        <f ca="1">IF(ResourceAction[[#This Row],[Resource Name]]="","idn1",IF(ResourceAction[[#This Row],[IDN1]]="","",VLOOKUP(ResourceAction[[#This Row],[IDN1]],IDNMaps[[Display]:[ID]],2,0)))</f>
        <v>2110107</v>
      </c>
      <c r="P9" s="109" t="str">
        <f>IF(ResourceAction[[#This Row],[Resource Name]]="","idn2",IF(ResourceAction[[#This Row],[IDN2]]="","",VLOOKUP(ResourceAction[[#This Row],[IDN2]],IDNMaps[[Display]:[ID]],2,0)))</f>
        <v/>
      </c>
      <c r="Q9" s="109" t="str">
        <f>IF(ResourceAction[[#This Row],[Resource Name]]="","idn3",IF(ResourceAction[[#This Row],[IDN3]]="","",VLOOKUP(ResourceAction[[#This Row],[IDN3]],IDNMaps[[Display]:[ID]],2,0)))</f>
        <v/>
      </c>
      <c r="R9" s="109" t="str">
        <f>IF(ResourceAction[[#This Row],[Resource Name]]="","idn4",IF(ResourceAction[[#This Row],[IDN4]]="","",VLOOKUP(ResourceAction[[#This Row],[IDN4]],IDNMaps[[Display]:[ID]],2,0)))</f>
        <v/>
      </c>
      <c r="S9" s="109" t="str">
        <f>IF(ResourceAction[[#This Row],[Resource Name]]="","idn5",IF(ResourceAction[[#This Row],[IDN5]]="","",VLOOKUP(ResourceAction[[#This Row],[IDN5]],IDNMaps[[Display]:[ID]],2,0)))</f>
        <v/>
      </c>
      <c r="T9" s="93" t="s">
        <v>1298</v>
      </c>
      <c r="U9" s="110"/>
      <c r="V9" s="110"/>
      <c r="W9" s="110"/>
      <c r="X9" s="110"/>
      <c r="Y9" s="103">
        <f>[No]</f>
        <v>2133107</v>
      </c>
      <c r="Z9"/>
      <c r="AA9" s="62" t="s">
        <v>1526</v>
      </c>
      <c r="AB9" s="69">
        <f>VLOOKUP(ActionListNData[[#This Row],[Action Name]],ResourceAction[[Display]:[No]],3,0)</f>
        <v>2133138</v>
      </c>
      <c r="AC9" s="15" t="s">
        <v>1457</v>
      </c>
      <c r="AD9" s="69"/>
      <c r="AE9" s="69" t="str">
        <f>'Table Seed Map'!$A$37&amp;"-"&amp;-1+COUNTA($AC$1:ActionListNData[[#This Row],[Resource List]])</f>
        <v>Action List-7</v>
      </c>
      <c r="AF9" s="69">
        <f>IF(ActionListNData[[#This Row],[Action Name]]="","id",-1+COUNTA($AC$1:ActionListNData[[#This Row],[Resource List]])+IF(ISNUMBER(VLOOKUP('Table Seed Map'!$A$37,SeedMap[],9,0)),VLOOKUP('Table Seed Map'!$A$37,SeedMap[],9,0),0))</f>
        <v>2136107</v>
      </c>
      <c r="AG9" s="69">
        <f>ActionListNData[[#This Row],[Action]]</f>
        <v>2133138</v>
      </c>
      <c r="AH9" s="69">
        <f>IF(ActionListNData[[#This Row],[Action Name]]="","resource_list",IFERROR(VLOOKUP(ActionListNData[[#This Row],[Resource List]],ResourceList[[ListDisplayName]:[No]],2,0),""))</f>
        <v>2123108</v>
      </c>
      <c r="AI9" s="69" t="str">
        <f>'Table Seed Map'!$A$38&amp;"-"&amp;-1+COUNTA($AD$1:ActionListNData[[#This Row],[Resource Data]])</f>
        <v>Action Data-0</v>
      </c>
      <c r="AJ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9" s="69">
        <f>ActionListNData[[#This Row],[Action]]</f>
        <v>2133138</v>
      </c>
      <c r="AL9" s="69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96" t="str">
        <f>'Table Seed Map'!$A$34&amp;"-"&amp;(COUNTA($E$1:ResourceAction[[#This Row],[Resource]])-2)</f>
        <v>Resource Actions-8</v>
      </c>
      <c r="B10" s="96" t="str">
        <f>ResourceAction[[#This Row],[Resource Name]]&amp;"/"&amp;ResourceAction[[#This Row],[Name]]</f>
        <v>Shelf/CreateShelfAction</v>
      </c>
      <c r="C10" s="88" t="s">
        <v>1029</v>
      </c>
      <c r="D10" s="96">
        <f>IF(ResourceAction[[#This Row],[Resource Name]]="","id",COUNTA($C$1:ResourceAction[[#This Row],[Resource Name]])-1+IF(VLOOKUP('Table Seed Map'!$A$34,SeedMap[],9,0),VLOOKUP('Table Seed Map'!$A$34,SeedMap[],9,0),0))</f>
        <v>2133108</v>
      </c>
      <c r="E10" s="96">
        <f>IFERROR(VLOOKUP(ResourceAction[[#This Row],[Resource Name]],ResourceTable[[RName]:[No]],3,0),"resource")</f>
        <v>2106113</v>
      </c>
      <c r="F10" s="96" t="s">
        <v>1310</v>
      </c>
      <c r="G10" s="96"/>
      <c r="H10" s="96" t="s">
        <v>1321</v>
      </c>
      <c r="I10" s="96"/>
      <c r="J10" s="96" t="s">
        <v>1321</v>
      </c>
      <c r="K10" s="95" t="str">
        <f>'Table Seed Map'!$A$35&amp;"-"&amp;(COUNTA($E$1:ResourceAction[[#This Row],[Resource]])-2)</f>
        <v>Action Method-8</v>
      </c>
      <c r="L10" s="96">
        <f>IF(ResourceAction[[#This Row],[No]]="id","id",-2+COUNTA($E$1:ResourceAction[[#This Row],[Resource]])+IF(ISNUMBER(VLOOKUP('Table Seed Map'!$A$35,SeedMap[],9,0)),VLOOKUP('Table Seed Map'!$A$35,SeedMap[],9,0),0))</f>
        <v>2134108</v>
      </c>
      <c r="M10" s="96">
        <f>IF(ResourceAction[[#This Row],[No]]="id","resource_action",ResourceAction[[#This Row],[No]])</f>
        <v>2133108</v>
      </c>
      <c r="N10" s="91" t="s">
        <v>121</v>
      </c>
      <c r="O10" s="109">
        <f ca="1">IF(ResourceAction[[#This Row],[Resource Name]]="","idn1",IF(ResourceAction[[#This Row],[IDN1]]="","",VLOOKUP(ResourceAction[[#This Row],[IDN1]],IDNMaps[[Display]:[ID]],2,0)))</f>
        <v>2110110</v>
      </c>
      <c r="P10" s="109" t="str">
        <f>IF(ResourceAction[[#This Row],[Resource Name]]="","idn2",IF(ResourceAction[[#This Row],[IDN2]]="","",VLOOKUP(ResourceAction[[#This Row],[IDN2]],IDNMaps[[Display]:[ID]],2,0)))</f>
        <v/>
      </c>
      <c r="Q10" s="109" t="str">
        <f>IF(ResourceAction[[#This Row],[Resource Name]]="","idn3",IF(ResourceAction[[#This Row],[IDN3]]="","",VLOOKUP(ResourceAction[[#This Row],[IDN3]],IDNMaps[[Display]:[ID]],2,0)))</f>
        <v/>
      </c>
      <c r="R10" s="109" t="str">
        <f>IF(ResourceAction[[#This Row],[Resource Name]]="","idn4",IF(ResourceAction[[#This Row],[IDN4]]="","",VLOOKUP(ResourceAction[[#This Row],[IDN4]],IDNMaps[[Display]:[ID]],2,0)))</f>
        <v/>
      </c>
      <c r="S10" s="109" t="str">
        <f>IF(ResourceAction[[#This Row],[Resource Name]]="","idn5",IF(ResourceAction[[#This Row],[IDN5]]="","",VLOOKUP(ResourceAction[[#This Row],[IDN5]],IDNMaps[[Display]:[ID]],2,0)))</f>
        <v/>
      </c>
      <c r="T10" s="93" t="s">
        <v>1299</v>
      </c>
      <c r="U10" s="110"/>
      <c r="V10" s="110"/>
      <c r="W10" s="110"/>
      <c r="X10" s="110"/>
      <c r="Y10" s="103">
        <f>[No]</f>
        <v>2133108</v>
      </c>
      <c r="Z10"/>
      <c r="AA10" s="62" t="s">
        <v>1530</v>
      </c>
      <c r="AB10" s="69">
        <f>VLOOKUP(ActionListNData[[#This Row],[Action Name]],ResourceAction[[Display]:[No]],3,0)</f>
        <v>2133139</v>
      </c>
      <c r="AC10" s="15" t="s">
        <v>1458</v>
      </c>
      <c r="AD10" s="69"/>
      <c r="AE10" s="69" t="str">
        <f>'Table Seed Map'!$A$37&amp;"-"&amp;-1+COUNTA($AC$1:ActionListNData[[#This Row],[Resource List]])</f>
        <v>Action List-8</v>
      </c>
      <c r="AF10" s="69">
        <f>IF(ActionListNData[[#This Row],[Action Name]]="","id",-1+COUNTA($AC$1:ActionListNData[[#This Row],[Resource List]])+IF(ISNUMBER(VLOOKUP('Table Seed Map'!$A$37,SeedMap[],9,0)),VLOOKUP('Table Seed Map'!$A$37,SeedMap[],9,0),0))</f>
        <v>2136108</v>
      </c>
      <c r="AG10" s="69">
        <f>ActionListNData[[#This Row],[Action]]</f>
        <v>2133139</v>
      </c>
      <c r="AH10" s="69">
        <f>IF(ActionListNData[[#This Row],[Action Name]]="","resource_list",IFERROR(VLOOKUP(ActionListNData[[#This Row],[Resource List]],ResourceList[[ListDisplayName]:[No]],2,0),""))</f>
        <v>2123109</v>
      </c>
      <c r="AI10" s="69" t="str">
        <f>'Table Seed Map'!$A$38&amp;"-"&amp;-1+COUNTA($AD$1:ActionListNData[[#This Row],[Resource Data]])</f>
        <v>Action Data-0</v>
      </c>
      <c r="AJ1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0" s="69">
        <f>ActionListNData[[#This Row],[Action]]</f>
        <v>2133139</v>
      </c>
      <c r="AL10" s="69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96" t="str">
        <f>'Table Seed Map'!$A$34&amp;"-"&amp;(COUNTA($E$1:ResourceAction[[#This Row],[Resource]])-2)</f>
        <v>Resource Actions-9</v>
      </c>
      <c r="B11" s="96" t="str">
        <f>ResourceAction[[#This Row],[Resource Name]]&amp;"/"&amp;ResourceAction[[#This Row],[Name]]</f>
        <v>HubDefaultShelf/AssignDefaultShelfAction</v>
      </c>
      <c r="C11" s="88" t="s">
        <v>1030</v>
      </c>
      <c r="D11" s="96">
        <f>IF(ResourceAction[[#This Row],[Resource Name]]="","id",COUNTA($C$1:ResourceAction[[#This Row],[Resource Name]])-1+IF(VLOOKUP('Table Seed Map'!$A$34,SeedMap[],9,0),VLOOKUP('Table Seed Map'!$A$34,SeedMap[],9,0),0))</f>
        <v>2133109</v>
      </c>
      <c r="E11" s="96">
        <f>IFERROR(VLOOKUP(ResourceAction[[#This Row],[Resource Name]],ResourceTable[[RName]:[No]],3,0),"resource")</f>
        <v>2106114</v>
      </c>
      <c r="F11" s="96" t="s">
        <v>1311</v>
      </c>
      <c r="G11" s="96"/>
      <c r="H11" s="96" t="s">
        <v>1322</v>
      </c>
      <c r="I11" s="96"/>
      <c r="J11" s="96" t="s">
        <v>1322</v>
      </c>
      <c r="K11" s="95" t="str">
        <f>'Table Seed Map'!$A$35&amp;"-"&amp;(COUNTA($E$1:ResourceAction[[#This Row],[Resource]])-2)</f>
        <v>Action Method-9</v>
      </c>
      <c r="L11" s="96">
        <f>IF(ResourceAction[[#This Row],[No]]="id","id",-2+COUNTA($E$1:ResourceAction[[#This Row],[Resource]])+IF(ISNUMBER(VLOOKUP('Table Seed Map'!$A$35,SeedMap[],9,0)),VLOOKUP('Table Seed Map'!$A$35,SeedMap[],9,0),0))</f>
        <v>2134109</v>
      </c>
      <c r="M11" s="96">
        <f>IF(ResourceAction[[#This Row],[No]]="id","resource_action",ResourceAction[[#This Row],[No]])</f>
        <v>2133109</v>
      </c>
      <c r="N11" s="91" t="s">
        <v>121</v>
      </c>
      <c r="O11" s="109">
        <f ca="1">IF(ResourceAction[[#This Row],[Resource Name]]="","idn1",IF(ResourceAction[[#This Row],[IDN1]]="","",VLOOKUP(ResourceAction[[#This Row],[IDN1]],IDNMaps[[Display]:[ID]],2,0)))</f>
        <v>2110111</v>
      </c>
      <c r="P11" s="109" t="str">
        <f>IF(ResourceAction[[#This Row],[Resource Name]]="","idn2",IF(ResourceAction[[#This Row],[IDN2]]="","",VLOOKUP(ResourceAction[[#This Row],[IDN2]],IDNMaps[[Display]:[ID]],2,0)))</f>
        <v/>
      </c>
      <c r="Q11" s="109" t="str">
        <f>IF(ResourceAction[[#This Row],[Resource Name]]="","idn3",IF(ResourceAction[[#This Row],[IDN3]]="","",VLOOKUP(ResourceAction[[#This Row],[IDN3]],IDNMaps[[Display]:[ID]],2,0)))</f>
        <v/>
      </c>
      <c r="R11" s="109" t="str">
        <f>IF(ResourceAction[[#This Row],[Resource Name]]="","idn4",IF(ResourceAction[[#This Row],[IDN4]]="","",VLOOKUP(ResourceAction[[#This Row],[IDN4]],IDNMaps[[Display]:[ID]],2,0)))</f>
        <v/>
      </c>
      <c r="S11" s="109" t="str">
        <f>IF(ResourceAction[[#This Row],[Resource Name]]="","idn5",IF(ResourceAction[[#This Row],[IDN5]]="","",VLOOKUP(ResourceAction[[#This Row],[IDN5]],IDNMaps[[Display]:[ID]],2,0)))</f>
        <v/>
      </c>
      <c r="T11" s="93" t="s">
        <v>1300</v>
      </c>
      <c r="U11" s="110"/>
      <c r="V11" s="110"/>
      <c r="W11" s="110"/>
      <c r="X11" s="110"/>
      <c r="Y11" s="103">
        <f>[No]</f>
        <v>2133109</v>
      </c>
      <c r="Z11"/>
      <c r="AA11" s="62" t="s">
        <v>1533</v>
      </c>
      <c r="AB11" s="69">
        <f>VLOOKUP(ActionListNData[[#This Row],[Action Name]],ResourceAction[[Display]:[No]],3,0)</f>
        <v>2133140</v>
      </c>
      <c r="AC11" s="15" t="s">
        <v>1452</v>
      </c>
      <c r="AD11" s="69"/>
      <c r="AE11" s="69" t="str">
        <f>'Table Seed Map'!$A$37&amp;"-"&amp;-1+COUNTA($AC$1:ActionListNData[[#This Row],[Resource List]])</f>
        <v>Action List-9</v>
      </c>
      <c r="AF11" s="69">
        <f>IF(ActionListNData[[#This Row],[Action Name]]="","id",-1+COUNTA($AC$1:ActionListNData[[#This Row],[Resource List]])+IF(ISNUMBER(VLOOKUP('Table Seed Map'!$A$37,SeedMap[],9,0)),VLOOKUP('Table Seed Map'!$A$37,SeedMap[],9,0),0))</f>
        <v>2136109</v>
      </c>
      <c r="AG11" s="69">
        <f>ActionListNData[[#This Row],[Action]]</f>
        <v>2133140</v>
      </c>
      <c r="AH11" s="69">
        <f>IF(ActionListNData[[#This Row],[Action Name]]="","resource_list",IFERROR(VLOOKUP(ActionListNData[[#This Row],[Resource List]],ResourceList[[ListDisplayName]:[No]],2,0),""))</f>
        <v>2123103</v>
      </c>
      <c r="AI11" s="69" t="str">
        <f>'Table Seed Map'!$A$38&amp;"-"&amp;-1+COUNTA($AD$1:ActionListNData[[#This Row],[Resource Data]])</f>
        <v>Action Data-0</v>
      </c>
      <c r="AJ1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1" s="69">
        <f>ActionListNData[[#This Row],[Action]]</f>
        <v>2133140</v>
      </c>
      <c r="AL11" s="69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96" t="str">
        <f>'Table Seed Map'!$A$34&amp;"-"&amp;(COUNTA($E$1:ResourceAction[[#This Row],[Resource]])-2)</f>
        <v>Resource Actions-10</v>
      </c>
      <c r="B12" s="96" t="str">
        <f>ResourceAction[[#This Row],[Resource Name]]&amp;"/"&amp;ResourceAction[[#This Row],[Name]]</f>
        <v>Pricelist/NewPLAction</v>
      </c>
      <c r="C12" s="88" t="s">
        <v>783</v>
      </c>
      <c r="D12" s="96">
        <f>IF(ResourceAction[[#This Row],[Resource Name]]="","id",COUNTA($C$1:ResourceAction[[#This Row],[Resource Name]])-1+IF(VLOOKUP('Table Seed Map'!$A$34,SeedMap[],9,0),VLOOKUP('Table Seed Map'!$A$34,SeedMap[],9,0),0))</f>
        <v>2133110</v>
      </c>
      <c r="E12" s="96">
        <f>IFERROR(VLOOKUP(ResourceAction[[#This Row],[Resource Name]],ResourceTable[[RName]:[No]],3,0),"resource")</f>
        <v>2106115</v>
      </c>
      <c r="F12" s="96" t="s">
        <v>1312</v>
      </c>
      <c r="G12" s="96"/>
      <c r="H12" s="96" t="s">
        <v>1323</v>
      </c>
      <c r="I12" s="96"/>
      <c r="J12" s="96" t="s">
        <v>1323</v>
      </c>
      <c r="K12" s="95" t="str">
        <f>'Table Seed Map'!$A$35&amp;"-"&amp;(COUNTA($E$1:ResourceAction[[#This Row],[Resource]])-2)</f>
        <v>Action Method-10</v>
      </c>
      <c r="L12" s="96">
        <f>IF(ResourceAction[[#This Row],[No]]="id","id",-2+COUNTA($E$1:ResourceAction[[#This Row],[Resource]])+IF(ISNUMBER(VLOOKUP('Table Seed Map'!$A$35,SeedMap[],9,0)),VLOOKUP('Table Seed Map'!$A$35,SeedMap[],9,0),0))</f>
        <v>2134110</v>
      </c>
      <c r="M12" s="96">
        <f>IF(ResourceAction[[#This Row],[No]]="id","resource_action",ResourceAction[[#This Row],[No]])</f>
        <v>2133110</v>
      </c>
      <c r="N12" s="91" t="s">
        <v>121</v>
      </c>
      <c r="O12" s="109">
        <f ca="1">IF(ResourceAction[[#This Row],[Resource Name]]="","idn1",IF(ResourceAction[[#This Row],[IDN1]]="","",VLOOKUP(ResourceAction[[#This Row],[IDN1]],IDNMaps[[Display]:[ID]],2,0)))</f>
        <v>2110112</v>
      </c>
      <c r="P12" s="109" t="str">
        <f>IF(ResourceAction[[#This Row],[Resource Name]]="","idn2",IF(ResourceAction[[#This Row],[IDN2]]="","",VLOOKUP(ResourceAction[[#This Row],[IDN2]],IDNMaps[[Display]:[ID]],2,0)))</f>
        <v/>
      </c>
      <c r="Q12" s="109" t="str">
        <f>IF(ResourceAction[[#This Row],[Resource Name]]="","idn3",IF(ResourceAction[[#This Row],[IDN3]]="","",VLOOKUP(ResourceAction[[#This Row],[IDN3]],IDNMaps[[Display]:[ID]],2,0)))</f>
        <v/>
      </c>
      <c r="R12" s="109" t="str">
        <f>IF(ResourceAction[[#This Row],[Resource Name]]="","idn4",IF(ResourceAction[[#This Row],[IDN4]]="","",VLOOKUP(ResourceAction[[#This Row],[IDN4]],IDNMaps[[Display]:[ID]],2,0)))</f>
        <v/>
      </c>
      <c r="S12" s="109" t="str">
        <f>IF(ResourceAction[[#This Row],[Resource Name]]="","idn5",IF(ResourceAction[[#This Row],[IDN5]]="","",VLOOKUP(ResourceAction[[#This Row],[IDN5]],IDNMaps[[Display]:[ID]],2,0)))</f>
        <v/>
      </c>
      <c r="T12" s="93" t="s">
        <v>1301</v>
      </c>
      <c r="U12" s="110"/>
      <c r="V12" s="110"/>
      <c r="W12" s="110"/>
      <c r="X12" s="110"/>
      <c r="Y12" s="103">
        <f>[No]</f>
        <v>2133110</v>
      </c>
      <c r="Z12"/>
      <c r="AA12" s="62" t="s">
        <v>1571</v>
      </c>
      <c r="AB12" s="69">
        <f>VLOOKUP(ActionListNData[[#This Row],[Action Name]],ResourceAction[[Display]:[No]],3,0)</f>
        <v>2133141</v>
      </c>
      <c r="AC12" s="15" t="s">
        <v>1457</v>
      </c>
      <c r="AD12" s="69"/>
      <c r="AE12" s="69" t="str">
        <f>'Table Seed Map'!$A$37&amp;"-"&amp;-1+COUNTA($AC$1:ActionListNData[[#This Row],[Resource List]])</f>
        <v>Action List-10</v>
      </c>
      <c r="AF12" s="69">
        <f>IF(ActionListNData[[#This Row],[Action Name]]="","id",-1+COUNTA($AC$1:ActionListNData[[#This Row],[Resource List]])+IF(ISNUMBER(VLOOKUP('Table Seed Map'!$A$37,SeedMap[],9,0)),VLOOKUP('Table Seed Map'!$A$37,SeedMap[],9,0),0))</f>
        <v>2136110</v>
      </c>
      <c r="AG12" s="69">
        <f>ActionListNData[[#This Row],[Action]]</f>
        <v>2133141</v>
      </c>
      <c r="AH12" s="69">
        <f>IF(ActionListNData[[#This Row],[Action Name]]="","resource_list",IFERROR(VLOOKUP(ActionListNData[[#This Row],[Resource List]],ResourceList[[ListDisplayName]:[No]],2,0),""))</f>
        <v>2123108</v>
      </c>
      <c r="AI12" s="69" t="str">
        <f>'Table Seed Map'!$A$38&amp;"-"&amp;-1+COUNTA($AD$1:ActionListNData[[#This Row],[Resource Data]])</f>
        <v>Action Data-0</v>
      </c>
      <c r="AJ1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2" s="69">
        <f>ActionListNData[[#This Row],[Action]]</f>
        <v>2133141</v>
      </c>
      <c r="AL12" s="69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96" t="str">
        <f>'Table Seed Map'!$A$34&amp;"-"&amp;(COUNTA($E$1:ResourceAction[[#This Row],[Resource]])-2)</f>
        <v>Resource Actions-11</v>
      </c>
      <c r="B13" s="96" t="str">
        <f>ResourceAction[[#This Row],[Resource Name]]&amp;"/"&amp;ResourceAction[[#This Row],[Name]]</f>
        <v>IdentityLabel/NewILAction</v>
      </c>
      <c r="C13" s="88" t="s">
        <v>786</v>
      </c>
      <c r="D13" s="96">
        <f>IF(ResourceAction[[#This Row],[Resource Name]]="","id",COUNTA($C$1:ResourceAction[[#This Row],[Resource Name]])-1+IF(VLOOKUP('Table Seed Map'!$A$34,SeedMap[],9,0),VLOOKUP('Table Seed Map'!$A$34,SeedMap[],9,0),0))</f>
        <v>2133111</v>
      </c>
      <c r="E13" s="96">
        <f>IFERROR(VLOOKUP(ResourceAction[[#This Row],[Resource Name]],ResourceTable[[RName]:[No]],3,0),"resource")</f>
        <v>2106117</v>
      </c>
      <c r="F13" s="96" t="s">
        <v>1313</v>
      </c>
      <c r="G13" s="96"/>
      <c r="H13" s="96" t="s">
        <v>1324</v>
      </c>
      <c r="I13" s="96"/>
      <c r="J13" s="96" t="s">
        <v>1324</v>
      </c>
      <c r="K13" s="95" t="str">
        <f>'Table Seed Map'!$A$35&amp;"-"&amp;(COUNTA($E$1:ResourceAction[[#This Row],[Resource]])-2)</f>
        <v>Action Method-11</v>
      </c>
      <c r="L13" s="96">
        <f>IF(ResourceAction[[#This Row],[No]]="id","id",-2+COUNTA($E$1:ResourceAction[[#This Row],[Resource]])+IF(ISNUMBER(VLOOKUP('Table Seed Map'!$A$35,SeedMap[],9,0)),VLOOKUP('Table Seed Map'!$A$35,SeedMap[],9,0),0))</f>
        <v>2134111</v>
      </c>
      <c r="M13" s="96">
        <f>IF(ResourceAction[[#This Row],[No]]="id","resource_action",ResourceAction[[#This Row],[No]])</f>
        <v>2133111</v>
      </c>
      <c r="N13" s="91" t="s">
        <v>121</v>
      </c>
      <c r="O13" s="109">
        <f ca="1">IF(ResourceAction[[#This Row],[Resource Name]]="","idn1",IF(ResourceAction[[#This Row],[IDN1]]="","",VLOOKUP(ResourceAction[[#This Row],[IDN1]],IDNMaps[[Display]:[ID]],2,0)))</f>
        <v>2110115</v>
      </c>
      <c r="P13" s="109" t="str">
        <f>IF(ResourceAction[[#This Row],[Resource Name]]="","idn2",IF(ResourceAction[[#This Row],[IDN2]]="","",VLOOKUP(ResourceAction[[#This Row],[IDN2]],IDNMaps[[Display]:[ID]],2,0)))</f>
        <v/>
      </c>
      <c r="Q13" s="109" t="str">
        <f>IF(ResourceAction[[#This Row],[Resource Name]]="","idn3",IF(ResourceAction[[#This Row],[IDN3]]="","",VLOOKUP(ResourceAction[[#This Row],[IDN3]],IDNMaps[[Display]:[ID]],2,0)))</f>
        <v/>
      </c>
      <c r="R13" s="109" t="str">
        <f>IF(ResourceAction[[#This Row],[Resource Name]]="","idn4",IF(ResourceAction[[#This Row],[IDN4]]="","",VLOOKUP(ResourceAction[[#This Row],[IDN4]],IDNMaps[[Display]:[ID]],2,0)))</f>
        <v/>
      </c>
      <c r="S13" s="109" t="str">
        <f>IF(ResourceAction[[#This Row],[Resource Name]]="","idn5",IF(ResourceAction[[#This Row],[IDN5]]="","",VLOOKUP(ResourceAction[[#This Row],[IDN5]],IDNMaps[[Display]:[ID]],2,0)))</f>
        <v/>
      </c>
      <c r="T13" s="93" t="s">
        <v>1302</v>
      </c>
      <c r="U13" s="110"/>
      <c r="V13" s="110"/>
      <c r="W13" s="110"/>
      <c r="X13" s="110"/>
      <c r="Y13" s="103">
        <f>[No]</f>
        <v>2133111</v>
      </c>
      <c r="AA13" s="62" t="s">
        <v>1542</v>
      </c>
      <c r="AB13" s="69">
        <f>VLOOKUP(ActionListNData[[#This Row],[Action Name]],ResourceAction[[Display]:[No]],3,0)</f>
        <v>2133142</v>
      </c>
      <c r="AC13" s="15" t="s">
        <v>1457</v>
      </c>
      <c r="AD13" s="69"/>
      <c r="AE13" s="69" t="str">
        <f>'Table Seed Map'!$A$37&amp;"-"&amp;-1+COUNTA($AC$1:ActionListNData[[#This Row],[Resource List]])</f>
        <v>Action List-11</v>
      </c>
      <c r="AF13" s="69">
        <f>IF(ActionListNData[[#This Row],[Action Name]]="","id",-1+COUNTA($AC$1:ActionListNData[[#This Row],[Resource List]])+IF(ISNUMBER(VLOOKUP('Table Seed Map'!$A$37,SeedMap[],9,0)),VLOOKUP('Table Seed Map'!$A$37,SeedMap[],9,0),0))</f>
        <v>2136111</v>
      </c>
      <c r="AG13" s="69">
        <f>ActionListNData[[#This Row],[Action]]</f>
        <v>2133142</v>
      </c>
      <c r="AH13" s="69">
        <f>IF(ActionListNData[[#This Row],[Action Name]]="","resource_list",IFERROR(VLOOKUP(ActionListNData[[#This Row],[Resource List]],ResourceList[[ListDisplayName]:[No]],2,0),""))</f>
        <v>2123108</v>
      </c>
      <c r="AI13" s="69" t="str">
        <f>'Table Seed Map'!$A$38&amp;"-"&amp;-1+COUNTA($AD$1:ActionListNData[[#This Row],[Resource Data]])</f>
        <v>Action Data-0</v>
      </c>
      <c r="AJ1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3" s="69">
        <f>ActionListNData[[#This Row],[Action]]</f>
        <v>2133142</v>
      </c>
      <c r="AL13" s="69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96" t="str">
        <f>'Table Seed Map'!$A$34&amp;"-"&amp;(COUNTA($E$1:ResourceAction[[#This Row],[Resource]])-2)</f>
        <v>Resource Actions-12</v>
      </c>
      <c r="B14" s="96" t="str">
        <f>ResourceAction[[#This Row],[Resource Name]]&amp;"/"&amp;ResourceAction[[#This Row],[Name]]</f>
        <v>Order/NewOrderAction</v>
      </c>
      <c r="C14" s="88" t="s">
        <v>787</v>
      </c>
      <c r="D14" s="96">
        <f>IF(ResourceAction[[#This Row],[Resource Name]]="","id",COUNTA($C$1:ResourceAction[[#This Row],[Resource Name]])-1+IF(VLOOKUP('Table Seed Map'!$A$34,SeedMap[],9,0),VLOOKUP('Table Seed Map'!$A$34,SeedMap[],9,0),0))</f>
        <v>2133112</v>
      </c>
      <c r="E14" s="96">
        <f>IFERROR(VLOOKUP(ResourceAction[[#This Row],[Resource Name]],ResourceTable[[RName]:[No]],3,0),"resource")</f>
        <v>2106118</v>
      </c>
      <c r="F14" s="96" t="s">
        <v>1314</v>
      </c>
      <c r="G14" s="96"/>
      <c r="H14" s="96" t="s">
        <v>1325</v>
      </c>
      <c r="I14" s="96"/>
      <c r="J14" s="96" t="s">
        <v>1325</v>
      </c>
      <c r="K14" s="95" t="str">
        <f>'Table Seed Map'!$A$35&amp;"-"&amp;(COUNTA($E$1:ResourceAction[[#This Row],[Resource]])-2)</f>
        <v>Action Method-12</v>
      </c>
      <c r="L14" s="96">
        <f>IF(ResourceAction[[#This Row],[No]]="id","id",-2+COUNTA($E$1:ResourceAction[[#This Row],[Resource]])+IF(ISNUMBER(VLOOKUP('Table Seed Map'!$A$35,SeedMap[],9,0)),VLOOKUP('Table Seed Map'!$A$35,SeedMap[],9,0),0))</f>
        <v>2134112</v>
      </c>
      <c r="M14" s="96">
        <f>IF(ResourceAction[[#This Row],[No]]="id","resource_action",ResourceAction[[#This Row],[No]])</f>
        <v>2133112</v>
      </c>
      <c r="N14" s="91" t="s">
        <v>121</v>
      </c>
      <c r="O14" s="109">
        <f ca="1">IF(ResourceAction[[#This Row],[Resource Name]]="","idn1",IF(ResourceAction[[#This Row],[IDN1]]="","",VLOOKUP(ResourceAction[[#This Row],[IDN1]],IDNMaps[[Display]:[ID]],2,0)))</f>
        <v>2110116</v>
      </c>
      <c r="P14" s="109" t="str">
        <f>IF(ResourceAction[[#This Row],[Resource Name]]="","idn2",IF(ResourceAction[[#This Row],[IDN2]]="","",VLOOKUP(ResourceAction[[#This Row],[IDN2]],IDNMaps[[Display]:[ID]],2,0)))</f>
        <v/>
      </c>
      <c r="Q14" s="109" t="str">
        <f>IF(ResourceAction[[#This Row],[Resource Name]]="","idn3",IF(ResourceAction[[#This Row],[IDN3]]="","",VLOOKUP(ResourceAction[[#This Row],[IDN3]],IDNMaps[[Display]:[ID]],2,0)))</f>
        <v/>
      </c>
      <c r="R14" s="109" t="str">
        <f>IF(ResourceAction[[#This Row],[Resource Name]]="","idn4",IF(ResourceAction[[#This Row],[IDN4]]="","",VLOOKUP(ResourceAction[[#This Row],[IDN4]],IDNMaps[[Display]:[ID]],2,0)))</f>
        <v/>
      </c>
      <c r="S14" s="109" t="str">
        <f>IF(ResourceAction[[#This Row],[Resource Name]]="","idn5",IF(ResourceAction[[#This Row],[IDN5]]="","",VLOOKUP(ResourceAction[[#This Row],[IDN5]],IDNMaps[[Display]:[ID]],2,0)))</f>
        <v/>
      </c>
      <c r="T14" s="93" t="s">
        <v>1303</v>
      </c>
      <c r="U14" s="110"/>
      <c r="V14" s="110"/>
      <c r="W14" s="110"/>
      <c r="X14" s="110"/>
      <c r="Y14" s="103">
        <f>[No]</f>
        <v>2133112</v>
      </c>
      <c r="AA14" s="62" t="s">
        <v>1568</v>
      </c>
      <c r="AB14" s="69">
        <f>VLOOKUP(ActionListNData[[#This Row],[Action Name]],ResourceAction[[Display]:[No]],3,0)</f>
        <v>2133143</v>
      </c>
      <c r="AC14" s="69" t="s">
        <v>1455</v>
      </c>
      <c r="AD14" s="69"/>
      <c r="AE14" s="69" t="str">
        <f>'Table Seed Map'!$A$37&amp;"-"&amp;-1+COUNTA($AC$1:ActionListNData[[#This Row],[Resource List]])</f>
        <v>Action List-12</v>
      </c>
      <c r="AF14" s="69">
        <f>IF(ActionListNData[[#This Row],[Action Name]]="","id",-1+COUNTA($AC$1:ActionListNData[[#This Row],[Resource List]])+IF(ISNUMBER(VLOOKUP('Table Seed Map'!$A$37,SeedMap[],9,0)),VLOOKUP('Table Seed Map'!$A$37,SeedMap[],9,0),0))</f>
        <v>2136112</v>
      </c>
      <c r="AG14" s="69">
        <f>ActionListNData[[#This Row],[Action]]</f>
        <v>2133143</v>
      </c>
      <c r="AH14" s="69">
        <f>IF(ActionListNData[[#This Row],[Action Name]]="","resource_list",IFERROR(VLOOKUP(ActionListNData[[#This Row],[Resource List]],ResourceList[[ListDisplayName]:[No]],2,0),""))</f>
        <v>2123107</v>
      </c>
      <c r="AI14" s="69" t="str">
        <f>'Table Seed Map'!$A$38&amp;"-"&amp;-1+COUNTA($AD$1:ActionListNData[[#This Row],[Resource Data]])</f>
        <v>Action Data-0</v>
      </c>
      <c r="AJ1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4" s="69">
        <f>ActionListNData[[#This Row],[Action]]</f>
        <v>2133143</v>
      </c>
      <c r="AL14" s="69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96" t="str">
        <f>'Table Seed Map'!$A$34&amp;"-"&amp;(COUNTA($E$1:ResourceAction[[#This Row],[Resource]])-2)</f>
        <v>Resource Actions-13</v>
      </c>
      <c r="B15" s="96" t="str">
        <f>ResourceAction[[#This Row],[Resource Name]]&amp;"/"&amp;ResourceAction[[#This Row],[Name]]</f>
        <v>Receipt/NewReceiptAction</v>
      </c>
      <c r="C15" s="88" t="s">
        <v>791</v>
      </c>
      <c r="D15" s="96">
        <f>IF(ResourceAction[[#This Row],[Resource Name]]="","id",COUNTA($C$1:ResourceAction[[#This Row],[Resource Name]])-1+IF(VLOOKUP('Table Seed Map'!$A$34,SeedMap[],9,0),VLOOKUP('Table Seed Map'!$A$34,SeedMap[],9,0),0))</f>
        <v>2133113</v>
      </c>
      <c r="E15" s="96">
        <f>IFERROR(VLOOKUP(ResourceAction[[#This Row],[Resource Name]],ResourceTable[[RName]:[No]],3,0),"resource")</f>
        <v>2106124</v>
      </c>
      <c r="F15" s="96" t="s">
        <v>1315</v>
      </c>
      <c r="G15" s="96"/>
      <c r="H15" s="96" t="s">
        <v>1326</v>
      </c>
      <c r="I15" s="96"/>
      <c r="J15" s="96" t="s">
        <v>1326</v>
      </c>
      <c r="K15" s="95" t="str">
        <f>'Table Seed Map'!$A$35&amp;"-"&amp;(COUNTA($E$1:ResourceAction[[#This Row],[Resource]])-2)</f>
        <v>Action Method-13</v>
      </c>
      <c r="L15" s="96">
        <f>IF(ResourceAction[[#This Row],[No]]="id","id",-2+COUNTA($E$1:ResourceAction[[#This Row],[Resource]])+IF(ISNUMBER(VLOOKUP('Table Seed Map'!$A$35,SeedMap[],9,0)),VLOOKUP('Table Seed Map'!$A$35,SeedMap[],9,0),0))</f>
        <v>2134113</v>
      </c>
      <c r="M15" s="96">
        <f>IF(ResourceAction[[#This Row],[No]]="id","resource_action",ResourceAction[[#This Row],[No]])</f>
        <v>2133113</v>
      </c>
      <c r="N15" s="91" t="s">
        <v>121</v>
      </c>
      <c r="O15" s="109">
        <f ca="1">IF(ResourceAction[[#This Row],[Resource Name]]="","idn1",IF(ResourceAction[[#This Row],[IDN1]]="","",VLOOKUP(ResourceAction[[#This Row],[IDN1]],IDNMaps[[Display]:[ID]],2,0)))</f>
        <v>2110120</v>
      </c>
      <c r="P15" s="109" t="str">
        <f>IF(ResourceAction[[#This Row],[Resource Name]]="","idn2",IF(ResourceAction[[#This Row],[IDN2]]="","",VLOOKUP(ResourceAction[[#This Row],[IDN2]],IDNMaps[[Display]:[ID]],2,0)))</f>
        <v/>
      </c>
      <c r="Q15" s="109" t="str">
        <f>IF(ResourceAction[[#This Row],[Resource Name]]="","idn3",IF(ResourceAction[[#This Row],[IDN3]]="","",VLOOKUP(ResourceAction[[#This Row],[IDN3]],IDNMaps[[Display]:[ID]],2,0)))</f>
        <v/>
      </c>
      <c r="R15" s="109" t="str">
        <f>IF(ResourceAction[[#This Row],[Resource Name]]="","idn4",IF(ResourceAction[[#This Row],[IDN4]]="","",VLOOKUP(ResourceAction[[#This Row],[IDN4]],IDNMaps[[Display]:[ID]],2,0)))</f>
        <v/>
      </c>
      <c r="S15" s="109" t="str">
        <f>IF(ResourceAction[[#This Row],[Resource Name]]="","idn5",IF(ResourceAction[[#This Row],[IDN5]]="","",VLOOKUP(ResourceAction[[#This Row],[IDN5]],IDNMaps[[Display]:[ID]],2,0)))</f>
        <v/>
      </c>
      <c r="T15" s="93" t="s">
        <v>1304</v>
      </c>
      <c r="U15" s="110"/>
      <c r="V15" s="110"/>
      <c r="W15" s="110"/>
      <c r="X15" s="110"/>
      <c r="Y15" s="103">
        <f>[No]</f>
        <v>2133113</v>
      </c>
      <c r="AA15" s="62" t="s">
        <v>1569</v>
      </c>
      <c r="AB15" s="69">
        <f>VLOOKUP(ActionListNData[[#This Row],[Action Name]],ResourceAction[[Display]:[No]],3,0)</f>
        <v>2133144</v>
      </c>
      <c r="AC15" s="69" t="s">
        <v>1455</v>
      </c>
      <c r="AD15" s="69"/>
      <c r="AE15" s="69" t="str">
        <f>'Table Seed Map'!$A$37&amp;"-"&amp;-1+COUNTA($AC$1:ActionListNData[[#This Row],[Resource List]])</f>
        <v>Action List-13</v>
      </c>
      <c r="AF15" s="69">
        <f>IF(ActionListNData[[#This Row],[Action Name]]="","id",-1+COUNTA($AC$1:ActionListNData[[#This Row],[Resource List]])+IF(ISNUMBER(VLOOKUP('Table Seed Map'!$A$37,SeedMap[],9,0)),VLOOKUP('Table Seed Map'!$A$37,SeedMap[],9,0),0))</f>
        <v>2136113</v>
      </c>
      <c r="AG15" s="69">
        <f>ActionListNData[[#This Row],[Action]]</f>
        <v>2133144</v>
      </c>
      <c r="AH15" s="69">
        <f>IF(ActionListNData[[#This Row],[Action Name]]="","resource_list",IFERROR(VLOOKUP(ActionListNData[[#This Row],[Resource List]],ResourceList[[ListDisplayName]:[No]],2,0),""))</f>
        <v>2123107</v>
      </c>
      <c r="AI15" s="69" t="str">
        <f>'Table Seed Map'!$A$38&amp;"-"&amp;-1+COUNTA($AD$1:ActionListNData[[#This Row],[Resource Data]])</f>
        <v>Action Data-0</v>
      </c>
      <c r="AJ1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5" s="69">
        <f>ActionListNData[[#This Row],[Action]]</f>
        <v>2133144</v>
      </c>
      <c r="AL15" s="69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96" t="str">
        <f>'Table Seed Map'!$A$34&amp;"-"&amp;(COUNTA($E$1:ResourceAction[[#This Row],[Resource]])-2)</f>
        <v>Resource Actions-14</v>
      </c>
      <c r="B16" s="96" t="str">
        <f>ResourceAction[[#This Row],[Resource Name]]&amp;"/"&amp;ResourceAction[[#This Row],[Name]]</f>
        <v>Delivery/NewDeliveryAction</v>
      </c>
      <c r="C16" s="88" t="s">
        <v>912</v>
      </c>
      <c r="D16" s="96">
        <f>IF(ResourceAction[[#This Row],[Resource Name]]="","id",COUNTA($C$1:ResourceAction[[#This Row],[Resource Name]])-1+IF(VLOOKUP('Table Seed Map'!$A$34,SeedMap[],9,0),VLOOKUP('Table Seed Map'!$A$34,SeedMap[],9,0),0))</f>
        <v>2133114</v>
      </c>
      <c r="E16" s="96">
        <f>IFERROR(VLOOKUP(ResourceAction[[#This Row],[Resource Name]],ResourceTable[[RName]:[No]],3,0),"resource")</f>
        <v>2106125</v>
      </c>
      <c r="F16" s="96" t="s">
        <v>1316</v>
      </c>
      <c r="G16" s="96"/>
      <c r="H16" s="96" t="s">
        <v>1327</v>
      </c>
      <c r="I16" s="96"/>
      <c r="J16" s="96" t="s">
        <v>1327</v>
      </c>
      <c r="K16" s="95" t="str">
        <f>'Table Seed Map'!$A$35&amp;"-"&amp;(COUNTA($E$1:ResourceAction[[#This Row],[Resource]])-2)</f>
        <v>Action Method-14</v>
      </c>
      <c r="L16" s="96">
        <f>IF(ResourceAction[[#This Row],[No]]="id","id",-2+COUNTA($E$1:ResourceAction[[#This Row],[Resource]])+IF(ISNUMBER(VLOOKUP('Table Seed Map'!$A$35,SeedMap[],9,0)),VLOOKUP('Table Seed Map'!$A$35,SeedMap[],9,0),0))</f>
        <v>2134114</v>
      </c>
      <c r="M16" s="96">
        <f>IF(ResourceAction[[#This Row],[No]]="id","resource_action",ResourceAction[[#This Row],[No]])</f>
        <v>2133114</v>
      </c>
      <c r="N16" s="91" t="s">
        <v>121</v>
      </c>
      <c r="O16" s="109">
        <f ca="1">IF(ResourceAction[[#This Row],[Resource Name]]="","idn1",IF(ResourceAction[[#This Row],[IDN1]]="","",VLOOKUP(ResourceAction[[#This Row],[IDN1]],IDNMaps[[Display]:[ID]],2,0)))</f>
        <v>2110121</v>
      </c>
      <c r="P16" s="109" t="str">
        <f>IF(ResourceAction[[#This Row],[Resource Name]]="","idn2",IF(ResourceAction[[#This Row],[IDN2]]="","",VLOOKUP(ResourceAction[[#This Row],[IDN2]],IDNMaps[[Display]:[ID]],2,0)))</f>
        <v/>
      </c>
      <c r="Q16" s="109" t="str">
        <f>IF(ResourceAction[[#This Row],[Resource Name]]="","idn3",IF(ResourceAction[[#This Row],[IDN3]]="","",VLOOKUP(ResourceAction[[#This Row],[IDN3]],IDNMaps[[Display]:[ID]],2,0)))</f>
        <v/>
      </c>
      <c r="R16" s="109" t="str">
        <f>IF(ResourceAction[[#This Row],[Resource Name]]="","idn4",IF(ResourceAction[[#This Row],[IDN4]]="","",VLOOKUP(ResourceAction[[#This Row],[IDN4]],IDNMaps[[Display]:[ID]],2,0)))</f>
        <v/>
      </c>
      <c r="S16" s="109" t="str">
        <f>IF(ResourceAction[[#This Row],[Resource Name]]="","idn5",IF(ResourceAction[[#This Row],[IDN5]]="","",VLOOKUP(ResourceAction[[#This Row],[IDN5]],IDNMaps[[Display]:[ID]],2,0)))</f>
        <v/>
      </c>
      <c r="T16" s="93" t="s">
        <v>1305</v>
      </c>
      <c r="U16" s="110"/>
      <c r="V16" s="110"/>
      <c r="W16" s="110"/>
      <c r="X16" s="110"/>
      <c r="Y16" s="103">
        <f>[No]</f>
        <v>2133114</v>
      </c>
      <c r="AA16" s="62" t="s">
        <v>1576</v>
      </c>
      <c r="AB16" s="69">
        <f>VLOOKUP(ActionListNData[[#This Row],[Action Name]],ResourceAction[[Display]:[No]],3,0)</f>
        <v>2133145</v>
      </c>
      <c r="AC16" s="69" t="s">
        <v>1458</v>
      </c>
      <c r="AD16" s="69"/>
      <c r="AE16" s="69" t="str">
        <f>'Table Seed Map'!$A$37&amp;"-"&amp;-1+COUNTA($AC$1:ActionListNData[[#This Row],[Resource List]])</f>
        <v>Action List-14</v>
      </c>
      <c r="AF16" s="69">
        <f>IF(ActionListNData[[#This Row],[Action Name]]="","id",-1+COUNTA($AC$1:ActionListNData[[#This Row],[Resource List]])+IF(ISNUMBER(VLOOKUP('Table Seed Map'!$A$37,SeedMap[],9,0)),VLOOKUP('Table Seed Map'!$A$37,SeedMap[],9,0),0))</f>
        <v>2136114</v>
      </c>
      <c r="AG16" s="69">
        <f>ActionListNData[[#This Row],[Action]]</f>
        <v>2133145</v>
      </c>
      <c r="AH16" s="69">
        <f>IF(ActionListNData[[#This Row],[Action Name]]="","resource_list",IFERROR(VLOOKUP(ActionListNData[[#This Row],[Resource List]],ResourceList[[ListDisplayName]:[No]],2,0),""))</f>
        <v>2123109</v>
      </c>
      <c r="AI16" s="69" t="str">
        <f>'Table Seed Map'!$A$38&amp;"-"&amp;-1+COUNTA($AD$1:ActionListNData[[#This Row],[Resource Data]])</f>
        <v>Action Data-0</v>
      </c>
      <c r="AJ1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6" s="69">
        <f>ActionListNData[[#This Row],[Action]]</f>
        <v>2133145</v>
      </c>
      <c r="AL16" s="69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96" t="str">
        <f>'Table Seed Map'!$A$34&amp;"-"&amp;(COUNTA($E$1:ResourceAction[[#This Row],[Resource]])-2)</f>
        <v>Resource Actions-15</v>
      </c>
      <c r="B17" s="96" t="str">
        <f>ResourceAction[[#This Row],[Resource Name]]&amp;"/"&amp;ResourceAction[[#This Row],[Name]]</f>
        <v>HubShift/NewHubShiftAction</v>
      </c>
      <c r="C17" s="88" t="s">
        <v>792</v>
      </c>
      <c r="D17" s="96">
        <f>IF(ResourceAction[[#This Row],[Resource Name]]="","id",COUNTA($C$1:ResourceAction[[#This Row],[Resource Name]])-1+IF(VLOOKUP('Table Seed Map'!$A$34,SeedMap[],9,0),VLOOKUP('Table Seed Map'!$A$34,SeedMap[],9,0),0))</f>
        <v>2133115</v>
      </c>
      <c r="E17" s="96">
        <f>IFERROR(VLOOKUP(ResourceAction[[#This Row],[Resource Name]],ResourceTable[[RName]:[No]],3,0),"resource")</f>
        <v>2106127</v>
      </c>
      <c r="F17" s="96" t="s">
        <v>1317</v>
      </c>
      <c r="G17" s="96"/>
      <c r="H17" s="96" t="s">
        <v>1328</v>
      </c>
      <c r="I17" s="96"/>
      <c r="J17" s="96" t="s">
        <v>1328</v>
      </c>
      <c r="K17" s="95" t="str">
        <f>'Table Seed Map'!$A$35&amp;"-"&amp;(COUNTA($E$1:ResourceAction[[#This Row],[Resource]])-2)</f>
        <v>Action Method-15</v>
      </c>
      <c r="L17" s="96">
        <f>IF(ResourceAction[[#This Row],[No]]="id","id",-2+COUNTA($E$1:ResourceAction[[#This Row],[Resource]])+IF(ISNUMBER(VLOOKUP('Table Seed Map'!$A$35,SeedMap[],9,0)),VLOOKUP('Table Seed Map'!$A$35,SeedMap[],9,0),0))</f>
        <v>2134115</v>
      </c>
      <c r="M17" s="96">
        <f>IF(ResourceAction[[#This Row],[No]]="id","resource_action",ResourceAction[[#This Row],[No]])</f>
        <v>2133115</v>
      </c>
      <c r="N17" s="91" t="s">
        <v>121</v>
      </c>
      <c r="O17" s="109">
        <f ca="1">IF(ResourceAction[[#This Row],[Resource Name]]="","idn1",IF(ResourceAction[[#This Row],[IDN1]]="","",VLOOKUP(ResourceAction[[#This Row],[IDN1]],IDNMaps[[Display]:[ID]],2,0)))</f>
        <v>2110123</v>
      </c>
      <c r="P17" s="109" t="str">
        <f>IF(ResourceAction[[#This Row],[Resource Name]]="","idn2",IF(ResourceAction[[#This Row],[IDN2]]="","",VLOOKUP(ResourceAction[[#This Row],[IDN2]],IDNMaps[[Display]:[ID]],2,0)))</f>
        <v/>
      </c>
      <c r="Q17" s="109" t="str">
        <f>IF(ResourceAction[[#This Row],[Resource Name]]="","idn3",IF(ResourceAction[[#This Row],[IDN3]]="","",VLOOKUP(ResourceAction[[#This Row],[IDN3]],IDNMaps[[Display]:[ID]],2,0)))</f>
        <v/>
      </c>
      <c r="R17" s="109" t="str">
        <f>IF(ResourceAction[[#This Row],[Resource Name]]="","idn4",IF(ResourceAction[[#This Row],[IDN4]]="","",VLOOKUP(ResourceAction[[#This Row],[IDN4]],IDNMaps[[Display]:[ID]],2,0)))</f>
        <v/>
      </c>
      <c r="S17" s="109" t="str">
        <f>IF(ResourceAction[[#This Row],[Resource Name]]="","idn5",IF(ResourceAction[[#This Row],[IDN5]]="","",VLOOKUP(ResourceAction[[#This Row],[IDN5]],IDNMaps[[Display]:[ID]],2,0)))</f>
        <v/>
      </c>
      <c r="T17" s="93" t="s">
        <v>1306</v>
      </c>
      <c r="U17" s="110"/>
      <c r="V17" s="110"/>
      <c r="W17" s="110"/>
      <c r="X17" s="110"/>
      <c r="Y17" s="103">
        <f>[No]</f>
        <v>2133115</v>
      </c>
      <c r="AA17" s="62" t="s">
        <v>1588</v>
      </c>
      <c r="AB17" s="69">
        <f>VLOOKUP(ActionListNData[[#This Row],[Action Name]],ResourceAction[[Display]:[No]],3,0)</f>
        <v>2133146</v>
      </c>
      <c r="AC17" s="69" t="s">
        <v>1458</v>
      </c>
      <c r="AD17" s="69"/>
      <c r="AE17" s="69" t="str">
        <f>'Table Seed Map'!$A$37&amp;"-"&amp;-1+COUNTA($AC$1:ActionListNData[[#This Row],[Resource List]])</f>
        <v>Action List-15</v>
      </c>
      <c r="AF17" s="69">
        <f>IF(ActionListNData[[#This Row],[Action Name]]="","id",-1+COUNTA($AC$1:ActionListNData[[#This Row],[Resource List]])+IF(ISNUMBER(VLOOKUP('Table Seed Map'!$A$37,SeedMap[],9,0)),VLOOKUP('Table Seed Map'!$A$37,SeedMap[],9,0),0))</f>
        <v>2136115</v>
      </c>
      <c r="AG17" s="69">
        <f>ActionListNData[[#This Row],[Action]]</f>
        <v>2133146</v>
      </c>
      <c r="AH17" s="69">
        <f>IF(ActionListNData[[#This Row],[Action Name]]="","resource_list",IFERROR(VLOOKUP(ActionListNData[[#This Row],[Resource List]],ResourceList[[ListDisplayName]:[No]],2,0),""))</f>
        <v>2123109</v>
      </c>
      <c r="AI17" s="69" t="str">
        <f>'Table Seed Map'!$A$38&amp;"-"&amp;-1+COUNTA($AD$1:ActionListNData[[#This Row],[Resource Data]])</f>
        <v>Action Data-0</v>
      </c>
      <c r="AJ1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7" s="69">
        <f>ActionListNData[[#This Row],[Action]]</f>
        <v>2133146</v>
      </c>
      <c r="AL17" s="69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96" t="str">
        <f>'Table Seed Map'!$A$34&amp;"-"&amp;(COUNTA($E$1:ResourceAction[[#This Row],[Resource]])-2)</f>
        <v>Resource Actions-16</v>
      </c>
      <c r="B18" s="96" t="str">
        <f>ResourceAction[[#This Row],[Resource Name]]&amp;"/"&amp;ResourceAction[[#This Row],[Name]]</f>
        <v>Owner/OwnerListAction</v>
      </c>
      <c r="C18" s="104" t="s">
        <v>1119</v>
      </c>
      <c r="D18" s="96">
        <f>IF(ResourceAction[[#This Row],[Resource Name]]="","id",COUNTA($C$1:ResourceAction[[#This Row],[Resource Name]])-1+IF(VLOOKUP('Table Seed Map'!$A$34,SeedMap[],9,0),VLOOKUP('Table Seed Map'!$A$34,SeedMap[],9,0),0))</f>
        <v>2133116</v>
      </c>
      <c r="E18" s="96">
        <f>IFERROR(VLOOKUP(ResourceAction[[#This Row],[Resource Name]],ResourceTable[[RName]:[No]],3,0),"resource")</f>
        <v>2106103</v>
      </c>
      <c r="F18" s="96" t="s">
        <v>1432</v>
      </c>
      <c r="G18" s="96"/>
      <c r="H18" s="96" t="s">
        <v>1117</v>
      </c>
      <c r="I18" s="96"/>
      <c r="J18" s="96" t="s">
        <v>1117</v>
      </c>
      <c r="K18" s="95" t="str">
        <f>'Table Seed Map'!$A$35&amp;"-"&amp;(COUNTA($E$1:ResourceAction[[#This Row],[Resource]])-2)</f>
        <v>Action Method-16</v>
      </c>
      <c r="L18" s="96">
        <f>IF(ResourceAction[[#This Row],[No]]="id","id",-2+COUNTA($E$1:ResourceAction[[#This Row],[Resource]])+IF(ISNUMBER(VLOOKUP('Table Seed Map'!$A$35,SeedMap[],9,0)),VLOOKUP('Table Seed Map'!$A$35,SeedMap[],9,0),0))</f>
        <v>2134116</v>
      </c>
      <c r="M18" s="96">
        <f>IF(ResourceAction[[#This Row],[No]]="id","resource_action",ResourceAction[[#This Row],[No]])</f>
        <v>2133116</v>
      </c>
      <c r="N18" s="91" t="s">
        <v>122</v>
      </c>
      <c r="O18" s="109">
        <f ca="1">IF(ResourceAction[[#This Row],[Resource Name]]="","idn1",IF(ResourceAction[[#This Row],[IDN1]]="","",VLOOKUP(ResourceAction[[#This Row],[IDN1]],IDNMaps[[Display]:[ID]],2,0)))</f>
        <v>2123102</v>
      </c>
      <c r="P18" s="109" t="str">
        <f>IF(ResourceAction[[#This Row],[Resource Name]]="","idn2",IF(ResourceAction[[#This Row],[IDN2]]="","",VLOOKUP(ResourceAction[[#This Row],[IDN2]],IDNMaps[[Display]:[ID]],2,0)))</f>
        <v/>
      </c>
      <c r="Q18" s="109" t="str">
        <f>IF(ResourceAction[[#This Row],[Resource Name]]="","idn3",IF(ResourceAction[[#This Row],[IDN3]]="","",VLOOKUP(ResourceAction[[#This Row],[IDN3]],IDNMaps[[Display]:[ID]],2,0)))</f>
        <v/>
      </c>
      <c r="R18" s="109" t="str">
        <f>IF(ResourceAction[[#This Row],[Resource Name]]="","idn4",IF(ResourceAction[[#This Row],[IDN4]]="","",VLOOKUP(ResourceAction[[#This Row],[IDN4]],IDNMaps[[Display]:[ID]],2,0)))</f>
        <v/>
      </c>
      <c r="S18" s="109" t="str">
        <f>IF(ResourceAction[[#This Row],[Resource Name]]="","idn5",IF(ResourceAction[[#This Row],[IDN5]]="","",VLOOKUP(ResourceAction[[#This Row],[IDN5]],IDNMaps[[Display]:[ID]],2,0)))</f>
        <v/>
      </c>
      <c r="T18" s="93" t="s">
        <v>1416</v>
      </c>
      <c r="U18" s="110"/>
      <c r="V18" s="110"/>
      <c r="W18" s="110"/>
      <c r="X18" s="110"/>
      <c r="Y18" s="103">
        <f>[No]</f>
        <v>2133116</v>
      </c>
      <c r="AA18" s="62" t="s">
        <v>1593</v>
      </c>
      <c r="AB18" s="69">
        <f>VLOOKUP(ActionListNData[[#This Row],[Action Name]],ResourceAction[[Display]:[No]],3,0)</f>
        <v>2133147</v>
      </c>
      <c r="AC18" s="69" t="s">
        <v>1457</v>
      </c>
      <c r="AD18" s="69"/>
      <c r="AE18" s="69" t="str">
        <f>'Table Seed Map'!$A$37&amp;"-"&amp;-1+COUNTA($AC$1:ActionListNData[[#This Row],[Resource List]])</f>
        <v>Action List-16</v>
      </c>
      <c r="AF18" s="69">
        <f>IF(ActionListNData[[#This Row],[Action Name]]="","id",-1+COUNTA($AC$1:ActionListNData[[#This Row],[Resource List]])+IF(ISNUMBER(VLOOKUP('Table Seed Map'!$A$37,SeedMap[],9,0)),VLOOKUP('Table Seed Map'!$A$37,SeedMap[],9,0),0))</f>
        <v>2136116</v>
      </c>
      <c r="AG18" s="69">
        <f>ActionListNData[[#This Row],[Action]]</f>
        <v>2133147</v>
      </c>
      <c r="AH18" s="69">
        <f>IF(ActionListNData[[#This Row],[Action Name]]="","resource_list",IFERROR(VLOOKUP(ActionListNData[[#This Row],[Resource List]],ResourceList[[ListDisplayName]:[No]],2,0),""))</f>
        <v>2123108</v>
      </c>
      <c r="AI18" s="69" t="str">
        <f>'Table Seed Map'!$A$38&amp;"-"&amp;-1+COUNTA($AD$1:ActionListNData[[#This Row],[Resource Data]])</f>
        <v>Action Data-0</v>
      </c>
      <c r="AJ1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8" s="69">
        <f>ActionListNData[[#This Row],[Action]]</f>
        <v>2133147</v>
      </c>
      <c r="AL18" s="69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96" t="str">
        <f>'Table Seed Map'!$A$34&amp;"-"&amp;(COUNTA($E$1:ResourceAction[[#This Row],[Resource]])-2)</f>
        <v>Resource Actions-17</v>
      </c>
      <c r="B19" s="96" t="str">
        <f>ResourceAction[[#This Row],[Resource Name]]&amp;"/"&amp;ResourceAction[[#This Row],[Name]]</f>
        <v>Employee/EmployeeListAction</v>
      </c>
      <c r="C19" s="104" t="s">
        <v>1337</v>
      </c>
      <c r="D19" s="96">
        <f>IF(ResourceAction[[#This Row],[Resource Name]]="","id",COUNTA($C$1:ResourceAction[[#This Row],[Resource Name]])-1+IF(VLOOKUP('Table Seed Map'!$A$34,SeedMap[],9,0),VLOOKUP('Table Seed Map'!$A$34,SeedMap[],9,0),0))</f>
        <v>2133117</v>
      </c>
      <c r="E19" s="96">
        <f>IFERROR(VLOOKUP(ResourceAction[[#This Row],[Resource Name]],ResourceTable[[RName]:[No]],3,0),"resource")</f>
        <v>2106104</v>
      </c>
      <c r="F19" s="96" t="s">
        <v>1433</v>
      </c>
      <c r="G19" s="96"/>
      <c r="H19" s="96" t="s">
        <v>1114</v>
      </c>
      <c r="I19" s="96"/>
      <c r="J19" s="96" t="s">
        <v>1114</v>
      </c>
      <c r="K19" s="95" t="str">
        <f>'Table Seed Map'!$A$35&amp;"-"&amp;(COUNTA($E$1:ResourceAction[[#This Row],[Resource]])-2)</f>
        <v>Action Method-17</v>
      </c>
      <c r="L19" s="96">
        <f>IF(ResourceAction[[#This Row],[No]]="id","id",-2+COUNTA($E$1:ResourceAction[[#This Row],[Resource]])+IF(ISNUMBER(VLOOKUP('Table Seed Map'!$A$35,SeedMap[],9,0)),VLOOKUP('Table Seed Map'!$A$35,SeedMap[],9,0),0))</f>
        <v>2134117</v>
      </c>
      <c r="M19" s="96">
        <f>IF(ResourceAction[[#This Row],[No]]="id","resource_action",ResourceAction[[#This Row],[No]])</f>
        <v>2133117</v>
      </c>
      <c r="N19" s="91" t="s">
        <v>122</v>
      </c>
      <c r="O19" s="109">
        <f ca="1">IF(ResourceAction[[#This Row],[Resource Name]]="","idn1",IF(ResourceAction[[#This Row],[IDN1]]="","",VLOOKUP(ResourceAction[[#This Row],[IDN1]],IDNMaps[[Display]:[ID]],2,0)))</f>
        <v>2123103</v>
      </c>
      <c r="P19" s="109" t="str">
        <f>IF(ResourceAction[[#This Row],[Resource Name]]="","idn2",IF(ResourceAction[[#This Row],[IDN2]]="","",VLOOKUP(ResourceAction[[#This Row],[IDN2]],IDNMaps[[Display]:[ID]],2,0)))</f>
        <v/>
      </c>
      <c r="Q19" s="109" t="str">
        <f>IF(ResourceAction[[#This Row],[Resource Name]]="","idn3",IF(ResourceAction[[#This Row],[IDN3]]="","",VLOOKUP(ResourceAction[[#This Row],[IDN3]],IDNMaps[[Display]:[ID]],2,0)))</f>
        <v/>
      </c>
      <c r="R19" s="109" t="str">
        <f>IF(ResourceAction[[#This Row],[Resource Name]]="","idn4",IF(ResourceAction[[#This Row],[IDN4]]="","",VLOOKUP(ResourceAction[[#This Row],[IDN4]],IDNMaps[[Display]:[ID]],2,0)))</f>
        <v/>
      </c>
      <c r="S19" s="109" t="str">
        <f>IF(ResourceAction[[#This Row],[Resource Name]]="","idn5",IF(ResourceAction[[#This Row],[IDN5]]="","",VLOOKUP(ResourceAction[[#This Row],[IDN5]],IDNMaps[[Display]:[ID]],2,0)))</f>
        <v/>
      </c>
      <c r="T19" s="93" t="s">
        <v>1417</v>
      </c>
      <c r="U19" s="110"/>
      <c r="V19" s="110"/>
      <c r="W19" s="110"/>
      <c r="X19" s="110"/>
      <c r="Y19" s="103">
        <f>[No]</f>
        <v>2133117</v>
      </c>
      <c r="AA19" s="62" t="s">
        <v>1605</v>
      </c>
      <c r="AB19" s="69">
        <f>VLOOKUP(ActionListNData[[#This Row],[Action Name]],ResourceAction[[Display]:[No]],3,0)</f>
        <v>2133149</v>
      </c>
      <c r="AC19" s="69" t="s">
        <v>1465</v>
      </c>
      <c r="AD19" s="69"/>
      <c r="AE19" s="69" t="str">
        <f>'Table Seed Map'!$A$37&amp;"-"&amp;-1+COUNTA($AC$1:ActionListNData[[#This Row],[Resource List]])</f>
        <v>Action List-17</v>
      </c>
      <c r="AF19" s="69">
        <f>IF(ActionListNData[[#This Row],[Action Name]]="","id",-1+COUNTA($AC$1:ActionListNData[[#This Row],[Resource List]])+IF(ISNUMBER(VLOOKUP('Table Seed Map'!$A$37,SeedMap[],9,0)),VLOOKUP('Table Seed Map'!$A$37,SeedMap[],9,0),0))</f>
        <v>2136117</v>
      </c>
      <c r="AG19" s="69">
        <f>ActionListNData[[#This Row],[Action]]</f>
        <v>2133149</v>
      </c>
      <c r="AH19" s="69">
        <f>IF(ActionListNData[[#This Row],[Action Name]]="","resource_list",IFERROR(VLOOKUP(ActionListNData[[#This Row],[Resource List]],ResourceList[[ListDisplayName]:[No]],2,0),""))</f>
        <v>2123112</v>
      </c>
      <c r="AI19" s="69" t="str">
        <f>'Table Seed Map'!$A$38&amp;"-"&amp;-1+COUNTA($AD$1:ActionListNData[[#This Row],[Resource Data]])</f>
        <v>Action Data-0</v>
      </c>
      <c r="AJ1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9" s="69">
        <f>ActionListNData[[#This Row],[Action]]</f>
        <v>2133149</v>
      </c>
      <c r="AL19" s="69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96" t="str">
        <f>'Table Seed Map'!$A$34&amp;"-"&amp;(COUNTA($E$1:ResourceAction[[#This Row],[Resource]])-2)</f>
        <v>Resource Actions-18</v>
      </c>
      <c r="B20" s="96" t="str">
        <f>ResourceAction[[#This Row],[Resource Name]]&amp;"/"&amp;ResourceAction[[#This Row],[Name]]</f>
        <v>Employee/ManagerListAction</v>
      </c>
      <c r="C20" s="104" t="s">
        <v>1337</v>
      </c>
      <c r="D20" s="96">
        <f>IF(ResourceAction[[#This Row],[Resource Name]]="","id",COUNTA($C$1:ResourceAction[[#This Row],[Resource Name]])-1+IF(VLOOKUP('Table Seed Map'!$A$34,SeedMap[],9,0),VLOOKUP('Table Seed Map'!$A$34,SeedMap[],9,0),0))</f>
        <v>2133118</v>
      </c>
      <c r="E20" s="96">
        <f>IFERROR(VLOOKUP(ResourceAction[[#This Row],[Resource Name]],ResourceTable[[RName]:[No]],3,0),"resource")</f>
        <v>2106104</v>
      </c>
      <c r="F20" s="96" t="s">
        <v>1434</v>
      </c>
      <c r="G20" s="96"/>
      <c r="H20" s="96" t="s">
        <v>1098</v>
      </c>
      <c r="I20" s="96"/>
      <c r="J20" s="96" t="s">
        <v>1098</v>
      </c>
      <c r="K20" s="95" t="str">
        <f>'Table Seed Map'!$A$35&amp;"-"&amp;(COUNTA($E$1:ResourceAction[[#This Row],[Resource]])-2)</f>
        <v>Action Method-18</v>
      </c>
      <c r="L20" s="96">
        <f>IF(ResourceAction[[#This Row],[No]]="id","id",-2+COUNTA($E$1:ResourceAction[[#This Row],[Resource]])+IF(ISNUMBER(VLOOKUP('Table Seed Map'!$A$35,SeedMap[],9,0)),VLOOKUP('Table Seed Map'!$A$35,SeedMap[],9,0),0))</f>
        <v>2134118</v>
      </c>
      <c r="M20" s="96">
        <f>IF(ResourceAction[[#This Row],[No]]="id","resource_action",ResourceAction[[#This Row],[No]])</f>
        <v>2133118</v>
      </c>
      <c r="N20" s="91" t="s">
        <v>122</v>
      </c>
      <c r="O20" s="109">
        <f ca="1">IF(ResourceAction[[#This Row],[Resource Name]]="","idn1",IF(ResourceAction[[#This Row],[IDN1]]="","",VLOOKUP(ResourceAction[[#This Row],[IDN1]],IDNMaps[[Display]:[ID]],2,0)))</f>
        <v>2123104</v>
      </c>
      <c r="P20" s="109" t="str">
        <f>IF(ResourceAction[[#This Row],[Resource Name]]="","idn2",IF(ResourceAction[[#This Row],[IDN2]]="","",VLOOKUP(ResourceAction[[#This Row],[IDN2]],IDNMaps[[Display]:[ID]],2,0)))</f>
        <v/>
      </c>
      <c r="Q20" s="109" t="str">
        <f>IF(ResourceAction[[#This Row],[Resource Name]]="","idn3",IF(ResourceAction[[#This Row],[IDN3]]="","",VLOOKUP(ResourceAction[[#This Row],[IDN3]],IDNMaps[[Display]:[ID]],2,0)))</f>
        <v/>
      </c>
      <c r="R20" s="109" t="str">
        <f>IF(ResourceAction[[#This Row],[Resource Name]]="","idn4",IF(ResourceAction[[#This Row],[IDN4]]="","",VLOOKUP(ResourceAction[[#This Row],[IDN4]],IDNMaps[[Display]:[ID]],2,0)))</f>
        <v/>
      </c>
      <c r="S20" s="109" t="str">
        <f>IF(ResourceAction[[#This Row],[Resource Name]]="","idn5",IF(ResourceAction[[#This Row],[IDN5]]="","",VLOOKUP(ResourceAction[[#This Row],[IDN5]],IDNMaps[[Display]:[ID]],2,0)))</f>
        <v/>
      </c>
      <c r="T20" s="93" t="s">
        <v>1418</v>
      </c>
      <c r="U20" s="110"/>
      <c r="V20" s="110"/>
      <c r="W20" s="110"/>
      <c r="X20" s="110"/>
      <c r="Y20" s="103">
        <f>[No]</f>
        <v>2133118</v>
      </c>
      <c r="AA20" s="62" t="s">
        <v>1618</v>
      </c>
      <c r="AB20" s="69">
        <f>VLOOKUP(ActionListNData[[#This Row],[Action Name]],ResourceAction[[Display]:[No]],3,0)</f>
        <v>2133151</v>
      </c>
      <c r="AC20" s="69" t="s">
        <v>1461</v>
      </c>
      <c r="AD20" s="69"/>
      <c r="AE20" s="69" t="str">
        <f>'Table Seed Map'!$A$37&amp;"-"&amp;-1+COUNTA($AC$1:ActionListNData[[#This Row],[Resource List]])</f>
        <v>Action List-18</v>
      </c>
      <c r="AF20" s="69">
        <f>IF(ActionListNData[[#This Row],[Action Name]]="","id",-1+COUNTA($AC$1:ActionListNData[[#This Row],[Resource List]])+IF(ISNUMBER(VLOOKUP('Table Seed Map'!$A$37,SeedMap[],9,0)),VLOOKUP('Table Seed Map'!$A$37,SeedMap[],9,0),0))</f>
        <v>2136118</v>
      </c>
      <c r="AG20" s="69">
        <f>ActionListNData[[#This Row],[Action]]</f>
        <v>2133151</v>
      </c>
      <c r="AH20" s="69">
        <f>IF(ActionListNData[[#This Row],[Action Name]]="","resource_list",IFERROR(VLOOKUP(ActionListNData[[#This Row],[Resource List]],ResourceList[[ListDisplayName]:[No]],2,0),""))</f>
        <v>2123110</v>
      </c>
      <c r="AI20" s="69" t="str">
        <f>'Table Seed Map'!$A$38&amp;"-"&amp;-1+COUNTA($AD$1:ActionListNData[[#This Row],[Resource Data]])</f>
        <v>Action Data-0</v>
      </c>
      <c r="AJ2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0" s="69">
        <f>ActionListNData[[#This Row],[Action]]</f>
        <v>2133151</v>
      </c>
      <c r="AL20" s="69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96" t="str">
        <f>'Table Seed Map'!$A$34&amp;"-"&amp;(COUNTA($E$1:ResourceAction[[#This Row],[Resource]])-2)</f>
        <v>Resource Actions-19</v>
      </c>
      <c r="B21" s="96" t="str">
        <f>ResourceAction[[#This Row],[Resource Name]]&amp;"/"&amp;ResourceAction[[#This Row],[Name]]</f>
        <v>Employee/ProviderListAction</v>
      </c>
      <c r="C21" s="104" t="s">
        <v>1337</v>
      </c>
      <c r="D21" s="96">
        <f>IF(ResourceAction[[#This Row],[Resource Name]]="","id",COUNTA($C$1:ResourceAction[[#This Row],[Resource Name]])-1+IF(VLOOKUP('Table Seed Map'!$A$34,SeedMap[],9,0),VLOOKUP('Table Seed Map'!$A$34,SeedMap[],9,0),0))</f>
        <v>2133119</v>
      </c>
      <c r="E21" s="96">
        <f>IFERROR(VLOOKUP(ResourceAction[[#This Row],[Resource Name]],ResourceTable[[RName]:[No]],3,0),"resource")</f>
        <v>2106104</v>
      </c>
      <c r="F21" s="96" t="s">
        <v>1435</v>
      </c>
      <c r="G21" s="96"/>
      <c r="H21" s="96" t="s">
        <v>1099</v>
      </c>
      <c r="I21" s="96"/>
      <c r="J21" s="96" t="s">
        <v>1099</v>
      </c>
      <c r="K21" s="95" t="str">
        <f>'Table Seed Map'!$A$35&amp;"-"&amp;(COUNTA($E$1:ResourceAction[[#This Row],[Resource]])-2)</f>
        <v>Action Method-19</v>
      </c>
      <c r="L21" s="96">
        <f>IF(ResourceAction[[#This Row],[No]]="id","id",-2+COUNTA($E$1:ResourceAction[[#This Row],[Resource]])+IF(ISNUMBER(VLOOKUP('Table Seed Map'!$A$35,SeedMap[],9,0)),VLOOKUP('Table Seed Map'!$A$35,SeedMap[],9,0),0))</f>
        <v>2134119</v>
      </c>
      <c r="M21" s="96">
        <f>IF(ResourceAction[[#This Row],[No]]="id","resource_action",ResourceAction[[#This Row],[No]])</f>
        <v>2133119</v>
      </c>
      <c r="N21" s="91" t="s">
        <v>122</v>
      </c>
      <c r="O21" s="109">
        <f ca="1">IF(ResourceAction[[#This Row],[Resource Name]]="","idn1",IF(ResourceAction[[#This Row],[IDN1]]="","",VLOOKUP(ResourceAction[[#This Row],[IDN1]],IDNMaps[[Display]:[ID]],2,0)))</f>
        <v>2123105</v>
      </c>
      <c r="P21" s="109" t="str">
        <f>IF(ResourceAction[[#This Row],[Resource Name]]="","idn2",IF(ResourceAction[[#This Row],[IDN2]]="","",VLOOKUP(ResourceAction[[#This Row],[IDN2]],IDNMaps[[Display]:[ID]],2,0)))</f>
        <v/>
      </c>
      <c r="Q21" s="109" t="str">
        <f>IF(ResourceAction[[#This Row],[Resource Name]]="","idn3",IF(ResourceAction[[#This Row],[IDN3]]="","",VLOOKUP(ResourceAction[[#This Row],[IDN3]],IDNMaps[[Display]:[ID]],2,0)))</f>
        <v/>
      </c>
      <c r="R21" s="109" t="str">
        <f>IF(ResourceAction[[#This Row],[Resource Name]]="","idn4",IF(ResourceAction[[#This Row],[IDN4]]="","",VLOOKUP(ResourceAction[[#This Row],[IDN4]],IDNMaps[[Display]:[ID]],2,0)))</f>
        <v/>
      </c>
      <c r="S21" s="109" t="str">
        <f>IF(ResourceAction[[#This Row],[Resource Name]]="","idn5",IF(ResourceAction[[#This Row],[IDN5]]="","",VLOOKUP(ResourceAction[[#This Row],[IDN5]],IDNMaps[[Display]:[ID]],2,0)))</f>
        <v/>
      </c>
      <c r="T21" s="93" t="s">
        <v>1419</v>
      </c>
      <c r="U21" s="110"/>
      <c r="V21" s="110"/>
      <c r="W21" s="110"/>
      <c r="X21" s="110"/>
      <c r="Y21" s="103">
        <f>[No]</f>
        <v>2133119</v>
      </c>
      <c r="AA21" s="62" t="s">
        <v>1625</v>
      </c>
      <c r="AB21" s="69">
        <f>VLOOKUP(ActionListNData[[#This Row],[Action Name]],ResourceAction[[Display]:[No]],3,0)</f>
        <v>2133153</v>
      </c>
      <c r="AC21" s="69" t="s">
        <v>1458</v>
      </c>
      <c r="AD21" s="69"/>
      <c r="AE21" s="69" t="str">
        <f>'Table Seed Map'!$A$37&amp;"-"&amp;-1+COUNTA($AC$1:ActionListNData[[#This Row],[Resource List]])</f>
        <v>Action List-19</v>
      </c>
      <c r="AF21" s="69">
        <f>IF(ActionListNData[[#This Row],[Action Name]]="","id",-1+COUNTA($AC$1:ActionListNData[[#This Row],[Resource List]])+IF(ISNUMBER(VLOOKUP('Table Seed Map'!$A$37,SeedMap[],9,0)),VLOOKUP('Table Seed Map'!$A$37,SeedMap[],9,0),0))</f>
        <v>2136119</v>
      </c>
      <c r="AG21" s="69">
        <f>ActionListNData[[#This Row],[Action]]</f>
        <v>2133153</v>
      </c>
      <c r="AH21" s="69">
        <f>IF(ActionListNData[[#This Row],[Action Name]]="","resource_list",IFERROR(VLOOKUP(ActionListNData[[#This Row],[Resource List]],ResourceList[[ListDisplayName]:[No]],2,0),""))</f>
        <v>2123109</v>
      </c>
      <c r="AI21" s="69" t="str">
        <f>'Table Seed Map'!$A$38&amp;"-"&amp;-1+COUNTA($AD$1:ActionListNData[[#This Row],[Resource Data]])</f>
        <v>Action Data-0</v>
      </c>
      <c r="AJ2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1" s="69">
        <f>ActionListNData[[#This Row],[Action]]</f>
        <v>2133153</v>
      </c>
      <c r="AL21" s="69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96" t="str">
        <f>'Table Seed Map'!$A$34&amp;"-"&amp;(COUNTA($E$1:ResourceAction[[#This Row],[Resource]])-2)</f>
        <v>Resource Actions-20</v>
      </c>
      <c r="B22" s="96" t="str">
        <f>ResourceAction[[#This Row],[Resource Name]]&amp;"/"&amp;ResourceAction[[#This Row],[Name]]</f>
        <v>Customer/CustomerListAction</v>
      </c>
      <c r="C22" s="104" t="s">
        <v>785</v>
      </c>
      <c r="D22" s="96">
        <f>IF(ResourceAction[[#This Row],[Resource Name]]="","id",COUNTA($C$1:ResourceAction[[#This Row],[Resource Name]])-1+IF(VLOOKUP('Table Seed Map'!$A$34,SeedMap[],9,0),VLOOKUP('Table Seed Map'!$A$34,SeedMap[],9,0),0))</f>
        <v>2133120</v>
      </c>
      <c r="E22" s="96">
        <f>IFERROR(VLOOKUP(ResourceAction[[#This Row],[Resource Name]],ResourceTable[[RName]:[No]],3,0),"resource")</f>
        <v>2106105</v>
      </c>
      <c r="F22" s="96" t="s">
        <v>1436</v>
      </c>
      <c r="G22" s="96"/>
      <c r="H22" s="96" t="s">
        <v>903</v>
      </c>
      <c r="I22" s="96"/>
      <c r="J22" s="96" t="s">
        <v>903</v>
      </c>
      <c r="K22" s="95" t="str">
        <f>'Table Seed Map'!$A$35&amp;"-"&amp;(COUNTA($E$1:ResourceAction[[#This Row],[Resource]])-2)</f>
        <v>Action Method-20</v>
      </c>
      <c r="L22" s="96">
        <f>IF(ResourceAction[[#This Row],[No]]="id","id",-2+COUNTA($E$1:ResourceAction[[#This Row],[Resource]])+IF(ISNUMBER(VLOOKUP('Table Seed Map'!$A$35,SeedMap[],9,0)),VLOOKUP('Table Seed Map'!$A$35,SeedMap[],9,0),0))</f>
        <v>2134120</v>
      </c>
      <c r="M22" s="96">
        <f>IF(ResourceAction[[#This Row],[No]]="id","resource_action",ResourceAction[[#This Row],[No]])</f>
        <v>2133120</v>
      </c>
      <c r="N22" s="91" t="s">
        <v>122</v>
      </c>
      <c r="O22" s="109">
        <f ca="1">IF(ResourceAction[[#This Row],[Resource Name]]="","idn1",IF(ResourceAction[[#This Row],[IDN1]]="","",VLOOKUP(ResourceAction[[#This Row],[IDN1]],IDNMaps[[Display]:[ID]],2,0)))</f>
        <v>2123107</v>
      </c>
      <c r="P22" s="109" t="str">
        <f>IF(ResourceAction[[#This Row],[Resource Name]]="","idn2",IF(ResourceAction[[#This Row],[IDN2]]="","",VLOOKUP(ResourceAction[[#This Row],[IDN2]],IDNMaps[[Display]:[ID]],2,0)))</f>
        <v/>
      </c>
      <c r="Q22" s="109" t="str">
        <f>IF(ResourceAction[[#This Row],[Resource Name]]="","idn3",IF(ResourceAction[[#This Row],[IDN3]]="","",VLOOKUP(ResourceAction[[#This Row],[IDN3]],IDNMaps[[Display]:[ID]],2,0)))</f>
        <v/>
      </c>
      <c r="R22" s="109" t="str">
        <f>IF(ResourceAction[[#This Row],[Resource Name]]="","idn4",IF(ResourceAction[[#This Row],[IDN4]]="","",VLOOKUP(ResourceAction[[#This Row],[IDN4]],IDNMaps[[Display]:[ID]],2,0)))</f>
        <v/>
      </c>
      <c r="S22" s="109" t="str">
        <f>IF(ResourceAction[[#This Row],[Resource Name]]="","idn5",IF(ResourceAction[[#This Row],[IDN5]]="","",VLOOKUP(ResourceAction[[#This Row],[IDN5]],IDNMaps[[Display]:[ID]],2,0)))</f>
        <v/>
      </c>
      <c r="T22" s="93" t="s">
        <v>1420</v>
      </c>
      <c r="U22" s="110"/>
      <c r="V22" s="110"/>
      <c r="W22" s="110"/>
      <c r="X22" s="110"/>
      <c r="Y22" s="103">
        <f>[No]</f>
        <v>2133120</v>
      </c>
      <c r="AA22" s="62" t="s">
        <v>1635</v>
      </c>
      <c r="AB22" s="69">
        <f>VLOOKUP(ActionListNData[[#This Row],[Action Name]],ResourceAction[[Display]:[No]],3,0)</f>
        <v>2133154</v>
      </c>
      <c r="AC22" s="69" t="s">
        <v>1470</v>
      </c>
      <c r="AD22" s="69"/>
      <c r="AE22" s="69" t="str">
        <f>'Table Seed Map'!$A$37&amp;"-"&amp;-1+COUNTA($AC$1:ActionListNData[[#This Row],[Resource List]])</f>
        <v>Action List-20</v>
      </c>
      <c r="AF22" s="69">
        <f>IF(ActionListNData[[#This Row],[Action Name]]="","id",-1+COUNTA($AC$1:ActionListNData[[#This Row],[Resource List]])+IF(ISNUMBER(VLOOKUP('Table Seed Map'!$A$37,SeedMap[],9,0)),VLOOKUP('Table Seed Map'!$A$37,SeedMap[],9,0),0))</f>
        <v>2136120</v>
      </c>
      <c r="AG22" s="69">
        <f>ActionListNData[[#This Row],[Action]]</f>
        <v>2133154</v>
      </c>
      <c r="AH22" s="69">
        <f>IF(ActionListNData[[#This Row],[Action Name]]="","resource_list",IFERROR(VLOOKUP(ActionListNData[[#This Row],[Resource List]],ResourceList[[ListDisplayName]:[No]],2,0),""))</f>
        <v>2123114</v>
      </c>
      <c r="AI22" s="69" t="str">
        <f>'Table Seed Map'!$A$38&amp;"-"&amp;-1+COUNTA($AD$1:ActionListNData[[#This Row],[Resource Data]])</f>
        <v>Action Data-0</v>
      </c>
      <c r="AJ2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2" s="69">
        <f>ActionListNData[[#This Row],[Action]]</f>
        <v>2133154</v>
      </c>
      <c r="AL22" s="69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96" t="str">
        <f>'Table Seed Map'!$A$34&amp;"-"&amp;(COUNTA($E$1:ResourceAction[[#This Row],[Resource]])-2)</f>
        <v>Resource Actions-21</v>
      </c>
      <c r="B23" s="96" t="str">
        <f>ResourceAction[[#This Row],[Resource Name]]&amp;"/"&amp;ResourceAction[[#This Row],[Name]]</f>
        <v>Hub/HubListAction</v>
      </c>
      <c r="C23" s="104" t="s">
        <v>777</v>
      </c>
      <c r="D23" s="96">
        <f>IF(ResourceAction[[#This Row],[Resource Name]]="","id",COUNTA($C$1:ResourceAction[[#This Row],[Resource Name]])-1+IF(VLOOKUP('Table Seed Map'!$A$34,SeedMap[],9,0),VLOOKUP('Table Seed Map'!$A$34,SeedMap[],9,0),0))</f>
        <v>2133121</v>
      </c>
      <c r="E23" s="96">
        <f>IFERROR(VLOOKUP(ResourceAction[[#This Row],[Resource Name]],ResourceTable[[RName]:[No]],3,0),"resource")</f>
        <v>2106107</v>
      </c>
      <c r="F23" s="96" t="s">
        <v>1437</v>
      </c>
      <c r="G23" s="96"/>
      <c r="H23" s="96" t="s">
        <v>895</v>
      </c>
      <c r="I23" s="96"/>
      <c r="J23" s="96" t="s">
        <v>895</v>
      </c>
      <c r="K23" s="95" t="str">
        <f>'Table Seed Map'!$A$35&amp;"-"&amp;(COUNTA($E$1:ResourceAction[[#This Row],[Resource]])-2)</f>
        <v>Action Method-21</v>
      </c>
      <c r="L23" s="96">
        <f>IF(ResourceAction[[#This Row],[No]]="id","id",-2+COUNTA($E$1:ResourceAction[[#This Row],[Resource]])+IF(ISNUMBER(VLOOKUP('Table Seed Map'!$A$35,SeedMap[],9,0)),VLOOKUP('Table Seed Map'!$A$35,SeedMap[],9,0),0))</f>
        <v>2134121</v>
      </c>
      <c r="M23" s="96">
        <f>IF(ResourceAction[[#This Row],[No]]="id","resource_action",ResourceAction[[#This Row],[No]])</f>
        <v>2133121</v>
      </c>
      <c r="N23" s="91" t="s">
        <v>122</v>
      </c>
      <c r="O23" s="109">
        <f ca="1">IF(ResourceAction[[#This Row],[Resource Name]]="","idn1",IF(ResourceAction[[#This Row],[IDN1]]="","",VLOOKUP(ResourceAction[[#This Row],[IDN1]],IDNMaps[[Display]:[ID]],2,0)))</f>
        <v>2123108</v>
      </c>
      <c r="P23" s="109" t="str">
        <f>IF(ResourceAction[[#This Row],[Resource Name]]="","idn2",IF(ResourceAction[[#This Row],[IDN2]]="","",VLOOKUP(ResourceAction[[#This Row],[IDN2]],IDNMaps[[Display]:[ID]],2,0)))</f>
        <v/>
      </c>
      <c r="Q23" s="109" t="str">
        <f>IF(ResourceAction[[#This Row],[Resource Name]]="","idn3",IF(ResourceAction[[#This Row],[IDN3]]="","",VLOOKUP(ResourceAction[[#This Row],[IDN3]],IDNMaps[[Display]:[ID]],2,0)))</f>
        <v/>
      </c>
      <c r="R23" s="109" t="str">
        <f>IF(ResourceAction[[#This Row],[Resource Name]]="","idn4",IF(ResourceAction[[#This Row],[IDN4]]="","",VLOOKUP(ResourceAction[[#This Row],[IDN4]],IDNMaps[[Display]:[ID]],2,0)))</f>
        <v/>
      </c>
      <c r="S23" s="109" t="str">
        <f>IF(ResourceAction[[#This Row],[Resource Name]]="","idn5",IF(ResourceAction[[#This Row],[IDN5]]="","",VLOOKUP(ResourceAction[[#This Row],[IDN5]],IDNMaps[[Display]:[ID]],2,0)))</f>
        <v/>
      </c>
      <c r="T23" s="93" t="s">
        <v>1421</v>
      </c>
      <c r="U23" s="110"/>
      <c r="V23" s="110"/>
      <c r="W23" s="110"/>
      <c r="X23" s="110"/>
      <c r="Y23" s="103">
        <f>[No]</f>
        <v>2133121</v>
      </c>
      <c r="AA23" s="62" t="s">
        <v>1653</v>
      </c>
      <c r="AB23" s="69">
        <f>VLOOKUP(ActionListNData[[#This Row],[Action Name]],ResourceAction[[Display]:[No]],3,0)</f>
        <v>2133155</v>
      </c>
      <c r="AC23" s="69" t="s">
        <v>1627</v>
      </c>
      <c r="AD23" s="69"/>
      <c r="AE23" s="69" t="str">
        <f>'Table Seed Map'!$A$37&amp;"-"&amp;-1+COUNTA($AC$1:ActionListNData[[#This Row],[Resource List]])</f>
        <v>Action List-21</v>
      </c>
      <c r="AF23" s="69">
        <f>IF(ActionListNData[[#This Row],[Action Name]]="","id",-1+COUNTA($AC$1:ActionListNData[[#This Row],[Resource List]])+IF(ISNUMBER(VLOOKUP('Table Seed Map'!$A$37,SeedMap[],9,0)),VLOOKUP('Table Seed Map'!$A$37,SeedMap[],9,0),0))</f>
        <v>2136121</v>
      </c>
      <c r="AG23" s="69">
        <f>ActionListNData[[#This Row],[Action]]</f>
        <v>2133155</v>
      </c>
      <c r="AH23" s="69">
        <f>IF(ActionListNData[[#This Row],[Action Name]]="","resource_list",IFERROR(VLOOKUP(ActionListNData[[#This Row],[Resource List]],ResourceList[[ListDisplayName]:[No]],2,0),""))</f>
        <v>2123121</v>
      </c>
      <c r="AI23" s="69" t="str">
        <f>'Table Seed Map'!$A$38&amp;"-"&amp;-1+COUNTA($AD$1:ActionListNData[[#This Row],[Resource Data]])</f>
        <v>Action Data-0</v>
      </c>
      <c r="AJ2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3" s="69">
        <f>ActionListNData[[#This Row],[Action]]</f>
        <v>2133155</v>
      </c>
      <c r="AL23" s="69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96" t="str">
        <f>'Table Seed Map'!$A$34&amp;"-"&amp;(COUNTA($E$1:ResourceAction[[#This Row],[Resource]])-2)</f>
        <v>Resource Actions-22</v>
      </c>
      <c r="B24" s="96" t="str">
        <f>ResourceAction[[#This Row],[Resource Name]]&amp;"/"&amp;ResourceAction[[#This Row],[Name]]</f>
        <v>Service/ServiceListAction</v>
      </c>
      <c r="C24" s="104" t="s">
        <v>778</v>
      </c>
      <c r="D24" s="96">
        <f>IF(ResourceAction[[#This Row],[Resource Name]]="","id",COUNTA($C$1:ResourceAction[[#This Row],[Resource Name]])-1+IF(VLOOKUP('Table Seed Map'!$A$34,SeedMap[],9,0),VLOOKUP('Table Seed Map'!$A$34,SeedMap[],9,0),0))</f>
        <v>2133122</v>
      </c>
      <c r="E24" s="96">
        <f>IFERROR(VLOOKUP(ResourceAction[[#This Row],[Resource Name]],ResourceTable[[RName]:[No]],3,0),"resource")</f>
        <v>2106108</v>
      </c>
      <c r="F24" s="96" t="s">
        <v>1438</v>
      </c>
      <c r="G24" s="96"/>
      <c r="H24" s="96" t="s">
        <v>896</v>
      </c>
      <c r="I24" s="96"/>
      <c r="J24" s="96" t="s">
        <v>896</v>
      </c>
      <c r="K24" s="95" t="str">
        <f>'Table Seed Map'!$A$35&amp;"-"&amp;(COUNTA($E$1:ResourceAction[[#This Row],[Resource]])-2)</f>
        <v>Action Method-22</v>
      </c>
      <c r="L24" s="96">
        <f>IF(ResourceAction[[#This Row],[No]]="id","id",-2+COUNTA($E$1:ResourceAction[[#This Row],[Resource]])+IF(ISNUMBER(VLOOKUP('Table Seed Map'!$A$35,SeedMap[],9,0)),VLOOKUP('Table Seed Map'!$A$35,SeedMap[],9,0),0))</f>
        <v>2134122</v>
      </c>
      <c r="M24" s="96">
        <f>IF(ResourceAction[[#This Row],[No]]="id","resource_action",ResourceAction[[#This Row],[No]])</f>
        <v>2133122</v>
      </c>
      <c r="N24" s="91" t="s">
        <v>122</v>
      </c>
      <c r="O24" s="109">
        <f ca="1">IF(ResourceAction[[#This Row],[Resource Name]]="","idn1",IF(ResourceAction[[#This Row],[IDN1]]="","",VLOOKUP(ResourceAction[[#This Row],[IDN1]],IDNMaps[[Display]:[ID]],2,0)))</f>
        <v>2123109</v>
      </c>
      <c r="P24" s="109" t="str">
        <f>IF(ResourceAction[[#This Row],[Resource Name]]="","idn2",IF(ResourceAction[[#This Row],[IDN2]]="","",VLOOKUP(ResourceAction[[#This Row],[IDN2]],IDNMaps[[Display]:[ID]],2,0)))</f>
        <v/>
      </c>
      <c r="Q24" s="109" t="str">
        <f>IF(ResourceAction[[#This Row],[Resource Name]]="","idn3",IF(ResourceAction[[#This Row],[IDN3]]="","",VLOOKUP(ResourceAction[[#This Row],[IDN3]],IDNMaps[[Display]:[ID]],2,0)))</f>
        <v/>
      </c>
      <c r="R24" s="109" t="str">
        <f>IF(ResourceAction[[#This Row],[Resource Name]]="","idn4",IF(ResourceAction[[#This Row],[IDN4]]="","",VLOOKUP(ResourceAction[[#This Row],[IDN4]],IDNMaps[[Display]:[ID]],2,0)))</f>
        <v/>
      </c>
      <c r="S24" s="109" t="str">
        <f>IF(ResourceAction[[#This Row],[Resource Name]]="","idn5",IF(ResourceAction[[#This Row],[IDN5]]="","",VLOOKUP(ResourceAction[[#This Row],[IDN5]],IDNMaps[[Display]:[ID]],2,0)))</f>
        <v/>
      </c>
      <c r="T24" s="93" t="s">
        <v>1422</v>
      </c>
      <c r="U24" s="110"/>
      <c r="V24" s="110"/>
      <c r="W24" s="110"/>
      <c r="X24" s="110"/>
      <c r="Y24" s="103">
        <f>[No]</f>
        <v>2133122</v>
      </c>
      <c r="AA24" s="62" t="s">
        <v>1671</v>
      </c>
      <c r="AB24" s="69">
        <f>VLOOKUP(ActionListNData[[#This Row],[Action Name]],ResourceAction[[Display]:[No]],3,0)</f>
        <v>2133156</v>
      </c>
      <c r="AC24" s="69" t="s">
        <v>1641</v>
      </c>
      <c r="AD24" s="69"/>
      <c r="AE24" s="69" t="str">
        <f>'Table Seed Map'!$A$37&amp;"-"&amp;-1+COUNTA($AC$1:ActionListNData[[#This Row],[Resource List]])</f>
        <v>Action List-22</v>
      </c>
      <c r="AF24" s="69">
        <f>IF(ActionListNData[[#This Row],[Action Name]]="","id",-1+COUNTA($AC$1:ActionListNData[[#This Row],[Resource List]])+IF(ISNUMBER(VLOOKUP('Table Seed Map'!$A$37,SeedMap[],9,0)),VLOOKUP('Table Seed Map'!$A$37,SeedMap[],9,0),0))</f>
        <v>2136122</v>
      </c>
      <c r="AG24" s="69">
        <f>ActionListNData[[#This Row],[Action]]</f>
        <v>2133156</v>
      </c>
      <c r="AH24" s="69">
        <f>IF(ActionListNData[[#This Row],[Action Name]]="","resource_list",IFERROR(VLOOKUP(ActionListNData[[#This Row],[Resource List]],ResourceList[[ListDisplayName]:[No]],2,0),""))</f>
        <v>2123122</v>
      </c>
      <c r="AI24" s="69" t="str">
        <f>'Table Seed Map'!$A$38&amp;"-"&amp;-1+COUNTA($AD$1:ActionListNData[[#This Row],[Resource Data]])</f>
        <v>Action Data-0</v>
      </c>
      <c r="AJ2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4" s="69">
        <f>ActionListNData[[#This Row],[Action]]</f>
        <v>2133156</v>
      </c>
      <c r="AL24" s="69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96" t="str">
        <f>'Table Seed Map'!$A$34&amp;"-"&amp;(COUNTA($E$1:ResourceAction[[#This Row],[Resource]])-2)</f>
        <v>Resource Actions-23</v>
      </c>
      <c r="B25" s="96" t="str">
        <f>ResourceAction[[#This Row],[Resource Name]]&amp;"/"&amp;ResourceAction[[#This Row],[Name]]</f>
        <v>Item/ItemListAction</v>
      </c>
      <c r="C25" s="104" t="s">
        <v>779</v>
      </c>
      <c r="D25" s="96">
        <f>IF(ResourceAction[[#This Row],[Resource Name]]="","id",COUNTA($C$1:ResourceAction[[#This Row],[Resource Name]])-1+IF(VLOOKUP('Table Seed Map'!$A$34,SeedMap[],9,0),VLOOKUP('Table Seed Map'!$A$34,SeedMap[],9,0),0))</f>
        <v>2133123</v>
      </c>
      <c r="E25" s="96">
        <f>IFERROR(VLOOKUP(ResourceAction[[#This Row],[Resource Name]],ResourceTable[[RName]:[No]],3,0),"resource")</f>
        <v>2106109</v>
      </c>
      <c r="F25" s="96" t="s">
        <v>1439</v>
      </c>
      <c r="G25" s="96"/>
      <c r="H25" s="96" t="s">
        <v>897</v>
      </c>
      <c r="I25" s="96"/>
      <c r="J25" s="96" t="s">
        <v>897</v>
      </c>
      <c r="K25" s="95" t="str">
        <f>'Table Seed Map'!$A$35&amp;"-"&amp;(COUNTA($E$1:ResourceAction[[#This Row],[Resource]])-2)</f>
        <v>Action Method-23</v>
      </c>
      <c r="L25" s="96">
        <f>IF(ResourceAction[[#This Row],[No]]="id","id",-2+COUNTA($E$1:ResourceAction[[#This Row],[Resource]])+IF(ISNUMBER(VLOOKUP('Table Seed Map'!$A$35,SeedMap[],9,0)),VLOOKUP('Table Seed Map'!$A$35,SeedMap[],9,0),0))</f>
        <v>2134123</v>
      </c>
      <c r="M25" s="96">
        <f>IF(ResourceAction[[#This Row],[No]]="id","resource_action",ResourceAction[[#This Row],[No]])</f>
        <v>2133123</v>
      </c>
      <c r="N25" s="91" t="s">
        <v>122</v>
      </c>
      <c r="O25" s="109">
        <f ca="1">IF(ResourceAction[[#This Row],[Resource Name]]="","idn1",IF(ResourceAction[[#This Row],[IDN1]]="","",VLOOKUP(ResourceAction[[#This Row],[IDN1]],IDNMaps[[Display]:[ID]],2,0)))</f>
        <v>2123110</v>
      </c>
      <c r="P25" s="109" t="str">
        <f>IF(ResourceAction[[#This Row],[Resource Name]]="","idn2",IF(ResourceAction[[#This Row],[IDN2]]="","",VLOOKUP(ResourceAction[[#This Row],[IDN2]],IDNMaps[[Display]:[ID]],2,0)))</f>
        <v/>
      </c>
      <c r="Q25" s="109" t="str">
        <f>IF(ResourceAction[[#This Row],[Resource Name]]="","idn3",IF(ResourceAction[[#This Row],[IDN3]]="","",VLOOKUP(ResourceAction[[#This Row],[IDN3]],IDNMaps[[Display]:[ID]],2,0)))</f>
        <v/>
      </c>
      <c r="R25" s="109" t="str">
        <f>IF(ResourceAction[[#This Row],[Resource Name]]="","idn4",IF(ResourceAction[[#This Row],[IDN4]]="","",VLOOKUP(ResourceAction[[#This Row],[IDN4]],IDNMaps[[Display]:[ID]],2,0)))</f>
        <v/>
      </c>
      <c r="S25" s="109" t="str">
        <f>IF(ResourceAction[[#This Row],[Resource Name]]="","idn5",IF(ResourceAction[[#This Row],[IDN5]]="","",VLOOKUP(ResourceAction[[#This Row],[IDN5]],IDNMaps[[Display]:[ID]],2,0)))</f>
        <v/>
      </c>
      <c r="T25" s="93" t="s">
        <v>1423</v>
      </c>
      <c r="U25" s="110"/>
      <c r="V25" s="110"/>
      <c r="W25" s="110"/>
      <c r="X25" s="110"/>
      <c r="Y25" s="103">
        <f>[No]</f>
        <v>2133123</v>
      </c>
      <c r="AA25" s="62" t="s">
        <v>1688</v>
      </c>
      <c r="AB25" s="69">
        <f>VLOOKUP(ActionListNData[[#This Row],[Action Name]],ResourceAction[[Display]:[No]],3,0)</f>
        <v>2133157</v>
      </c>
      <c r="AC25" s="69" t="s">
        <v>1452</v>
      </c>
      <c r="AD25" s="69"/>
      <c r="AE25" s="69" t="str">
        <f>'Table Seed Map'!$A$37&amp;"-"&amp;-1+COUNTA($AC$1:ActionListNData[[#This Row],[Resource List]])</f>
        <v>Action List-23</v>
      </c>
      <c r="AF25" s="69">
        <f>IF(ActionListNData[[#This Row],[Action Name]]="","id",-1+COUNTA($AC$1:ActionListNData[[#This Row],[Resource List]])+IF(ISNUMBER(VLOOKUP('Table Seed Map'!$A$37,SeedMap[],9,0)),VLOOKUP('Table Seed Map'!$A$37,SeedMap[],9,0),0))</f>
        <v>2136123</v>
      </c>
      <c r="AG25" s="69">
        <f>ActionListNData[[#This Row],[Action]]</f>
        <v>2133157</v>
      </c>
      <c r="AH25" s="69">
        <f>IF(ActionListNData[[#This Row],[Action Name]]="","resource_list",IFERROR(VLOOKUP(ActionListNData[[#This Row],[Resource List]],ResourceList[[ListDisplayName]:[No]],2,0),""))</f>
        <v>2123103</v>
      </c>
      <c r="AI25" s="69" t="str">
        <f>'Table Seed Map'!$A$38&amp;"-"&amp;-1+COUNTA($AD$1:ActionListNData[[#This Row],[Resource Data]])</f>
        <v>Action Data-0</v>
      </c>
      <c r="AJ2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5" s="69">
        <f>ActionListNData[[#This Row],[Action]]</f>
        <v>2133157</v>
      </c>
      <c r="AL25" s="69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96" t="str">
        <f>'Table Seed Map'!$A$34&amp;"-"&amp;(COUNTA($E$1:ResourceAction[[#This Row],[Resource]])-2)</f>
        <v>Resource Actions-24</v>
      </c>
      <c r="B26" s="96" t="str">
        <f>ResourceAction[[#This Row],[Resource Name]]&amp;"/"&amp;ResourceAction[[#This Row],[Name]]</f>
        <v>Shelf/ShelfListAction</v>
      </c>
      <c r="C26" s="104" t="s">
        <v>1029</v>
      </c>
      <c r="D26" s="96">
        <f>IF(ResourceAction[[#This Row],[Resource Name]]="","id",COUNTA($C$1:ResourceAction[[#This Row],[Resource Name]])-1+IF(VLOOKUP('Table Seed Map'!$A$34,SeedMap[],9,0),VLOOKUP('Table Seed Map'!$A$34,SeedMap[],9,0),0))</f>
        <v>2133124</v>
      </c>
      <c r="E26" s="96">
        <f>IFERROR(VLOOKUP(ResourceAction[[#This Row],[Resource Name]],ResourceTable[[RName]:[No]],3,0),"resource")</f>
        <v>2106113</v>
      </c>
      <c r="F26" s="96" t="s">
        <v>1440</v>
      </c>
      <c r="G26" s="96"/>
      <c r="H26" s="96" t="s">
        <v>1037</v>
      </c>
      <c r="I26" s="96"/>
      <c r="J26" s="96" t="s">
        <v>1037</v>
      </c>
      <c r="K26" s="95" t="str">
        <f>'Table Seed Map'!$A$35&amp;"-"&amp;(COUNTA($E$1:ResourceAction[[#This Row],[Resource]])-2)</f>
        <v>Action Method-24</v>
      </c>
      <c r="L26" s="96">
        <f>IF(ResourceAction[[#This Row],[No]]="id","id",-2+COUNTA($E$1:ResourceAction[[#This Row],[Resource]])+IF(ISNUMBER(VLOOKUP('Table Seed Map'!$A$35,SeedMap[],9,0)),VLOOKUP('Table Seed Map'!$A$35,SeedMap[],9,0),0))</f>
        <v>2134124</v>
      </c>
      <c r="M26" s="96">
        <f>IF(ResourceAction[[#This Row],[No]]="id","resource_action",ResourceAction[[#This Row],[No]])</f>
        <v>2133124</v>
      </c>
      <c r="N26" s="91" t="s">
        <v>122</v>
      </c>
      <c r="O26" s="109">
        <f ca="1">IF(ResourceAction[[#This Row],[Resource Name]]="","idn1",IF(ResourceAction[[#This Row],[IDN1]]="","",VLOOKUP(ResourceAction[[#This Row],[IDN1]],IDNMaps[[Display]:[ID]],2,0)))</f>
        <v>2123111</v>
      </c>
      <c r="P26" s="109" t="str">
        <f>IF(ResourceAction[[#This Row],[Resource Name]]="","idn2",IF(ResourceAction[[#This Row],[IDN2]]="","",VLOOKUP(ResourceAction[[#This Row],[IDN2]],IDNMaps[[Display]:[ID]],2,0)))</f>
        <v/>
      </c>
      <c r="Q26" s="109" t="str">
        <f>IF(ResourceAction[[#This Row],[Resource Name]]="","idn3",IF(ResourceAction[[#This Row],[IDN3]]="","",VLOOKUP(ResourceAction[[#This Row],[IDN3]],IDNMaps[[Display]:[ID]],2,0)))</f>
        <v/>
      </c>
      <c r="R26" s="109" t="str">
        <f>IF(ResourceAction[[#This Row],[Resource Name]]="","idn4",IF(ResourceAction[[#This Row],[IDN4]]="","",VLOOKUP(ResourceAction[[#This Row],[IDN4]],IDNMaps[[Display]:[ID]],2,0)))</f>
        <v/>
      </c>
      <c r="S26" s="109" t="str">
        <f>IF(ResourceAction[[#This Row],[Resource Name]]="","idn5",IF(ResourceAction[[#This Row],[IDN5]]="","",VLOOKUP(ResourceAction[[#This Row],[IDN5]],IDNMaps[[Display]:[ID]],2,0)))</f>
        <v/>
      </c>
      <c r="T26" s="93" t="s">
        <v>1424</v>
      </c>
      <c r="U26" s="110"/>
      <c r="V26" s="110"/>
      <c r="W26" s="110"/>
      <c r="X26" s="110"/>
      <c r="Y26" s="103">
        <f>[No]</f>
        <v>2133124</v>
      </c>
      <c r="AA26" s="62" t="s">
        <v>1705</v>
      </c>
      <c r="AB26" s="69">
        <f>VLOOKUP(ActionListNData[[#This Row],[Action Name]],ResourceAction[[Display]:[No]],3,0)</f>
        <v>2133158</v>
      </c>
      <c r="AC26" s="69" t="s">
        <v>1457</v>
      </c>
      <c r="AD26" s="69"/>
      <c r="AE26" s="69" t="str">
        <f>'Table Seed Map'!$A$37&amp;"-"&amp;-1+COUNTA($AC$1:ActionListNData[[#This Row],[Resource List]])</f>
        <v>Action List-24</v>
      </c>
      <c r="AF26" s="69">
        <f>IF(ActionListNData[[#This Row],[Action Name]]="","id",-1+COUNTA($AC$1:ActionListNData[[#This Row],[Resource List]])+IF(ISNUMBER(VLOOKUP('Table Seed Map'!$A$37,SeedMap[],9,0)),VLOOKUP('Table Seed Map'!$A$37,SeedMap[],9,0),0))</f>
        <v>2136124</v>
      </c>
      <c r="AG26" s="69">
        <f>ActionListNData[[#This Row],[Action]]</f>
        <v>2133158</v>
      </c>
      <c r="AH26" s="69">
        <f>IF(ActionListNData[[#This Row],[Action Name]]="","resource_list",IFERROR(VLOOKUP(ActionListNData[[#This Row],[Resource List]],ResourceList[[ListDisplayName]:[No]],2,0),""))</f>
        <v>2123108</v>
      </c>
      <c r="AI26" s="69" t="str">
        <f>'Table Seed Map'!$A$38&amp;"-"&amp;-1+COUNTA($AD$1:ActionListNData[[#This Row],[Resource Data]])</f>
        <v>Action Data-0</v>
      </c>
      <c r="AJ2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6" s="69">
        <f>ActionListNData[[#This Row],[Action]]</f>
        <v>2133158</v>
      </c>
      <c r="AL26" s="69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96" t="str">
        <f>'Table Seed Map'!$A$34&amp;"-"&amp;(COUNTA($E$1:ResourceAction[[#This Row],[Resource]])-2)</f>
        <v>Resource Actions-25</v>
      </c>
      <c r="B27" s="96" t="str">
        <f>ResourceAction[[#This Row],[Resource Name]]&amp;"/"&amp;ResourceAction[[#This Row],[Name]]</f>
        <v>Pricelist/PriceListAction</v>
      </c>
      <c r="C27" s="104" t="s">
        <v>783</v>
      </c>
      <c r="D27" s="96">
        <f>IF(ResourceAction[[#This Row],[Resource Name]]="","id",COUNTA($C$1:ResourceAction[[#This Row],[Resource Name]])-1+IF(VLOOKUP('Table Seed Map'!$A$34,SeedMap[],9,0),VLOOKUP('Table Seed Map'!$A$34,SeedMap[],9,0),0))</f>
        <v>2133125</v>
      </c>
      <c r="E27" s="96">
        <f>IFERROR(VLOOKUP(ResourceAction[[#This Row],[Resource Name]],ResourceTable[[RName]:[No]],3,0),"resource")</f>
        <v>2106115</v>
      </c>
      <c r="F27" s="96" t="s">
        <v>1441</v>
      </c>
      <c r="G27" s="96"/>
      <c r="H27" s="96" t="s">
        <v>901</v>
      </c>
      <c r="I27" s="96"/>
      <c r="J27" s="96" t="s">
        <v>901</v>
      </c>
      <c r="K27" s="95" t="str">
        <f>'Table Seed Map'!$A$35&amp;"-"&amp;(COUNTA($E$1:ResourceAction[[#This Row],[Resource]])-2)</f>
        <v>Action Method-25</v>
      </c>
      <c r="L27" s="96">
        <f>IF(ResourceAction[[#This Row],[No]]="id","id",-2+COUNTA($E$1:ResourceAction[[#This Row],[Resource]])+IF(ISNUMBER(VLOOKUP('Table Seed Map'!$A$35,SeedMap[],9,0)),VLOOKUP('Table Seed Map'!$A$35,SeedMap[],9,0),0))</f>
        <v>2134125</v>
      </c>
      <c r="M27" s="96">
        <f>IF(ResourceAction[[#This Row],[No]]="id","resource_action",ResourceAction[[#This Row],[No]])</f>
        <v>2133125</v>
      </c>
      <c r="N27" s="91" t="s">
        <v>122</v>
      </c>
      <c r="O27" s="109">
        <f ca="1">IF(ResourceAction[[#This Row],[Resource Name]]="","idn1",IF(ResourceAction[[#This Row],[IDN1]]="","",VLOOKUP(ResourceAction[[#This Row],[IDN1]],IDNMaps[[Display]:[ID]],2,0)))</f>
        <v>2123112</v>
      </c>
      <c r="P27" s="109" t="str">
        <f>IF(ResourceAction[[#This Row],[Resource Name]]="","idn2",IF(ResourceAction[[#This Row],[IDN2]]="","",VLOOKUP(ResourceAction[[#This Row],[IDN2]],IDNMaps[[Display]:[ID]],2,0)))</f>
        <v/>
      </c>
      <c r="Q27" s="109" t="str">
        <f>IF(ResourceAction[[#This Row],[Resource Name]]="","idn3",IF(ResourceAction[[#This Row],[IDN3]]="","",VLOOKUP(ResourceAction[[#This Row],[IDN3]],IDNMaps[[Display]:[ID]],2,0)))</f>
        <v/>
      </c>
      <c r="R27" s="109" t="str">
        <f>IF(ResourceAction[[#This Row],[Resource Name]]="","idn4",IF(ResourceAction[[#This Row],[IDN4]]="","",VLOOKUP(ResourceAction[[#This Row],[IDN4]],IDNMaps[[Display]:[ID]],2,0)))</f>
        <v/>
      </c>
      <c r="S27" s="109" t="str">
        <f>IF(ResourceAction[[#This Row],[Resource Name]]="","idn5",IF(ResourceAction[[#This Row],[IDN5]]="","",VLOOKUP(ResourceAction[[#This Row],[IDN5]],IDNMaps[[Display]:[ID]],2,0)))</f>
        <v/>
      </c>
      <c r="T27" s="93" t="s">
        <v>1425</v>
      </c>
      <c r="U27" s="110"/>
      <c r="V27" s="110"/>
      <c r="W27" s="110"/>
      <c r="X27" s="110"/>
      <c r="Y27" s="103">
        <f>[No]</f>
        <v>2133125</v>
      </c>
      <c r="AA27" s="62" t="s">
        <v>1713</v>
      </c>
      <c r="AB27" s="69">
        <f>VLOOKUP(ActionListNData[[#This Row],[Action Name]],ResourceAction[[Display]:[No]],3,0)</f>
        <v>2133159</v>
      </c>
      <c r="AC27" s="69" t="s">
        <v>1463</v>
      </c>
      <c r="AD27" s="69"/>
      <c r="AE27" s="69" t="str">
        <f>'Table Seed Map'!$A$37&amp;"-"&amp;-1+COUNTA($AC$1:ActionListNData[[#This Row],[Resource List]])</f>
        <v>Action List-25</v>
      </c>
      <c r="AF27" s="69">
        <f>IF(ActionListNData[[#This Row],[Action Name]]="","id",-1+COUNTA($AC$1:ActionListNData[[#This Row],[Resource List]])+IF(ISNUMBER(VLOOKUP('Table Seed Map'!$A$37,SeedMap[],9,0)),VLOOKUP('Table Seed Map'!$A$37,SeedMap[],9,0),0))</f>
        <v>2136125</v>
      </c>
      <c r="AG27" s="69">
        <f>ActionListNData[[#This Row],[Action]]</f>
        <v>2133159</v>
      </c>
      <c r="AH27" s="69">
        <f>IF(ActionListNData[[#This Row],[Action Name]]="","resource_list",IFERROR(VLOOKUP(ActionListNData[[#This Row],[Resource List]],ResourceList[[ListDisplayName]:[No]],2,0),""))</f>
        <v>2123111</v>
      </c>
      <c r="AI27" s="69" t="str">
        <f>'Table Seed Map'!$A$38&amp;"-"&amp;-1+COUNTA($AD$1:ActionListNData[[#This Row],[Resource Data]])</f>
        <v>Action Data-0</v>
      </c>
      <c r="AJ2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7" s="69">
        <f>ActionListNData[[#This Row],[Action]]</f>
        <v>2133159</v>
      </c>
      <c r="AL27" s="69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96" t="str">
        <f>'Table Seed Map'!$A$34&amp;"-"&amp;(COUNTA($E$1:ResourceAction[[#This Row],[Resource]])-2)</f>
        <v>Resource Actions-26</v>
      </c>
      <c r="B28" s="96" t="str">
        <f>ResourceAction[[#This Row],[Resource Name]]&amp;"/"&amp;ResourceAction[[#This Row],[Name]]</f>
        <v>IdentityLabel/LabelListAction</v>
      </c>
      <c r="C28" s="104" t="s">
        <v>786</v>
      </c>
      <c r="D28" s="96">
        <f>IF(ResourceAction[[#This Row],[Resource Name]]="","id",COUNTA($C$1:ResourceAction[[#This Row],[Resource Name]])-1+IF(VLOOKUP('Table Seed Map'!$A$34,SeedMap[],9,0),VLOOKUP('Table Seed Map'!$A$34,SeedMap[],9,0),0))</f>
        <v>2133126</v>
      </c>
      <c r="E28" s="96">
        <f>IFERROR(VLOOKUP(ResourceAction[[#This Row],[Resource Name]],ResourceTable[[RName]:[No]],3,0),"resource")</f>
        <v>2106117</v>
      </c>
      <c r="F28" s="96" t="s">
        <v>1442</v>
      </c>
      <c r="G28" s="96"/>
      <c r="H28" s="96" t="s">
        <v>904</v>
      </c>
      <c r="I28" s="96"/>
      <c r="J28" s="96" t="s">
        <v>904</v>
      </c>
      <c r="K28" s="95" t="str">
        <f>'Table Seed Map'!$A$35&amp;"-"&amp;(COUNTA($E$1:ResourceAction[[#This Row],[Resource]])-2)</f>
        <v>Action Method-26</v>
      </c>
      <c r="L28" s="96">
        <f>IF(ResourceAction[[#This Row],[No]]="id","id",-2+COUNTA($E$1:ResourceAction[[#This Row],[Resource]])+IF(ISNUMBER(VLOOKUP('Table Seed Map'!$A$35,SeedMap[],9,0)),VLOOKUP('Table Seed Map'!$A$35,SeedMap[],9,0),0))</f>
        <v>2134126</v>
      </c>
      <c r="M28" s="96">
        <f>IF(ResourceAction[[#This Row],[No]]="id","resource_action",ResourceAction[[#This Row],[No]])</f>
        <v>2133126</v>
      </c>
      <c r="N28" s="91" t="s">
        <v>122</v>
      </c>
      <c r="O28" s="109">
        <f ca="1">IF(ResourceAction[[#This Row],[Resource Name]]="","idn1",IF(ResourceAction[[#This Row],[IDN1]]="","",VLOOKUP(ResourceAction[[#This Row],[IDN1]],IDNMaps[[Display]:[ID]],2,0)))</f>
        <v>2123113</v>
      </c>
      <c r="P28" s="109" t="str">
        <f>IF(ResourceAction[[#This Row],[Resource Name]]="","idn2",IF(ResourceAction[[#This Row],[IDN2]]="","",VLOOKUP(ResourceAction[[#This Row],[IDN2]],IDNMaps[[Display]:[ID]],2,0)))</f>
        <v/>
      </c>
      <c r="Q28" s="109" t="str">
        <f>IF(ResourceAction[[#This Row],[Resource Name]]="","idn3",IF(ResourceAction[[#This Row],[IDN3]]="","",VLOOKUP(ResourceAction[[#This Row],[IDN3]],IDNMaps[[Display]:[ID]],2,0)))</f>
        <v/>
      </c>
      <c r="R28" s="109" t="str">
        <f>IF(ResourceAction[[#This Row],[Resource Name]]="","idn4",IF(ResourceAction[[#This Row],[IDN4]]="","",VLOOKUP(ResourceAction[[#This Row],[IDN4]],IDNMaps[[Display]:[ID]],2,0)))</f>
        <v/>
      </c>
      <c r="S28" s="109" t="str">
        <f>IF(ResourceAction[[#This Row],[Resource Name]]="","idn5",IF(ResourceAction[[#This Row],[IDN5]]="","",VLOOKUP(ResourceAction[[#This Row],[IDN5]],IDNMaps[[Display]:[ID]],2,0)))</f>
        <v/>
      </c>
      <c r="T28" s="93" t="s">
        <v>1426</v>
      </c>
      <c r="U28" s="110"/>
      <c r="V28" s="110"/>
      <c r="W28" s="110"/>
      <c r="X28" s="110"/>
      <c r="Y28" s="103">
        <f>[No]</f>
        <v>2133126</v>
      </c>
      <c r="AA28" s="62" t="s">
        <v>1716</v>
      </c>
      <c r="AB28" s="69">
        <f>VLOOKUP(ActionListNData[[#This Row],[Action Name]],ResourceAction[[Display]:[No]],3,0)</f>
        <v>2133160</v>
      </c>
      <c r="AC28" s="69" t="s">
        <v>1463</v>
      </c>
      <c r="AD28" s="69"/>
      <c r="AE28" s="69" t="str">
        <f>'Table Seed Map'!$A$37&amp;"-"&amp;-1+COUNTA($AC$1:ActionListNData[[#This Row],[Resource List]])</f>
        <v>Action List-26</v>
      </c>
      <c r="AF28" s="69">
        <f>IF(ActionListNData[[#This Row],[Action Name]]="","id",-1+COUNTA($AC$1:ActionListNData[[#This Row],[Resource List]])+IF(ISNUMBER(VLOOKUP('Table Seed Map'!$A$37,SeedMap[],9,0)),VLOOKUP('Table Seed Map'!$A$37,SeedMap[],9,0),0))</f>
        <v>2136126</v>
      </c>
      <c r="AG28" s="69">
        <f>ActionListNData[[#This Row],[Action]]</f>
        <v>2133160</v>
      </c>
      <c r="AH28" s="69">
        <f>IF(ActionListNData[[#This Row],[Action Name]]="","resource_list",IFERROR(VLOOKUP(ActionListNData[[#This Row],[Resource List]],ResourceList[[ListDisplayName]:[No]],2,0),""))</f>
        <v>2123111</v>
      </c>
      <c r="AI28" s="69" t="str">
        <f>'Table Seed Map'!$A$38&amp;"-"&amp;-1+COUNTA($AD$1:ActionListNData[[#This Row],[Resource Data]])</f>
        <v>Action Data-0</v>
      </c>
      <c r="AJ2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8" s="69">
        <f>ActionListNData[[#This Row],[Action]]</f>
        <v>2133160</v>
      </c>
      <c r="AL28" s="69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96" t="str">
        <f>'Table Seed Map'!$A$34&amp;"-"&amp;(COUNTA($E$1:ResourceAction[[#This Row],[Resource]])-2)</f>
        <v>Resource Actions-27</v>
      </c>
      <c r="B29" s="96" t="str">
        <f>ResourceAction[[#This Row],[Resource Name]]&amp;"/"&amp;ResourceAction[[#This Row],[Name]]</f>
        <v>Order/OrderListAction</v>
      </c>
      <c r="C29" s="104" t="s">
        <v>787</v>
      </c>
      <c r="D29" s="96">
        <f>IF(ResourceAction[[#This Row],[Resource Name]]="","id",COUNTA($C$1:ResourceAction[[#This Row],[Resource Name]])-1+IF(VLOOKUP('Table Seed Map'!$A$34,SeedMap[],9,0),VLOOKUP('Table Seed Map'!$A$34,SeedMap[],9,0),0))</f>
        <v>2133127</v>
      </c>
      <c r="E29" s="96">
        <f>IFERROR(VLOOKUP(ResourceAction[[#This Row],[Resource Name]],ResourceTable[[RName]:[No]],3,0),"resource")</f>
        <v>2106118</v>
      </c>
      <c r="F29" s="96" t="s">
        <v>1443</v>
      </c>
      <c r="G29" s="96"/>
      <c r="H29" s="96" t="s">
        <v>905</v>
      </c>
      <c r="I29" s="96"/>
      <c r="J29" s="96" t="s">
        <v>2022</v>
      </c>
      <c r="K29" s="95" t="str">
        <f>'Table Seed Map'!$A$35&amp;"-"&amp;(COUNTA($E$1:ResourceAction[[#This Row],[Resource]])-2)</f>
        <v>Action Method-27</v>
      </c>
      <c r="L29" s="96">
        <f>IF(ResourceAction[[#This Row],[No]]="id","id",-2+COUNTA($E$1:ResourceAction[[#This Row],[Resource]])+IF(ISNUMBER(VLOOKUP('Table Seed Map'!$A$35,SeedMap[],9,0)),VLOOKUP('Table Seed Map'!$A$35,SeedMap[],9,0),0))</f>
        <v>2134127</v>
      </c>
      <c r="M29" s="96">
        <f>IF(ResourceAction[[#This Row],[No]]="id","resource_action",ResourceAction[[#This Row],[No]])</f>
        <v>2133127</v>
      </c>
      <c r="N29" s="91" t="s">
        <v>122</v>
      </c>
      <c r="O29" s="109">
        <f ca="1">IF(ResourceAction[[#This Row],[Resource Name]]="","idn1",IF(ResourceAction[[#This Row],[IDN1]]="","",VLOOKUP(ResourceAction[[#This Row],[IDN1]],IDNMaps[[Display]:[ID]],2,0)))</f>
        <v>2123114</v>
      </c>
      <c r="P29" s="109" t="str">
        <f>IF(ResourceAction[[#This Row],[Resource Name]]="","idn2",IF(ResourceAction[[#This Row],[IDN2]]="","",VLOOKUP(ResourceAction[[#This Row],[IDN2]],IDNMaps[[Display]:[ID]],2,0)))</f>
        <v/>
      </c>
      <c r="Q29" s="109" t="str">
        <f>IF(ResourceAction[[#This Row],[Resource Name]]="","idn3",IF(ResourceAction[[#This Row],[IDN3]]="","",VLOOKUP(ResourceAction[[#This Row],[IDN3]],IDNMaps[[Display]:[ID]],2,0)))</f>
        <v/>
      </c>
      <c r="R29" s="109" t="str">
        <f>IF(ResourceAction[[#This Row],[Resource Name]]="","idn4",IF(ResourceAction[[#This Row],[IDN4]]="","",VLOOKUP(ResourceAction[[#This Row],[IDN4]],IDNMaps[[Display]:[ID]],2,0)))</f>
        <v/>
      </c>
      <c r="S29" s="109" t="str">
        <f>IF(ResourceAction[[#This Row],[Resource Name]]="","idn5",IF(ResourceAction[[#This Row],[IDN5]]="","",VLOOKUP(ResourceAction[[#This Row],[IDN5]],IDNMaps[[Display]:[ID]],2,0)))</f>
        <v/>
      </c>
      <c r="T29" s="93" t="s">
        <v>1427</v>
      </c>
      <c r="U29" s="110"/>
      <c r="V29" s="110"/>
      <c r="W29" s="110"/>
      <c r="X29" s="110"/>
      <c r="Y29" s="103">
        <f>[No]</f>
        <v>2133127</v>
      </c>
      <c r="AA29" s="62" t="s">
        <v>1720</v>
      </c>
      <c r="AB29" s="69">
        <f>VLOOKUP(ActionListNData[[#This Row],[Action Name]],ResourceAction[[Display]:[No]],3,0)</f>
        <v>2133161</v>
      </c>
      <c r="AC29" s="69" t="s">
        <v>1455</v>
      </c>
      <c r="AD29" s="69"/>
      <c r="AE29" s="69" t="str">
        <f>'Table Seed Map'!$A$37&amp;"-"&amp;-1+COUNTA($AC$1:ActionListNData[[#This Row],[Resource List]])</f>
        <v>Action List-27</v>
      </c>
      <c r="AF29" s="69">
        <f>IF(ActionListNData[[#This Row],[Action Name]]="","id",-1+COUNTA($AC$1:ActionListNData[[#This Row],[Resource List]])+IF(ISNUMBER(VLOOKUP('Table Seed Map'!$A$37,SeedMap[],9,0)),VLOOKUP('Table Seed Map'!$A$37,SeedMap[],9,0),0))</f>
        <v>2136127</v>
      </c>
      <c r="AG29" s="69">
        <f>ActionListNData[[#This Row],[Action]]</f>
        <v>2133161</v>
      </c>
      <c r="AH29" s="69">
        <f>IF(ActionListNData[[#This Row],[Action Name]]="","resource_list",IFERROR(VLOOKUP(ActionListNData[[#This Row],[Resource List]],ResourceList[[ListDisplayName]:[No]],2,0),""))</f>
        <v>2123107</v>
      </c>
      <c r="AI29" s="69" t="str">
        <f>'Table Seed Map'!$A$38&amp;"-"&amp;-1+COUNTA($AD$1:ActionListNData[[#This Row],[Resource Data]])</f>
        <v>Action Data-0</v>
      </c>
      <c r="AJ2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9" s="69">
        <f>ActionListNData[[#This Row],[Action]]</f>
        <v>2133161</v>
      </c>
      <c r="AL29" s="69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96" t="str">
        <f>'Table Seed Map'!$A$34&amp;"-"&amp;(COUNTA($E$1:ResourceAction[[#This Row],[Resource]])-2)</f>
        <v>Resource Actions-28</v>
      </c>
      <c r="B30" s="96" t="str">
        <f>ResourceAction[[#This Row],[Resource Name]]&amp;"/"&amp;ResourceAction[[#This Row],[Name]]</f>
        <v>Invoice/InvoiceListAction</v>
      </c>
      <c r="C30" s="104" t="s">
        <v>893</v>
      </c>
      <c r="D30" s="96">
        <f>IF(ResourceAction[[#This Row],[Resource Name]]="","id",COUNTA($C$1:ResourceAction[[#This Row],[Resource Name]])-1+IF(VLOOKUP('Table Seed Map'!$A$34,SeedMap[],9,0),VLOOKUP('Table Seed Map'!$A$34,SeedMap[],9,0),0))</f>
        <v>2133128</v>
      </c>
      <c r="E30" s="96">
        <f>IFERROR(VLOOKUP(ResourceAction[[#This Row],[Resource Name]],ResourceTable[[RName]:[No]],3,0),"resource")</f>
        <v>2106121</v>
      </c>
      <c r="F30" s="96" t="s">
        <v>1444</v>
      </c>
      <c r="G30" s="96"/>
      <c r="H30" s="96" t="s">
        <v>908</v>
      </c>
      <c r="I30" s="96"/>
      <c r="J30" s="96" t="s">
        <v>908</v>
      </c>
      <c r="K30" s="95" t="str">
        <f>'Table Seed Map'!$A$35&amp;"-"&amp;(COUNTA($E$1:ResourceAction[[#This Row],[Resource]])-2)</f>
        <v>Action Method-28</v>
      </c>
      <c r="L30" s="96">
        <f>IF(ResourceAction[[#This Row],[No]]="id","id",-2+COUNTA($E$1:ResourceAction[[#This Row],[Resource]])+IF(ISNUMBER(VLOOKUP('Table Seed Map'!$A$35,SeedMap[],9,0)),VLOOKUP('Table Seed Map'!$A$35,SeedMap[],9,0),0))</f>
        <v>2134128</v>
      </c>
      <c r="M30" s="96">
        <f>IF(ResourceAction[[#This Row],[No]]="id","resource_action",ResourceAction[[#This Row],[No]])</f>
        <v>2133128</v>
      </c>
      <c r="N30" s="91" t="s">
        <v>122</v>
      </c>
      <c r="O30" s="109">
        <f ca="1">IF(ResourceAction[[#This Row],[Resource Name]]="","idn1",IF(ResourceAction[[#This Row],[IDN1]]="","",VLOOKUP(ResourceAction[[#This Row],[IDN1]],IDNMaps[[Display]:[ID]],2,0)))</f>
        <v>2123115</v>
      </c>
      <c r="P30" s="109" t="str">
        <f>IF(ResourceAction[[#This Row],[Resource Name]]="","idn2",IF(ResourceAction[[#This Row],[IDN2]]="","",VLOOKUP(ResourceAction[[#This Row],[IDN2]],IDNMaps[[Display]:[ID]],2,0)))</f>
        <v/>
      </c>
      <c r="Q30" s="109" t="str">
        <f>IF(ResourceAction[[#This Row],[Resource Name]]="","idn3",IF(ResourceAction[[#This Row],[IDN3]]="","",VLOOKUP(ResourceAction[[#This Row],[IDN3]],IDNMaps[[Display]:[ID]],2,0)))</f>
        <v/>
      </c>
      <c r="R30" s="109" t="str">
        <f>IF(ResourceAction[[#This Row],[Resource Name]]="","idn4",IF(ResourceAction[[#This Row],[IDN4]]="","",VLOOKUP(ResourceAction[[#This Row],[IDN4]],IDNMaps[[Display]:[ID]],2,0)))</f>
        <v/>
      </c>
      <c r="S30" s="109" t="str">
        <f>IF(ResourceAction[[#This Row],[Resource Name]]="","idn5",IF(ResourceAction[[#This Row],[IDN5]]="","",VLOOKUP(ResourceAction[[#This Row],[IDN5]],IDNMaps[[Display]:[ID]],2,0)))</f>
        <v/>
      </c>
      <c r="T30" s="93" t="s">
        <v>1428</v>
      </c>
      <c r="U30" s="110"/>
      <c r="V30" s="110"/>
      <c r="W30" s="110"/>
      <c r="X30" s="110"/>
      <c r="Y30" s="103">
        <f>[No]</f>
        <v>2133128</v>
      </c>
      <c r="AA30" s="62" t="s">
        <v>1635</v>
      </c>
      <c r="AB30" s="69">
        <f>VLOOKUP(ActionListNData[[#This Row],[Action Name]],ResourceAction[[Display]:[No]],3,0)</f>
        <v>2133154</v>
      </c>
      <c r="AC30" s="69" t="s">
        <v>1700</v>
      </c>
      <c r="AD30" s="69"/>
      <c r="AE30" s="69" t="str">
        <f>'Table Seed Map'!$A$37&amp;"-"&amp;-1+COUNTA($AC$1:ActionListNData[[#This Row],[Resource List]])</f>
        <v>Action List-28</v>
      </c>
      <c r="AF30" s="69">
        <f>IF(ActionListNData[[#This Row],[Action Name]]="","id",-1+COUNTA($AC$1:ActionListNData[[#This Row],[Resource List]])+IF(ISNUMBER(VLOOKUP('Table Seed Map'!$A$37,SeedMap[],9,0)),VLOOKUP('Table Seed Map'!$A$37,SeedMap[],9,0),0))</f>
        <v>2136128</v>
      </c>
      <c r="AG30" s="69">
        <f>ActionListNData[[#This Row],[Action]]</f>
        <v>2133154</v>
      </c>
      <c r="AH30" s="69">
        <f>IF(ActionListNData[[#This Row],[Action Name]]="","resource_list",IFERROR(VLOOKUP(ActionListNData[[#This Row],[Resource List]],ResourceList[[ListDisplayName]:[No]],2,0),""))</f>
        <v>2123125</v>
      </c>
      <c r="AI30" s="69" t="str">
        <f>'Table Seed Map'!$A$38&amp;"-"&amp;-1+COUNTA($AD$1:ActionListNData[[#This Row],[Resource Data]])</f>
        <v>Action Data-0</v>
      </c>
      <c r="AJ3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0" s="69">
        <f>ActionListNData[[#This Row],[Action]]</f>
        <v>2133154</v>
      </c>
      <c r="AL30" s="69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96" t="str">
        <f>'Table Seed Map'!$A$34&amp;"-"&amp;(COUNTA($E$1:ResourceAction[[#This Row],[Resource]])-2)</f>
        <v>Resource Actions-29</v>
      </c>
      <c r="B31" s="96" t="str">
        <f>ResourceAction[[#This Row],[Resource Name]]&amp;"/"&amp;ResourceAction[[#This Row],[Name]]</f>
        <v>Receipt/ReceiptListAction</v>
      </c>
      <c r="C31" s="104" t="s">
        <v>791</v>
      </c>
      <c r="D31" s="96">
        <f>IF(ResourceAction[[#This Row],[Resource Name]]="","id",COUNTA($C$1:ResourceAction[[#This Row],[Resource Name]])-1+IF(VLOOKUP('Table Seed Map'!$A$34,SeedMap[],9,0),VLOOKUP('Table Seed Map'!$A$34,SeedMap[],9,0),0))</f>
        <v>2133129</v>
      </c>
      <c r="E31" s="96">
        <f>IFERROR(VLOOKUP(ResourceAction[[#This Row],[Resource Name]],ResourceTable[[RName]:[No]],3,0),"resource")</f>
        <v>2106124</v>
      </c>
      <c r="F31" s="96" t="s">
        <v>1445</v>
      </c>
      <c r="G31" s="96"/>
      <c r="H31" s="96" t="s">
        <v>911</v>
      </c>
      <c r="I31" s="96"/>
      <c r="J31" s="96" t="s">
        <v>911</v>
      </c>
      <c r="K31" s="95" t="str">
        <f>'Table Seed Map'!$A$35&amp;"-"&amp;(COUNTA($E$1:ResourceAction[[#This Row],[Resource]])-2)</f>
        <v>Action Method-29</v>
      </c>
      <c r="L31" s="96">
        <f>IF(ResourceAction[[#This Row],[No]]="id","id",-2+COUNTA($E$1:ResourceAction[[#This Row],[Resource]])+IF(ISNUMBER(VLOOKUP('Table Seed Map'!$A$35,SeedMap[],9,0)),VLOOKUP('Table Seed Map'!$A$35,SeedMap[],9,0),0))</f>
        <v>2134129</v>
      </c>
      <c r="M31" s="96">
        <f>IF(ResourceAction[[#This Row],[No]]="id","resource_action",ResourceAction[[#This Row],[No]])</f>
        <v>2133129</v>
      </c>
      <c r="N31" s="91" t="s">
        <v>122</v>
      </c>
      <c r="O31" s="109">
        <f ca="1">IF(ResourceAction[[#This Row],[Resource Name]]="","idn1",IF(ResourceAction[[#This Row],[IDN1]]="","",VLOOKUP(ResourceAction[[#This Row],[IDN1]],IDNMaps[[Display]:[ID]],2,0)))</f>
        <v>2123116</v>
      </c>
      <c r="P31" s="109" t="str">
        <f>IF(ResourceAction[[#This Row],[Resource Name]]="","idn2",IF(ResourceAction[[#This Row],[IDN2]]="","",VLOOKUP(ResourceAction[[#This Row],[IDN2]],IDNMaps[[Display]:[ID]],2,0)))</f>
        <v/>
      </c>
      <c r="Q31" s="109" t="str">
        <f>IF(ResourceAction[[#This Row],[Resource Name]]="","idn3",IF(ResourceAction[[#This Row],[IDN3]]="","",VLOOKUP(ResourceAction[[#This Row],[IDN3]],IDNMaps[[Display]:[ID]],2,0)))</f>
        <v/>
      </c>
      <c r="R31" s="109" t="str">
        <f>IF(ResourceAction[[#This Row],[Resource Name]]="","idn4",IF(ResourceAction[[#This Row],[IDN4]]="","",VLOOKUP(ResourceAction[[#This Row],[IDN4]],IDNMaps[[Display]:[ID]],2,0)))</f>
        <v/>
      </c>
      <c r="S31" s="109" t="str">
        <f>IF(ResourceAction[[#This Row],[Resource Name]]="","idn5",IF(ResourceAction[[#This Row],[IDN5]]="","",VLOOKUP(ResourceAction[[#This Row],[IDN5]],IDNMaps[[Display]:[ID]],2,0)))</f>
        <v/>
      </c>
      <c r="T31" s="93" t="s">
        <v>1429</v>
      </c>
      <c r="U31" s="110"/>
      <c r="V31" s="110"/>
      <c r="W31" s="110"/>
      <c r="X31" s="110"/>
      <c r="Y31" s="103">
        <f>[No]</f>
        <v>2133129</v>
      </c>
      <c r="AA31" s="62" t="s">
        <v>1734</v>
      </c>
      <c r="AB31" s="69">
        <f>VLOOKUP(ActionListNData[[#This Row],[Action Name]],ResourceAction[[Display]:[No]],3,0)</f>
        <v>2133162</v>
      </c>
      <c r="AC31" s="69" t="s">
        <v>1627</v>
      </c>
      <c r="AD31" s="69"/>
      <c r="AE31" s="69" t="str">
        <f>'Table Seed Map'!$A$37&amp;"-"&amp;-1+COUNTA($AC$1:ActionListNData[[#This Row],[Resource List]])</f>
        <v>Action List-29</v>
      </c>
      <c r="AF31" s="69">
        <f>IF(ActionListNData[[#This Row],[Action Name]]="","id",-1+COUNTA($AC$1:ActionListNData[[#This Row],[Resource List]])+IF(ISNUMBER(VLOOKUP('Table Seed Map'!$A$37,SeedMap[],9,0)),VLOOKUP('Table Seed Map'!$A$37,SeedMap[],9,0),0))</f>
        <v>2136129</v>
      </c>
      <c r="AG31" s="69">
        <f>ActionListNData[[#This Row],[Action]]</f>
        <v>2133162</v>
      </c>
      <c r="AH31" s="69">
        <f>IF(ActionListNData[[#This Row],[Action Name]]="","resource_list",IFERROR(VLOOKUP(ActionListNData[[#This Row],[Resource List]],ResourceList[[ListDisplayName]:[No]],2,0),""))</f>
        <v>2123121</v>
      </c>
      <c r="AI31" s="69" t="str">
        <f>'Table Seed Map'!$A$38&amp;"-"&amp;-1+COUNTA($AD$1:ActionListNData[[#This Row],[Resource Data]])</f>
        <v>Action Data-0</v>
      </c>
      <c r="AJ3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1" s="69">
        <f>ActionListNData[[#This Row],[Action]]</f>
        <v>2133162</v>
      </c>
      <c r="AL31" s="69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96" t="str">
        <f>'Table Seed Map'!$A$34&amp;"-"&amp;(COUNTA($E$1:ResourceAction[[#This Row],[Resource]])-2)</f>
        <v>Resource Actions-30</v>
      </c>
      <c r="B32" s="96" t="str">
        <f>ResourceAction[[#This Row],[Resource Name]]&amp;"/"&amp;ResourceAction[[#This Row],[Name]]</f>
        <v>Delivery/DeliveryListAction</v>
      </c>
      <c r="C32" s="104" t="s">
        <v>912</v>
      </c>
      <c r="D32" s="96">
        <f>IF(ResourceAction[[#This Row],[Resource Name]]="","id",COUNTA($C$1:ResourceAction[[#This Row],[Resource Name]])-1+IF(VLOOKUP('Table Seed Map'!$A$34,SeedMap[],9,0),VLOOKUP('Table Seed Map'!$A$34,SeedMap[],9,0),0))</f>
        <v>2133130</v>
      </c>
      <c r="E32" s="96">
        <f>IFERROR(VLOOKUP(ResourceAction[[#This Row],[Resource Name]],ResourceTable[[RName]:[No]],3,0),"resource")</f>
        <v>2106125</v>
      </c>
      <c r="F32" s="96" t="s">
        <v>1446</v>
      </c>
      <c r="G32" s="96"/>
      <c r="H32" s="96" t="s">
        <v>952</v>
      </c>
      <c r="I32" s="96"/>
      <c r="J32" s="96" t="s">
        <v>952</v>
      </c>
      <c r="K32" s="95" t="str">
        <f>'Table Seed Map'!$A$35&amp;"-"&amp;(COUNTA($E$1:ResourceAction[[#This Row],[Resource]])-2)</f>
        <v>Action Method-30</v>
      </c>
      <c r="L32" s="96">
        <f>IF(ResourceAction[[#This Row],[No]]="id","id",-2+COUNTA($E$1:ResourceAction[[#This Row],[Resource]])+IF(ISNUMBER(VLOOKUP('Table Seed Map'!$A$35,SeedMap[],9,0)),VLOOKUP('Table Seed Map'!$A$35,SeedMap[],9,0),0))</f>
        <v>2134130</v>
      </c>
      <c r="M32" s="96">
        <f>IF(ResourceAction[[#This Row],[No]]="id","resource_action",ResourceAction[[#This Row],[No]])</f>
        <v>2133130</v>
      </c>
      <c r="N32" s="91" t="s">
        <v>122</v>
      </c>
      <c r="O32" s="109">
        <f ca="1">IF(ResourceAction[[#This Row],[Resource Name]]="","idn1",IF(ResourceAction[[#This Row],[IDN1]]="","",VLOOKUP(ResourceAction[[#This Row],[IDN1]],IDNMaps[[Display]:[ID]],2,0)))</f>
        <v>2123117</v>
      </c>
      <c r="P32" s="109" t="str">
        <f>IF(ResourceAction[[#This Row],[Resource Name]]="","idn2",IF(ResourceAction[[#This Row],[IDN2]]="","",VLOOKUP(ResourceAction[[#This Row],[IDN2]],IDNMaps[[Display]:[ID]],2,0)))</f>
        <v/>
      </c>
      <c r="Q32" s="109" t="str">
        <f>IF(ResourceAction[[#This Row],[Resource Name]]="","idn3",IF(ResourceAction[[#This Row],[IDN3]]="","",VLOOKUP(ResourceAction[[#This Row],[IDN3]],IDNMaps[[Display]:[ID]],2,0)))</f>
        <v/>
      </c>
      <c r="R32" s="109" t="str">
        <f>IF(ResourceAction[[#This Row],[Resource Name]]="","idn4",IF(ResourceAction[[#This Row],[IDN4]]="","",VLOOKUP(ResourceAction[[#This Row],[IDN4]],IDNMaps[[Display]:[ID]],2,0)))</f>
        <v/>
      </c>
      <c r="S32" s="109" t="str">
        <f>IF(ResourceAction[[#This Row],[Resource Name]]="","idn5",IF(ResourceAction[[#This Row],[IDN5]]="","",VLOOKUP(ResourceAction[[#This Row],[IDN5]],IDNMaps[[Display]:[ID]],2,0)))</f>
        <v/>
      </c>
      <c r="T32" s="93" t="s">
        <v>1430</v>
      </c>
      <c r="U32" s="110"/>
      <c r="V32" s="110"/>
      <c r="W32" s="110"/>
      <c r="X32" s="110"/>
      <c r="Y32" s="103">
        <f>[No]</f>
        <v>2133130</v>
      </c>
      <c r="AA32" s="62" t="s">
        <v>1741</v>
      </c>
      <c r="AB32" s="16">
        <f>VLOOKUP(ActionListNData[[#This Row],[Action Name]],ResourceAction[[Display]:[No]],3,0)</f>
        <v>2133164</v>
      </c>
      <c r="AC32" s="69" t="s">
        <v>1613</v>
      </c>
      <c r="AD32" s="16"/>
      <c r="AE32" s="16" t="str">
        <f>'Table Seed Map'!$A$37&amp;"-"&amp;-1+COUNTA($AC$1:ActionListNData[[#This Row],[Resource List]])</f>
        <v>Action List-30</v>
      </c>
      <c r="AF32" s="16">
        <f>IF(ActionListNData[[#This Row],[Action Name]]="","id",-1+COUNTA($AC$1:ActionListNData[[#This Row],[Resource List]])+IF(ISNUMBER(VLOOKUP('Table Seed Map'!$A$37,SeedMap[],9,0)),VLOOKUP('Table Seed Map'!$A$37,SeedMap[],9,0),0))</f>
        <v>2136130</v>
      </c>
      <c r="AG32" s="16">
        <f>ActionListNData[[#This Row],[Action]]</f>
        <v>2133164</v>
      </c>
      <c r="AH32" s="16">
        <f>IF(ActionListNData[[#This Row],[Action Name]]="","resource_list",IFERROR(VLOOKUP(ActionListNData[[#This Row],[Resource List]],ResourceList[[ListDisplayName]:[No]],2,0),""))</f>
        <v>2123120</v>
      </c>
      <c r="AI32" s="16" t="str">
        <f>'Table Seed Map'!$A$38&amp;"-"&amp;-1+COUNTA($AD$1:ActionListNData[[#This Row],[Resource Data]])</f>
        <v>Action Data-0</v>
      </c>
      <c r="AJ32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2" s="16">
        <f>ActionListNData[[#This Row],[Action]]</f>
        <v>2133164</v>
      </c>
      <c r="AL32" s="16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96" t="str">
        <f>'Table Seed Map'!$A$34&amp;"-"&amp;(COUNTA($E$1:ResourceAction[[#This Row],[Resource]])-2)</f>
        <v>Resource Actions-31</v>
      </c>
      <c r="B33" s="96" t="str">
        <f>ResourceAction[[#This Row],[Resource Name]]&amp;"/"&amp;ResourceAction[[#This Row],[Name]]</f>
        <v>HubShift/HubShiftListAction</v>
      </c>
      <c r="C33" s="104" t="s">
        <v>792</v>
      </c>
      <c r="D33" s="96">
        <f>IF(ResourceAction[[#This Row],[Resource Name]]="","id",COUNTA($C$1:ResourceAction[[#This Row],[Resource Name]])-1+IF(VLOOKUP('Table Seed Map'!$A$34,SeedMap[],9,0),VLOOKUP('Table Seed Map'!$A$34,SeedMap[],9,0),0))</f>
        <v>2133131</v>
      </c>
      <c r="E33" s="96">
        <f>IFERROR(VLOOKUP(ResourceAction[[#This Row],[Resource Name]],ResourceTable[[RName]:[No]],3,0),"resource")</f>
        <v>2106127</v>
      </c>
      <c r="F33" s="96" t="s">
        <v>1447</v>
      </c>
      <c r="G33" s="96"/>
      <c r="H33" s="96" t="s">
        <v>1415</v>
      </c>
      <c r="I33" s="96"/>
      <c r="J33" s="96" t="s">
        <v>1415</v>
      </c>
      <c r="K33" s="95" t="str">
        <f>'Table Seed Map'!$A$35&amp;"-"&amp;(COUNTA($E$1:ResourceAction[[#This Row],[Resource]])-2)</f>
        <v>Action Method-31</v>
      </c>
      <c r="L33" s="96">
        <f>IF(ResourceAction[[#This Row],[No]]="id","id",-2+COUNTA($E$1:ResourceAction[[#This Row],[Resource]])+IF(ISNUMBER(VLOOKUP('Table Seed Map'!$A$35,SeedMap[],9,0)),VLOOKUP('Table Seed Map'!$A$35,SeedMap[],9,0),0))</f>
        <v>2134131</v>
      </c>
      <c r="M33" s="96">
        <f>IF(ResourceAction[[#This Row],[No]]="id","resource_action",ResourceAction[[#This Row],[No]])</f>
        <v>2133131</v>
      </c>
      <c r="N33" s="91" t="s">
        <v>122</v>
      </c>
      <c r="O33" s="109">
        <f ca="1">IF(ResourceAction[[#This Row],[Resource Name]]="","idn1",IF(ResourceAction[[#This Row],[IDN1]]="","",VLOOKUP(ResourceAction[[#This Row],[IDN1]],IDNMaps[[Display]:[ID]],2,0)))</f>
        <v>2123118</v>
      </c>
      <c r="P33" s="109" t="str">
        <f>IF(ResourceAction[[#This Row],[Resource Name]]="","idn2",IF(ResourceAction[[#This Row],[IDN2]]="","",VLOOKUP(ResourceAction[[#This Row],[IDN2]],IDNMaps[[Display]:[ID]],2,0)))</f>
        <v/>
      </c>
      <c r="Q33" s="109" t="str">
        <f>IF(ResourceAction[[#This Row],[Resource Name]]="","idn3",IF(ResourceAction[[#This Row],[IDN3]]="","",VLOOKUP(ResourceAction[[#This Row],[IDN3]],IDNMaps[[Display]:[ID]],2,0)))</f>
        <v/>
      </c>
      <c r="R33" s="109" t="str">
        <f>IF(ResourceAction[[#This Row],[Resource Name]]="","idn4",IF(ResourceAction[[#This Row],[IDN4]]="","",VLOOKUP(ResourceAction[[#This Row],[IDN4]],IDNMaps[[Display]:[ID]],2,0)))</f>
        <v/>
      </c>
      <c r="S33" s="109" t="str">
        <f>IF(ResourceAction[[#This Row],[Resource Name]]="","idn5",IF(ResourceAction[[#This Row],[IDN5]]="","",VLOOKUP(ResourceAction[[#This Row],[IDN5]],IDNMaps[[Display]:[ID]],2,0)))</f>
        <v/>
      </c>
      <c r="T33" s="93" t="s">
        <v>1431</v>
      </c>
      <c r="U33" s="110"/>
      <c r="V33" s="110"/>
      <c r="W33" s="110"/>
      <c r="X33" s="110"/>
      <c r="Y33" s="103">
        <f>[No]</f>
        <v>2133131</v>
      </c>
      <c r="AA33" s="62" t="s">
        <v>1748</v>
      </c>
      <c r="AB33" s="16">
        <f>VLOOKUP(ActionListNData[[#This Row],[Action Name]],ResourceAction[[Display]:[No]],3,0)</f>
        <v>2133165</v>
      </c>
      <c r="AC33" s="69" t="s">
        <v>1466</v>
      </c>
      <c r="AD33" s="16"/>
      <c r="AE33" s="16" t="str">
        <f>'Table Seed Map'!$A$37&amp;"-"&amp;-1+COUNTA($AC$1:ActionListNData[[#This Row],[Resource List]])</f>
        <v>Action List-31</v>
      </c>
      <c r="AF33" s="16">
        <f>IF(ActionListNData[[#This Row],[Action Name]]="","id",-1+COUNTA($AC$1:ActionListNData[[#This Row],[Resource List]])+IF(ISNUMBER(VLOOKUP('Table Seed Map'!$A$37,SeedMap[],9,0)),VLOOKUP('Table Seed Map'!$A$37,SeedMap[],9,0),0))</f>
        <v>2136131</v>
      </c>
      <c r="AG33" s="16">
        <f>ActionListNData[[#This Row],[Action]]</f>
        <v>2133165</v>
      </c>
      <c r="AH33" s="16">
        <f>IF(ActionListNData[[#This Row],[Action Name]]="","resource_list",IFERROR(VLOOKUP(ActionListNData[[#This Row],[Resource List]],ResourceList[[ListDisplayName]:[No]],2,0),""))</f>
        <v>2123113</v>
      </c>
      <c r="AI33" s="16" t="str">
        <f>'Table Seed Map'!$A$38&amp;"-"&amp;-1+COUNTA($AD$1:ActionListNData[[#This Row],[Resource Data]])</f>
        <v>Action Data-0</v>
      </c>
      <c r="AJ33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3" s="16">
        <f>ActionListNData[[#This Row],[Action]]</f>
        <v>2133165</v>
      </c>
      <c r="AL33" s="16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96" t="str">
        <f>'Table Seed Map'!$A$34&amp;"-"&amp;(COUNTA($E$1:ResourceAction[[#This Row],[Resource]])-2)</f>
        <v>Resource Actions-32</v>
      </c>
      <c r="B34" s="96" t="str">
        <f>ResourceAction[[#This Row],[Resource Name]]&amp;"/"&amp;ResourceAction[[#This Row],[Name]]</f>
        <v>Hub/HubEmployeeManageAction</v>
      </c>
      <c r="C34" s="104" t="s">
        <v>777</v>
      </c>
      <c r="D34" s="96">
        <f>IF(ResourceAction[[#This Row],[Resource Name]]="","id",COUNTA($C$1:ResourceAction[[#This Row],[Resource Name]])-1+IF(VLOOKUP('Table Seed Map'!$A$34,SeedMap[],9,0),VLOOKUP('Table Seed Map'!$A$34,SeedMap[],9,0),0))</f>
        <v>2133132</v>
      </c>
      <c r="E34" s="96">
        <f>IFERROR(VLOOKUP(ResourceAction[[#This Row],[Resource Name]],ResourceTable[[RName]:[No]],3,0),"resource")</f>
        <v>2106107</v>
      </c>
      <c r="F34" s="96" t="s">
        <v>1488</v>
      </c>
      <c r="G34" s="96"/>
      <c r="H34" s="96" t="s">
        <v>1489</v>
      </c>
      <c r="I34" s="96"/>
      <c r="J34" s="96"/>
      <c r="K34" s="95" t="str">
        <f>'Table Seed Map'!$A$35&amp;"-"&amp;(COUNTA($E$1:ResourceAction[[#This Row],[Resource]])-2)</f>
        <v>Action Method-32</v>
      </c>
      <c r="L34" s="96">
        <f>IF(ResourceAction[[#This Row],[No]]="id","id",-2+COUNTA($E$1:ResourceAction[[#This Row],[Resource]])+IF(ISNUMBER(VLOOKUP('Table Seed Map'!$A$35,SeedMap[],9,0)),VLOOKUP('Table Seed Map'!$A$35,SeedMap[],9,0),0))</f>
        <v>2134132</v>
      </c>
      <c r="M34" s="96">
        <f>IF(ResourceAction[[#This Row],[No]]="id","resource_action",ResourceAction[[#This Row],[No]])</f>
        <v>2133132</v>
      </c>
      <c r="N34" s="91" t="s">
        <v>1490</v>
      </c>
      <c r="O34" s="109">
        <f ca="1">IF(ResourceAction[[#This Row],[Resource Name]]="","idn1",IF(ResourceAction[[#This Row],[IDN1]]="","",VLOOKUP(ResourceAction[[#This Row],[IDN1]],IDNMaps[[Display]:[ID]],2,0)))</f>
        <v>2109108</v>
      </c>
      <c r="P34" s="109">
        <f ca="1">IF(ResourceAction[[#This Row],[Resource Name]]="","idn2",IF(ResourceAction[[#This Row],[IDN2]]="","",VLOOKUP(ResourceAction[[#This Row],[IDN2]],IDNMaps[[Display]:[ID]],2,0)))</f>
        <v>2123103</v>
      </c>
      <c r="Q34" s="109" t="str">
        <f>IF(ResourceAction[[#This Row],[Resource Name]]="","idn3",IF(ResourceAction[[#This Row],[IDN3]]="","",VLOOKUP(ResourceAction[[#This Row],[IDN3]],IDNMaps[[Display]:[ID]],2,0)))</f>
        <v/>
      </c>
      <c r="R34" s="109" t="str">
        <f>IF(ResourceAction[[#This Row],[Resource Name]]="","idn4",IF(ResourceAction[[#This Row],[IDN4]]="","",VLOOKUP(ResourceAction[[#This Row],[IDN4]],IDNMaps[[Display]:[ID]],2,0)))</f>
        <v/>
      </c>
      <c r="S34" s="109" t="str">
        <f>IF(ResourceAction[[#This Row],[Resource Name]]="","idn5",IF(ResourceAction[[#This Row],[IDN5]]="","",VLOOKUP(ResourceAction[[#This Row],[IDN5]],IDNMaps[[Display]:[ID]],2,0)))</f>
        <v/>
      </c>
      <c r="T34" s="93" t="s">
        <v>1487</v>
      </c>
      <c r="U34" s="110" t="s">
        <v>1417</v>
      </c>
      <c r="V34" s="110"/>
      <c r="W34" s="110"/>
      <c r="X34" s="110"/>
      <c r="Y34" s="103">
        <f>[No]</f>
        <v>2133132</v>
      </c>
      <c r="AA34" s="62" t="s">
        <v>1758</v>
      </c>
      <c r="AB34" s="69">
        <f>VLOOKUP(ActionListNData[[#This Row],[Action Name]],ResourceAction[[Display]:[No]],3,0)</f>
        <v>2133166</v>
      </c>
      <c r="AC34" s="69" t="s">
        <v>1465</v>
      </c>
      <c r="AD34" s="69"/>
      <c r="AE34" s="69" t="str">
        <f>'Table Seed Map'!$A$37&amp;"-"&amp;-1+COUNTA($AC$1:ActionListNData[[#This Row],[Resource List]])</f>
        <v>Action List-32</v>
      </c>
      <c r="AF34" s="69">
        <f>IF(ActionListNData[[#This Row],[Action Name]]="","id",-1+COUNTA($AC$1:ActionListNData[[#This Row],[Resource List]])+IF(ISNUMBER(VLOOKUP('Table Seed Map'!$A$37,SeedMap[],9,0)),VLOOKUP('Table Seed Map'!$A$37,SeedMap[],9,0),0))</f>
        <v>2136132</v>
      </c>
      <c r="AG34" s="69">
        <f>ActionListNData[[#This Row],[Action]]</f>
        <v>2133166</v>
      </c>
      <c r="AH34" s="69">
        <f>IF(ActionListNData[[#This Row],[Action Name]]="","resource_list",IFERROR(VLOOKUP(ActionListNData[[#This Row],[Resource List]],ResourceList[[ListDisplayName]:[No]],2,0),""))</f>
        <v>2123112</v>
      </c>
      <c r="AI34" s="69" t="str">
        <f>'Table Seed Map'!$A$38&amp;"-"&amp;-1+COUNTA($AD$1:ActionListNData[[#This Row],[Resource Data]])</f>
        <v>Action Data-0</v>
      </c>
      <c r="AJ3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4" s="69">
        <f>ActionListNData[[#This Row],[Action]]</f>
        <v>2133166</v>
      </c>
      <c r="AL34" s="69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96" t="str">
        <f>'Table Seed Map'!$A$34&amp;"-"&amp;(COUNTA($E$1:ResourceAction[[#This Row],[Resource]])-2)</f>
        <v>Resource Actions-33</v>
      </c>
      <c r="B35" s="96" t="str">
        <f>ResourceAction[[#This Row],[Resource Name]]&amp;"/"&amp;ResourceAction[[#This Row],[Name]]</f>
        <v>Employee/ManagersManageHubAction</v>
      </c>
      <c r="C35" s="104" t="s">
        <v>1337</v>
      </c>
      <c r="D35" s="96">
        <f>IF(ResourceAction[[#This Row],[Resource Name]]="","id",COUNTA($C$1:ResourceAction[[#This Row],[Resource Name]])-1+IF(VLOOKUP('Table Seed Map'!$A$34,SeedMap[],9,0),VLOOKUP('Table Seed Map'!$A$34,SeedMap[],9,0),0))</f>
        <v>2133133</v>
      </c>
      <c r="E35" s="96">
        <f>IFERROR(VLOOKUP(ResourceAction[[#This Row],[Resource Name]],ResourceTable[[RName]:[No]],3,0),"resource")</f>
        <v>2106104</v>
      </c>
      <c r="F35" s="96" t="s">
        <v>1499</v>
      </c>
      <c r="G35" s="96"/>
      <c r="H35" s="96" t="s">
        <v>1500</v>
      </c>
      <c r="I35" s="96"/>
      <c r="J35" s="96"/>
      <c r="K35" s="95" t="str">
        <f>'Table Seed Map'!$A$35&amp;"-"&amp;(COUNTA($E$1:ResourceAction[[#This Row],[Resource]])-2)</f>
        <v>Action Method-33</v>
      </c>
      <c r="L35" s="96">
        <f>IF(ResourceAction[[#This Row],[No]]="id","id",-2+COUNTA($E$1:ResourceAction[[#This Row],[Resource]])+IF(ISNUMBER(VLOOKUP('Table Seed Map'!$A$35,SeedMap[],9,0)),VLOOKUP('Table Seed Map'!$A$35,SeedMap[],9,0),0))</f>
        <v>2134133</v>
      </c>
      <c r="M35" s="96">
        <f>IF(ResourceAction[[#This Row],[No]]="id","resource_action",ResourceAction[[#This Row],[No]])</f>
        <v>2133133</v>
      </c>
      <c r="N35" s="91" t="s">
        <v>1490</v>
      </c>
      <c r="O35" s="109">
        <f ca="1">IF(ResourceAction[[#This Row],[Resource Name]]="","idn1",IF(ResourceAction[[#This Row],[IDN1]]="","",VLOOKUP(ResourceAction[[#This Row],[IDN1]],IDNMaps[[Display]:[ID]],2,0)))</f>
        <v>2109106</v>
      </c>
      <c r="P35" s="109">
        <f ca="1">IF(ResourceAction[[#This Row],[Resource Name]]="","idn2",IF(ResourceAction[[#This Row],[IDN2]]="","",VLOOKUP(ResourceAction[[#This Row],[IDN2]],IDNMaps[[Display]:[ID]],2,0)))</f>
        <v>2123108</v>
      </c>
      <c r="Q35" s="109" t="str">
        <f>IF(ResourceAction[[#This Row],[Resource Name]]="","idn3",IF(ResourceAction[[#This Row],[IDN3]]="","",VLOOKUP(ResourceAction[[#This Row],[IDN3]],IDNMaps[[Display]:[ID]],2,0)))</f>
        <v/>
      </c>
      <c r="R35" s="109" t="str">
        <f>IF(ResourceAction[[#This Row],[Resource Name]]="","idn4",IF(ResourceAction[[#This Row],[IDN4]]="","",VLOOKUP(ResourceAction[[#This Row],[IDN4]],IDNMaps[[Display]:[ID]],2,0)))</f>
        <v/>
      </c>
      <c r="S35" s="109" t="str">
        <f>IF(ResourceAction[[#This Row],[Resource Name]]="","idn5",IF(ResourceAction[[#This Row],[IDN5]]="","",VLOOKUP(ResourceAction[[#This Row],[IDN5]],IDNMaps[[Display]:[ID]],2,0)))</f>
        <v/>
      </c>
      <c r="T35" s="93" t="s">
        <v>1501</v>
      </c>
      <c r="U35" s="110" t="s">
        <v>1421</v>
      </c>
      <c r="V35" s="110"/>
      <c r="W35" s="110"/>
      <c r="X35" s="110"/>
      <c r="Y35" s="103">
        <f>[No]</f>
        <v>2133133</v>
      </c>
      <c r="AA35" s="62" t="s">
        <v>1770</v>
      </c>
      <c r="AB35" s="69">
        <f>VLOOKUP(ActionListNData[[#This Row],[Action Name]],ResourceAction[[Display]:[No]],3,0)</f>
        <v>2133167</v>
      </c>
      <c r="AC35" s="69" t="s">
        <v>1461</v>
      </c>
      <c r="AD35" s="69"/>
      <c r="AE35" s="69" t="str">
        <f>'Table Seed Map'!$A$37&amp;"-"&amp;-1+COUNTA($AC$1:ActionListNData[[#This Row],[Resource List]])</f>
        <v>Action List-33</v>
      </c>
      <c r="AF35" s="69">
        <f>IF(ActionListNData[[#This Row],[Action Name]]="","id",-1+COUNTA($AC$1:ActionListNData[[#This Row],[Resource List]])+IF(ISNUMBER(VLOOKUP('Table Seed Map'!$A$37,SeedMap[],9,0)),VLOOKUP('Table Seed Map'!$A$37,SeedMap[],9,0),0))</f>
        <v>2136133</v>
      </c>
      <c r="AG35" s="69">
        <f>ActionListNData[[#This Row],[Action]]</f>
        <v>2133167</v>
      </c>
      <c r="AH35" s="69">
        <f>IF(ActionListNData[[#This Row],[Action Name]]="","resource_list",IFERROR(VLOOKUP(ActionListNData[[#This Row],[Resource List]],ResourceList[[ListDisplayName]:[No]],2,0),""))</f>
        <v>2123110</v>
      </c>
      <c r="AI35" s="69" t="str">
        <f>'Table Seed Map'!$A$38&amp;"-"&amp;-1+COUNTA($AD$1:ActionListNData[[#This Row],[Resource Data]])</f>
        <v>Action Data-0</v>
      </c>
      <c r="AJ3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5" s="69">
        <f>ActionListNData[[#This Row],[Action]]</f>
        <v>2133167</v>
      </c>
      <c r="AL35" s="69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96" t="str">
        <f>'Table Seed Map'!$A$34&amp;"-"&amp;(COUNTA($E$1:ResourceAction[[#This Row],[Resource]])-2)</f>
        <v>Resource Actions-34</v>
      </c>
      <c r="B36" s="96" t="str">
        <f>ResourceAction[[#This Row],[Resource Name]]&amp;"/"&amp;ResourceAction[[#This Row],[Name]]</f>
        <v>Employee/ProvidersManageHubs</v>
      </c>
      <c r="C36" s="104" t="s">
        <v>1337</v>
      </c>
      <c r="D36" s="96">
        <f>IF(ResourceAction[[#This Row],[Resource Name]]="","id",COUNTA($C$1:ResourceAction[[#This Row],[Resource Name]])-1+IF(VLOOKUP('Table Seed Map'!$A$34,SeedMap[],9,0),VLOOKUP('Table Seed Map'!$A$34,SeedMap[],9,0),0))</f>
        <v>2133134</v>
      </c>
      <c r="E36" s="96">
        <f>IFERROR(VLOOKUP(ResourceAction[[#This Row],[Resource Name]],ResourceTable[[RName]:[No]],3,0),"resource")</f>
        <v>2106104</v>
      </c>
      <c r="F36" s="96" t="s">
        <v>1503</v>
      </c>
      <c r="G36" s="96"/>
      <c r="H36" s="96" t="s">
        <v>1500</v>
      </c>
      <c r="I36" s="96"/>
      <c r="J36" s="96"/>
      <c r="K36" s="95" t="str">
        <f>'Table Seed Map'!$A$35&amp;"-"&amp;(COUNTA($E$1:ResourceAction[[#This Row],[Resource]])-2)</f>
        <v>Action Method-34</v>
      </c>
      <c r="L36" s="96">
        <f>IF(ResourceAction[[#This Row],[No]]="id","id",-2+COUNTA($E$1:ResourceAction[[#This Row],[Resource]])+IF(ISNUMBER(VLOOKUP('Table Seed Map'!$A$35,SeedMap[],9,0)),VLOOKUP('Table Seed Map'!$A$35,SeedMap[],9,0),0))</f>
        <v>2134134</v>
      </c>
      <c r="M36" s="96">
        <f>IF(ResourceAction[[#This Row],[No]]="id","resource_action",ResourceAction[[#This Row],[No]])</f>
        <v>2133134</v>
      </c>
      <c r="N36" s="91" t="s">
        <v>1490</v>
      </c>
      <c r="O36" s="109">
        <f ca="1">IF(ResourceAction[[#This Row],[Resource Name]]="","idn1",IF(ResourceAction[[#This Row],[IDN1]]="","",VLOOKUP(ResourceAction[[#This Row],[IDN1]],IDNMaps[[Display]:[ID]],2,0)))</f>
        <v>2109106</v>
      </c>
      <c r="P36" s="109">
        <f ca="1">IF(ResourceAction[[#This Row],[Resource Name]]="","idn2",IF(ResourceAction[[#This Row],[IDN2]]="","",VLOOKUP(ResourceAction[[#This Row],[IDN2]],IDNMaps[[Display]:[ID]],2,0)))</f>
        <v>2123108</v>
      </c>
      <c r="Q36" s="109" t="str">
        <f>IF(ResourceAction[[#This Row],[Resource Name]]="","idn3",IF(ResourceAction[[#This Row],[IDN3]]="","",VLOOKUP(ResourceAction[[#This Row],[IDN3]],IDNMaps[[Display]:[ID]],2,0)))</f>
        <v/>
      </c>
      <c r="R36" s="109" t="str">
        <f>IF(ResourceAction[[#This Row],[Resource Name]]="","idn4",IF(ResourceAction[[#This Row],[IDN4]]="","",VLOOKUP(ResourceAction[[#This Row],[IDN4]],IDNMaps[[Display]:[ID]],2,0)))</f>
        <v/>
      </c>
      <c r="S36" s="109" t="str">
        <f>IF(ResourceAction[[#This Row],[Resource Name]]="","idn5",IF(ResourceAction[[#This Row],[IDN5]]="","",VLOOKUP(ResourceAction[[#This Row],[IDN5]],IDNMaps[[Display]:[ID]],2,0)))</f>
        <v/>
      </c>
      <c r="T36" s="93" t="s">
        <v>1501</v>
      </c>
      <c r="U36" s="110" t="s">
        <v>1421</v>
      </c>
      <c r="V36" s="110"/>
      <c r="W36" s="110"/>
      <c r="X36" s="110"/>
      <c r="Y36" s="103">
        <f>[No]</f>
        <v>2133134</v>
      </c>
      <c r="AA36" s="62" t="s">
        <v>1782</v>
      </c>
      <c r="AB36" s="69">
        <f>VLOOKUP(ActionListNData[[#This Row],[Action Name]],ResourceAction[[Display]:[No]],3,0)</f>
        <v>2133168</v>
      </c>
      <c r="AC36" s="69" t="s">
        <v>1470</v>
      </c>
      <c r="AD36" s="69"/>
      <c r="AE36" s="69" t="str">
        <f>'Table Seed Map'!$A$37&amp;"-"&amp;-1+COUNTA($AC$1:ActionListNData[[#This Row],[Resource List]])</f>
        <v>Action List-34</v>
      </c>
      <c r="AF36" s="69">
        <f>IF(ActionListNData[[#This Row],[Action Name]]="","id",-1+COUNTA($AC$1:ActionListNData[[#This Row],[Resource List]])+IF(ISNUMBER(VLOOKUP('Table Seed Map'!$A$37,SeedMap[],9,0)),VLOOKUP('Table Seed Map'!$A$37,SeedMap[],9,0),0))</f>
        <v>2136134</v>
      </c>
      <c r="AG36" s="69">
        <f>ActionListNData[[#This Row],[Action]]</f>
        <v>2133168</v>
      </c>
      <c r="AH36" s="69">
        <f>IF(ActionListNData[[#This Row],[Action Name]]="","resource_list",IFERROR(VLOOKUP(ActionListNData[[#This Row],[Resource List]],ResourceList[[ListDisplayName]:[No]],2,0),""))</f>
        <v>2123114</v>
      </c>
      <c r="AI36" s="69" t="str">
        <f>'Table Seed Map'!$A$38&amp;"-"&amp;-1+COUNTA($AD$1:ActionListNData[[#This Row],[Resource Data]])</f>
        <v>Action Data-0</v>
      </c>
      <c r="AJ3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6" s="69">
        <f>ActionListNData[[#This Row],[Action]]</f>
        <v>2133168</v>
      </c>
      <c r="AL36" s="69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96" t="str">
        <f>'Table Seed Map'!$A$34&amp;"-"&amp;(COUNTA($E$1:ResourceAction[[#This Row],[Resource]])-2)</f>
        <v>Resource Actions-35</v>
      </c>
      <c r="B37" s="96" t="str">
        <f>ResourceAction[[#This Row],[Resource Name]]&amp;"/"&amp;ResourceAction[[#This Row],[Name]]</f>
        <v>Employee/ProvidersManageServices</v>
      </c>
      <c r="C37" s="104" t="s">
        <v>1337</v>
      </c>
      <c r="D37" s="96">
        <f>IF(ResourceAction[[#This Row],[Resource Name]]="","id",COUNTA($C$1:ResourceAction[[#This Row],[Resource Name]])-1+IF(VLOOKUP('Table Seed Map'!$A$34,SeedMap[],9,0),VLOOKUP('Table Seed Map'!$A$34,SeedMap[],9,0),0))</f>
        <v>2133135</v>
      </c>
      <c r="E37" s="96">
        <f>IFERROR(VLOOKUP(ResourceAction[[#This Row],[Resource Name]],ResourceTable[[RName]:[No]],3,0),"resource")</f>
        <v>2106104</v>
      </c>
      <c r="F37" s="96" t="s">
        <v>1505</v>
      </c>
      <c r="G37" s="96"/>
      <c r="H37" s="96" t="s">
        <v>1506</v>
      </c>
      <c r="I37" s="96"/>
      <c r="J37" s="96"/>
      <c r="K37" s="95" t="str">
        <f>'Table Seed Map'!$A$35&amp;"-"&amp;(COUNTA($E$1:ResourceAction[[#This Row],[Resource]])-2)</f>
        <v>Action Method-35</v>
      </c>
      <c r="L37" s="96">
        <f>IF(ResourceAction[[#This Row],[No]]="id","id",-2+COUNTA($E$1:ResourceAction[[#This Row],[Resource]])+IF(ISNUMBER(VLOOKUP('Table Seed Map'!$A$35,SeedMap[],9,0)),VLOOKUP('Table Seed Map'!$A$35,SeedMap[],9,0),0))</f>
        <v>2134135</v>
      </c>
      <c r="M37" s="96">
        <f>IF(ResourceAction[[#This Row],[No]]="id","resource_action",ResourceAction[[#This Row],[No]])</f>
        <v>2133135</v>
      </c>
      <c r="N37" s="91" t="s">
        <v>1490</v>
      </c>
      <c r="O37" s="109">
        <f ca="1">IF(ResourceAction[[#This Row],[Resource Name]]="","idn1",IF(ResourceAction[[#This Row],[IDN1]]="","",VLOOKUP(ResourceAction[[#This Row],[IDN1]],IDNMaps[[Display]:[ID]],2,0)))</f>
        <v>2109104</v>
      </c>
      <c r="P37" s="109">
        <f ca="1">IF(ResourceAction[[#This Row],[Resource Name]]="","idn2",IF(ResourceAction[[#This Row],[IDN2]]="","",VLOOKUP(ResourceAction[[#This Row],[IDN2]],IDNMaps[[Display]:[ID]],2,0)))</f>
        <v>2123109</v>
      </c>
      <c r="Q37" s="109" t="str">
        <f>IF(ResourceAction[[#This Row],[Resource Name]]="","idn3",IF(ResourceAction[[#This Row],[IDN3]]="","",VLOOKUP(ResourceAction[[#This Row],[IDN3]],IDNMaps[[Display]:[ID]],2,0)))</f>
        <v/>
      </c>
      <c r="R37" s="109" t="str">
        <f>IF(ResourceAction[[#This Row],[Resource Name]]="","idn4",IF(ResourceAction[[#This Row],[IDN4]]="","",VLOOKUP(ResourceAction[[#This Row],[IDN4]],IDNMaps[[Display]:[ID]],2,0)))</f>
        <v/>
      </c>
      <c r="S37" s="109" t="str">
        <f>IF(ResourceAction[[#This Row],[Resource Name]]="","idn5",IF(ResourceAction[[#This Row],[IDN5]]="","",VLOOKUP(ResourceAction[[#This Row],[IDN5]],IDNMaps[[Display]:[ID]],2,0)))</f>
        <v/>
      </c>
      <c r="T37" s="93" t="s">
        <v>1507</v>
      </c>
      <c r="U37" s="110" t="s">
        <v>1422</v>
      </c>
      <c r="V37" s="110"/>
      <c r="W37" s="110"/>
      <c r="X37" s="110"/>
      <c r="Y37" s="103">
        <f>[No]</f>
        <v>2133135</v>
      </c>
      <c r="AA37" s="62" t="s">
        <v>1790</v>
      </c>
      <c r="AB37" s="69">
        <f>VLOOKUP(ActionListNData[[#This Row],[Action Name]],ResourceAction[[Display]:[No]],3,0)</f>
        <v>2133169</v>
      </c>
      <c r="AC37" s="69" t="s">
        <v>1470</v>
      </c>
      <c r="AD37" s="69"/>
      <c r="AE37" s="69" t="str">
        <f>'Table Seed Map'!$A$37&amp;"-"&amp;-1+COUNTA($AC$1:ActionListNData[[#This Row],[Resource List]])</f>
        <v>Action List-35</v>
      </c>
      <c r="AF37" s="69">
        <f>IF(ActionListNData[[#This Row],[Action Name]]="","id",-1+COUNTA($AC$1:ActionListNData[[#This Row],[Resource List]])+IF(ISNUMBER(VLOOKUP('Table Seed Map'!$A$37,SeedMap[],9,0)),VLOOKUP('Table Seed Map'!$A$37,SeedMap[],9,0),0))</f>
        <v>2136135</v>
      </c>
      <c r="AG37" s="69">
        <f>ActionListNData[[#This Row],[Action]]</f>
        <v>2133169</v>
      </c>
      <c r="AH37" s="69">
        <f>IF(ActionListNData[[#This Row],[Action Name]]="","resource_list",IFERROR(VLOOKUP(ActionListNData[[#This Row],[Resource List]],ResourceList[[ListDisplayName]:[No]],2,0),""))</f>
        <v>2123114</v>
      </c>
      <c r="AI37" s="69" t="str">
        <f>'Table Seed Map'!$A$38&amp;"-"&amp;-1+COUNTA($AD$1:ActionListNData[[#This Row],[Resource Data]])</f>
        <v>Action Data-0</v>
      </c>
      <c r="AJ3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7" s="69">
        <f>ActionListNData[[#This Row],[Action]]</f>
        <v>2133169</v>
      </c>
      <c r="AL37" s="69" t="str">
        <f>IF(ActionListNData[[#This Row],[Action Name]]="","resource_data",IFERROR(VLOOKUP(ActionListNData[[#This Row],[Resource Data]],ResourceData[[DataDisplayName]:[No]],2,0),""))</f>
        <v/>
      </c>
    </row>
    <row r="38" spans="1:38">
      <c r="A38" s="96" t="str">
        <f>'Table Seed Map'!$A$34&amp;"-"&amp;(COUNTA($E$1:ResourceAction[[#This Row],[Resource]])-2)</f>
        <v>Resource Actions-36</v>
      </c>
      <c r="B38" s="96" t="str">
        <f>ResourceAction[[#This Row],[Resource Name]]&amp;"/"&amp;ResourceAction[[#This Row],[Name]]</f>
        <v>Employee/EmployeeDataAction</v>
      </c>
      <c r="C38" s="104" t="s">
        <v>1337</v>
      </c>
      <c r="D38" s="96">
        <f>IF(ResourceAction[[#This Row],[Resource Name]]="","id",COUNTA($C$1:ResourceAction[[#This Row],[Resource Name]])-1+IF(VLOOKUP('Table Seed Map'!$A$34,SeedMap[],9,0),VLOOKUP('Table Seed Map'!$A$34,SeedMap[],9,0),0))</f>
        <v>2133136</v>
      </c>
      <c r="E38" s="96">
        <f>IFERROR(VLOOKUP(ResourceAction[[#This Row],[Resource Name]],ResourceTable[[RName]:[No]],3,0),"resource")</f>
        <v>2106104</v>
      </c>
      <c r="F38" s="96" t="s">
        <v>1562</v>
      </c>
      <c r="G38" s="96"/>
      <c r="H38" s="96" t="s">
        <v>1518</v>
      </c>
      <c r="I38" s="96"/>
      <c r="J38" s="96"/>
      <c r="K38" s="95" t="str">
        <f>'Table Seed Map'!$A$35&amp;"-"&amp;(COUNTA($E$1:ResourceAction[[#This Row],[Resource]])-2)</f>
        <v>Action Method-36</v>
      </c>
      <c r="L38" s="96">
        <f>IF(ResourceAction[[#This Row],[No]]="id","id",-2+COUNTA($E$1:ResourceAction[[#This Row],[Resource]])+IF(ISNUMBER(VLOOKUP('Table Seed Map'!$A$35,SeedMap[],9,0)),VLOOKUP('Table Seed Map'!$A$35,SeedMap[],9,0),0))</f>
        <v>2134136</v>
      </c>
      <c r="M38" s="96">
        <f>IF(ResourceAction[[#This Row],[No]]="id","resource_action",ResourceAction[[#This Row],[No]])</f>
        <v>2133136</v>
      </c>
      <c r="N38" s="91" t="s">
        <v>130</v>
      </c>
      <c r="O38" s="109">
        <f ca="1">IF(ResourceAction[[#This Row],[Resource Name]]="","idn1",IF(ResourceAction[[#This Row],[IDN1]]="","",VLOOKUP(ResourceAction[[#This Row],[IDN1]],IDNMaps[[Display]:[ID]],2,0)))</f>
        <v>2128101</v>
      </c>
      <c r="P38" s="109" t="str">
        <f>IF(ResourceAction[[#This Row],[Resource Name]]="","idn2",IF(ResourceAction[[#This Row],[IDN2]]="","",VLOOKUP(ResourceAction[[#This Row],[IDN2]],IDNMaps[[Display]:[ID]],2,0)))</f>
        <v/>
      </c>
      <c r="Q38" s="109" t="str">
        <f>IF(ResourceAction[[#This Row],[Resource Name]]="","idn3",IF(ResourceAction[[#This Row],[IDN3]]="","",VLOOKUP(ResourceAction[[#This Row],[IDN3]],IDNMaps[[Display]:[ID]],2,0)))</f>
        <v/>
      </c>
      <c r="R38" s="109" t="str">
        <f>IF(ResourceAction[[#This Row],[Resource Name]]="","idn4",IF(ResourceAction[[#This Row],[IDN4]]="","",VLOOKUP(ResourceAction[[#This Row],[IDN4]],IDNMaps[[Display]:[ID]],2,0)))</f>
        <v/>
      </c>
      <c r="S38" s="109" t="str">
        <f>IF(ResourceAction[[#This Row],[Resource Name]]="","idn5",IF(ResourceAction[[#This Row],[IDN5]]="","",VLOOKUP(ResourceAction[[#This Row],[IDN5]],IDNMaps[[Display]:[ID]],2,0)))</f>
        <v/>
      </c>
      <c r="T38" s="93" t="s">
        <v>1552</v>
      </c>
      <c r="U38" s="110"/>
      <c r="V38" s="110"/>
      <c r="W38" s="110"/>
      <c r="X38" s="110"/>
      <c r="Y38" s="103">
        <f>[No]</f>
        <v>2133136</v>
      </c>
      <c r="AA38" s="62" t="s">
        <v>1790</v>
      </c>
      <c r="AB38" s="69">
        <f>VLOOKUP(ActionListNData[[#This Row],[Action Name]],ResourceAction[[Display]:[No]],3,0)</f>
        <v>2133169</v>
      </c>
      <c r="AC38" s="69" t="s">
        <v>1700</v>
      </c>
      <c r="AD38" s="69"/>
      <c r="AE38" s="69" t="str">
        <f>'Table Seed Map'!$A$37&amp;"-"&amp;-1+COUNTA($AC$1:ActionListNData[[#This Row],[Resource List]])</f>
        <v>Action List-36</v>
      </c>
      <c r="AF38" s="69">
        <f>IF(ActionListNData[[#This Row],[Action Name]]="","id",-1+COUNTA($AC$1:ActionListNData[[#This Row],[Resource List]])+IF(ISNUMBER(VLOOKUP('Table Seed Map'!$A$37,SeedMap[],9,0)),VLOOKUP('Table Seed Map'!$A$37,SeedMap[],9,0),0))</f>
        <v>2136136</v>
      </c>
      <c r="AG38" s="69">
        <f>ActionListNData[[#This Row],[Action]]</f>
        <v>2133169</v>
      </c>
      <c r="AH38" s="69">
        <f>IF(ActionListNData[[#This Row],[Action Name]]="","resource_list",IFERROR(VLOOKUP(ActionListNData[[#This Row],[Resource List]],ResourceList[[ListDisplayName]:[No]],2,0),""))</f>
        <v>2123125</v>
      </c>
      <c r="AI38" s="69" t="str">
        <f>'Table Seed Map'!$A$38&amp;"-"&amp;-1+COUNTA($AD$1:ActionListNData[[#This Row],[Resource Data]])</f>
        <v>Action Data-0</v>
      </c>
      <c r="AJ3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8" s="69">
        <f>ActionListNData[[#This Row],[Action]]</f>
        <v>2133169</v>
      </c>
      <c r="AL38" s="69" t="str">
        <f>IF(ActionListNData[[#This Row],[Action Name]]="","resource_data",IFERROR(VLOOKUP(ActionListNData[[#This Row],[Resource Data]],ResourceData[[DataDisplayName]:[No]],2,0),""))</f>
        <v/>
      </c>
    </row>
    <row r="39" spans="1:38">
      <c r="A39" s="96" t="str">
        <f>'Table Seed Map'!$A$34&amp;"-"&amp;(COUNTA($E$1:ResourceAction[[#This Row],[Resource]])-2)</f>
        <v>Resource Actions-37</v>
      </c>
      <c r="B39" s="96" t="str">
        <f>ResourceAction[[#This Row],[Resource Name]]&amp;"/"&amp;ResourceAction[[#This Row],[Name]]</f>
        <v>Service/UserServicesListAction</v>
      </c>
      <c r="C39" s="104" t="s">
        <v>778</v>
      </c>
      <c r="D39" s="96">
        <f>IF(ResourceAction[[#This Row],[Resource Name]]="","id",COUNTA($C$1:ResourceAction[[#This Row],[Resource Name]])-1+IF(VLOOKUP('Table Seed Map'!$A$34,SeedMap[],9,0),VLOOKUP('Table Seed Map'!$A$34,SeedMap[],9,0),0))</f>
        <v>2133137</v>
      </c>
      <c r="E39" s="96">
        <f>IFERROR(VLOOKUP(ResourceAction[[#This Row],[Resource Name]],ResourceTable[[RName]:[No]],3,0),"resource")</f>
        <v>2106108</v>
      </c>
      <c r="F39" s="96" t="s">
        <v>1519</v>
      </c>
      <c r="G39" s="96"/>
      <c r="H39" s="96" t="s">
        <v>1543</v>
      </c>
      <c r="I39" s="96"/>
      <c r="J39" s="96"/>
      <c r="K39" s="95" t="str">
        <f>'Table Seed Map'!$A$35&amp;"-"&amp;(COUNTA($E$1:ResourceAction[[#This Row],[Resource]])-2)</f>
        <v>Action Method-37</v>
      </c>
      <c r="L39" s="96">
        <f>IF(ResourceAction[[#This Row],[No]]="id","id",-2+COUNTA($E$1:ResourceAction[[#This Row],[Resource]])+IF(ISNUMBER(VLOOKUP('Table Seed Map'!$A$35,SeedMap[],9,0)),VLOOKUP('Table Seed Map'!$A$35,SeedMap[],9,0),0))</f>
        <v>2134137</v>
      </c>
      <c r="M39" s="96">
        <f>IF(ResourceAction[[#This Row],[No]]="id","resource_action",ResourceAction[[#This Row],[No]])</f>
        <v>2133137</v>
      </c>
      <c r="N39" s="112" t="s">
        <v>1521</v>
      </c>
      <c r="O39" s="109">
        <f ca="1">IF(ResourceAction[[#This Row],[Resource Name]]="","idn1",IF(ResourceAction[[#This Row],[IDN1]]="","",VLOOKUP(ResourceAction[[#This Row],[IDN1]],IDNMaps[[Display]:[ID]],2,0)))</f>
        <v>2109116</v>
      </c>
      <c r="P39" s="109">
        <f ca="1">IF(ResourceAction[[#This Row],[Resource Name]]="","idn2",IF(ResourceAction[[#This Row],[IDN2]]="","",VLOOKUP(ResourceAction[[#This Row],[IDN2]],IDNMaps[[Display]:[ID]],2,0)))</f>
        <v>2123103</v>
      </c>
      <c r="Q39" s="109" t="str">
        <f>IF(ResourceAction[[#This Row],[Resource Name]]="","idn3",IF(ResourceAction[[#This Row],[IDN3]]="","",VLOOKUP(ResourceAction[[#This Row],[IDN3]],IDNMaps[[Display]:[ID]],2,0)))</f>
        <v/>
      </c>
      <c r="R39" s="109" t="str">
        <f>IF(ResourceAction[[#This Row],[Resource Name]]="","idn4",IF(ResourceAction[[#This Row],[IDN4]]="","",VLOOKUP(ResourceAction[[#This Row],[IDN4]],IDNMaps[[Display]:[ID]],2,0)))</f>
        <v/>
      </c>
      <c r="S39" s="109" t="str">
        <f>IF(ResourceAction[[#This Row],[Resource Name]]="","idn5",IF(ResourceAction[[#This Row],[IDN5]]="","",VLOOKUP(ResourceAction[[#This Row],[IDN5]],IDNMaps[[Display]:[ID]],2,0)))</f>
        <v/>
      </c>
      <c r="T39" s="93" t="s">
        <v>1522</v>
      </c>
      <c r="U39" s="110" t="s">
        <v>1417</v>
      </c>
      <c r="V39" s="110"/>
      <c r="W39" s="110"/>
      <c r="X39" s="110"/>
      <c r="Y39" s="103">
        <f>[No]</f>
        <v>2133137</v>
      </c>
      <c r="AA39" s="62" t="s">
        <v>1788</v>
      </c>
      <c r="AB39" s="69">
        <f>VLOOKUP(ActionListNData[[#This Row],[Action Name]],ResourceAction[[Display]:[No]],3,0)</f>
        <v>2133170</v>
      </c>
      <c r="AC39" s="69" t="s">
        <v>1455</v>
      </c>
      <c r="AD39" s="69"/>
      <c r="AE39" s="69" t="str">
        <f>'Table Seed Map'!$A$37&amp;"-"&amp;-1+COUNTA($AC$1:ActionListNData[[#This Row],[Resource List]])</f>
        <v>Action List-37</v>
      </c>
      <c r="AF39" s="69">
        <f>IF(ActionListNData[[#This Row],[Action Name]]="","id",-1+COUNTA($AC$1:ActionListNData[[#This Row],[Resource List]])+IF(ISNUMBER(VLOOKUP('Table Seed Map'!$A$37,SeedMap[],9,0)),VLOOKUP('Table Seed Map'!$A$37,SeedMap[],9,0),0))</f>
        <v>2136137</v>
      </c>
      <c r="AG39" s="69">
        <f>ActionListNData[[#This Row],[Action]]</f>
        <v>2133170</v>
      </c>
      <c r="AH39" s="69">
        <f>IF(ActionListNData[[#This Row],[Action Name]]="","resource_list",IFERROR(VLOOKUP(ActionListNData[[#This Row],[Resource List]],ResourceList[[ListDisplayName]:[No]],2,0),""))</f>
        <v>2123107</v>
      </c>
      <c r="AI39" s="69" t="str">
        <f>'Table Seed Map'!$A$38&amp;"-"&amp;-1+COUNTA($AD$1:ActionListNData[[#This Row],[Resource Data]])</f>
        <v>Action Data-0</v>
      </c>
      <c r="AJ3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9" s="69">
        <f>ActionListNData[[#This Row],[Action]]</f>
        <v>2133170</v>
      </c>
      <c r="AL39" s="69" t="str">
        <f>IF(ActionListNData[[#This Row],[Action Name]]="","resource_data",IFERROR(VLOOKUP(ActionListNData[[#This Row],[Resource Data]],ResourceData[[DataDisplayName]:[No]],2,0),""))</f>
        <v/>
      </c>
    </row>
    <row r="40" spans="1:38">
      <c r="A40" s="96" t="str">
        <f>'Table Seed Map'!$A$34&amp;"-"&amp;(COUNTA($E$1:ResourceAction[[#This Row],[Resource]])-2)</f>
        <v>Resource Actions-38</v>
      </c>
      <c r="B40" s="96" t="str">
        <f>ResourceAction[[#This Row],[Resource Name]]&amp;"/"&amp;ResourceAction[[#This Row],[Name]]</f>
        <v>Hub/HubServicesListAction</v>
      </c>
      <c r="C40" s="104" t="s">
        <v>777</v>
      </c>
      <c r="D40" s="96">
        <f>IF(ResourceAction[[#This Row],[Resource Name]]="","id",COUNTA($C$1:ResourceAction[[#This Row],[Resource Name]])-1+IF(VLOOKUP('Table Seed Map'!$A$34,SeedMap[],9,0),VLOOKUP('Table Seed Map'!$A$34,SeedMap[],9,0),0))</f>
        <v>2133138</v>
      </c>
      <c r="E40" s="96">
        <f>IFERROR(VLOOKUP(ResourceAction[[#This Row],[Resource Name]],ResourceTable[[RName]:[No]],3,0),"resource")</f>
        <v>2106107</v>
      </c>
      <c r="F40" s="96" t="s">
        <v>1524</v>
      </c>
      <c r="G40" s="96"/>
      <c r="H40" s="96" t="s">
        <v>1520</v>
      </c>
      <c r="I40" s="96"/>
      <c r="J40" s="96"/>
      <c r="K40" s="95" t="str">
        <f>'Table Seed Map'!$A$35&amp;"-"&amp;(COUNTA($E$1:ResourceAction[[#This Row],[Resource]])-2)</f>
        <v>Action Method-38</v>
      </c>
      <c r="L40" s="96">
        <f>IF(ResourceAction[[#This Row],[No]]="id","id",-2+COUNTA($E$1:ResourceAction[[#This Row],[Resource]])+IF(ISNUMBER(VLOOKUP('Table Seed Map'!$A$35,SeedMap[],9,0)),VLOOKUP('Table Seed Map'!$A$35,SeedMap[],9,0),0))</f>
        <v>2134138</v>
      </c>
      <c r="M40" s="96">
        <f>IF(ResourceAction[[#This Row],[No]]="id","resource_action",ResourceAction[[#This Row],[No]])</f>
        <v>2133138</v>
      </c>
      <c r="N40" s="112" t="s">
        <v>1521</v>
      </c>
      <c r="O40" s="109">
        <f ca="1">IF(ResourceAction[[#This Row],[Resource Name]]="","idn1",IF(ResourceAction[[#This Row],[IDN1]]="","",VLOOKUP(ResourceAction[[#This Row],[IDN1]],IDNMaps[[Display]:[ID]],2,0)))</f>
        <v>2109109</v>
      </c>
      <c r="P40" s="109">
        <f ca="1">IF(ResourceAction[[#This Row],[Resource Name]]="","idn2",IF(ResourceAction[[#This Row],[IDN2]]="","",VLOOKUP(ResourceAction[[#This Row],[IDN2]],IDNMaps[[Display]:[ID]],2,0)))</f>
        <v>2123109</v>
      </c>
      <c r="Q40" s="109" t="str">
        <f>IF(ResourceAction[[#This Row],[Resource Name]]="","idn3",IF(ResourceAction[[#This Row],[IDN3]]="","",VLOOKUP(ResourceAction[[#This Row],[IDN3]],IDNMaps[[Display]:[ID]],2,0)))</f>
        <v/>
      </c>
      <c r="R40" s="109" t="str">
        <f>IF(ResourceAction[[#This Row],[Resource Name]]="","idn4",IF(ResourceAction[[#This Row],[IDN4]]="","",VLOOKUP(ResourceAction[[#This Row],[IDN4]],IDNMaps[[Display]:[ID]],2,0)))</f>
        <v/>
      </c>
      <c r="S40" s="109" t="str">
        <f>IF(ResourceAction[[#This Row],[Resource Name]]="","idn5",IF(ResourceAction[[#This Row],[IDN5]]="","",VLOOKUP(ResourceAction[[#This Row],[IDN5]],IDNMaps[[Display]:[ID]],2,0)))</f>
        <v/>
      </c>
      <c r="T40" s="93" t="s">
        <v>1525</v>
      </c>
      <c r="U40" s="110" t="s">
        <v>1422</v>
      </c>
      <c r="V40" s="110"/>
      <c r="W40" s="110"/>
      <c r="X40" s="110"/>
      <c r="Y40" s="103">
        <f>[No]</f>
        <v>2133138</v>
      </c>
      <c r="AA40" s="62" t="s">
        <v>1798</v>
      </c>
      <c r="AB40" s="69">
        <f>VLOOKUP(ActionListNData[[#This Row],[Action Name]],ResourceAction[[Display]:[No]],3,0)</f>
        <v>2133171</v>
      </c>
      <c r="AC40" s="69" t="s">
        <v>1473</v>
      </c>
      <c r="AD40" s="69"/>
      <c r="AE40" s="69" t="str">
        <f>'Table Seed Map'!$A$37&amp;"-"&amp;-1+COUNTA($AC$1:ActionListNData[[#This Row],[Resource List]])</f>
        <v>Action List-38</v>
      </c>
      <c r="AF40" s="69">
        <f>IF(ActionListNData[[#This Row],[Action Name]]="","id",-1+COUNTA($AC$1:ActionListNData[[#This Row],[Resource List]])+IF(ISNUMBER(VLOOKUP('Table Seed Map'!$A$37,SeedMap[],9,0)),VLOOKUP('Table Seed Map'!$A$37,SeedMap[],9,0),0))</f>
        <v>2136138</v>
      </c>
      <c r="AG40" s="69">
        <f>ActionListNData[[#This Row],[Action]]</f>
        <v>2133171</v>
      </c>
      <c r="AH40" s="69">
        <f>IF(ActionListNData[[#This Row],[Action Name]]="","resource_list",IFERROR(VLOOKUP(ActionListNData[[#This Row],[Resource List]],ResourceList[[ListDisplayName]:[No]],2,0),""))</f>
        <v>2123115</v>
      </c>
      <c r="AI40" s="69" t="str">
        <f>'Table Seed Map'!$A$38&amp;"-"&amp;-1+COUNTA($AD$1:ActionListNData[[#This Row],[Resource Data]])</f>
        <v>Action Data-0</v>
      </c>
      <c r="AJ4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0" s="69">
        <f>ActionListNData[[#This Row],[Action]]</f>
        <v>2133171</v>
      </c>
      <c r="AL40" s="69" t="str">
        <f>IF(ActionListNData[[#This Row],[Action Name]]="","resource_data",IFERROR(VLOOKUP(ActionListNData[[#This Row],[Resource Data]],ResourceData[[DataDisplayName]:[No]],2,0),""))</f>
        <v/>
      </c>
    </row>
    <row r="41" spans="1:38">
      <c r="A41" s="96" t="str">
        <f>'Table Seed Map'!$A$34&amp;"-"&amp;(COUNTA($E$1:ResourceAction[[#This Row],[Resource]])-2)</f>
        <v>Resource Actions-39</v>
      </c>
      <c r="B41" s="96" t="str">
        <f>ResourceAction[[#This Row],[Resource Name]]&amp;"/"&amp;ResourceAction[[#This Row],[Name]]</f>
        <v>Service/ServiceHubsListAction</v>
      </c>
      <c r="C41" s="104" t="s">
        <v>778</v>
      </c>
      <c r="D41" s="96">
        <f>IF(ResourceAction[[#This Row],[Resource Name]]="","id",COUNTA($C$1:ResourceAction[[#This Row],[Resource Name]])-1+IF(VLOOKUP('Table Seed Map'!$A$34,SeedMap[],9,0),VLOOKUP('Table Seed Map'!$A$34,SeedMap[],9,0),0))</f>
        <v>2133139</v>
      </c>
      <c r="E41" s="96">
        <f>IFERROR(VLOOKUP(ResourceAction[[#This Row],[Resource Name]],ResourceTable[[RName]:[No]],3,0),"resource")</f>
        <v>2106108</v>
      </c>
      <c r="F41" s="96" t="s">
        <v>1527</v>
      </c>
      <c r="G41" s="96"/>
      <c r="H41" s="96" t="s">
        <v>1528</v>
      </c>
      <c r="I41" s="96"/>
      <c r="J41" s="96"/>
      <c r="K41" s="95" t="str">
        <f>'Table Seed Map'!$A$35&amp;"-"&amp;(COUNTA($E$1:ResourceAction[[#This Row],[Resource]])-2)</f>
        <v>Action Method-39</v>
      </c>
      <c r="L41" s="96">
        <f>IF(ResourceAction[[#This Row],[No]]="id","id",-2+COUNTA($E$1:ResourceAction[[#This Row],[Resource]])+IF(ISNUMBER(VLOOKUP('Table Seed Map'!$A$35,SeedMap[],9,0)),VLOOKUP('Table Seed Map'!$A$35,SeedMap[],9,0),0))</f>
        <v>2134139</v>
      </c>
      <c r="M41" s="96">
        <f>IF(ResourceAction[[#This Row],[No]]="id","resource_action",ResourceAction[[#This Row],[No]])</f>
        <v>2133139</v>
      </c>
      <c r="N41" s="112" t="s">
        <v>1521</v>
      </c>
      <c r="O41" s="109">
        <f ca="1">IF(ResourceAction[[#This Row],[Resource Name]]="","idn1",IF(ResourceAction[[#This Row],[IDN1]]="","",VLOOKUP(ResourceAction[[#This Row],[IDN1]],IDNMaps[[Display]:[ID]],2,0)))</f>
        <v>2109117</v>
      </c>
      <c r="P41" s="109">
        <f ca="1">IF(ResourceAction[[#This Row],[Resource Name]]="","idn2",IF(ResourceAction[[#This Row],[IDN2]]="","",VLOOKUP(ResourceAction[[#This Row],[IDN2]],IDNMaps[[Display]:[ID]],2,0)))</f>
        <v>2123108</v>
      </c>
      <c r="Q41" s="109" t="str">
        <f>IF(ResourceAction[[#This Row],[Resource Name]]="","idn3",IF(ResourceAction[[#This Row],[IDN3]]="","",VLOOKUP(ResourceAction[[#This Row],[IDN3]],IDNMaps[[Display]:[ID]],2,0)))</f>
        <v/>
      </c>
      <c r="R41" s="109" t="str">
        <f>IF(ResourceAction[[#This Row],[Resource Name]]="","idn4",IF(ResourceAction[[#This Row],[IDN4]]="","",VLOOKUP(ResourceAction[[#This Row],[IDN4]],IDNMaps[[Display]:[ID]],2,0)))</f>
        <v/>
      </c>
      <c r="S41" s="109" t="str">
        <f>IF(ResourceAction[[#This Row],[Resource Name]]="","idn5",IF(ResourceAction[[#This Row],[IDN5]]="","",VLOOKUP(ResourceAction[[#This Row],[IDN5]],IDNMaps[[Display]:[ID]],2,0)))</f>
        <v/>
      </c>
      <c r="T41" s="93" t="s">
        <v>1529</v>
      </c>
      <c r="U41" s="110" t="s">
        <v>1421</v>
      </c>
      <c r="V41" s="110"/>
      <c r="W41" s="110"/>
      <c r="X41" s="110"/>
      <c r="Y41" s="103">
        <f>[No]</f>
        <v>2133139</v>
      </c>
      <c r="AA41" s="62" t="s">
        <v>1812</v>
      </c>
      <c r="AB41" s="69">
        <f>VLOOKUP(ActionListNData[[#This Row],[Action Name]],ResourceAction[[Display]:[No]],3,0)</f>
        <v>2133173</v>
      </c>
      <c r="AC41" s="69" t="s">
        <v>1455</v>
      </c>
      <c r="AD41" s="69"/>
      <c r="AE41" s="69" t="str">
        <f>'Table Seed Map'!$A$37&amp;"-"&amp;-1+COUNTA($AC$1:ActionListNData[[#This Row],[Resource List]])</f>
        <v>Action List-39</v>
      </c>
      <c r="AF41" s="69">
        <f>IF(ActionListNData[[#This Row],[Action Name]]="","id",-1+COUNTA($AC$1:ActionListNData[[#This Row],[Resource List]])+IF(ISNUMBER(VLOOKUP('Table Seed Map'!$A$37,SeedMap[],9,0)),VLOOKUP('Table Seed Map'!$A$37,SeedMap[],9,0),0))</f>
        <v>2136139</v>
      </c>
      <c r="AG41" s="69">
        <f>ActionListNData[[#This Row],[Action]]</f>
        <v>2133173</v>
      </c>
      <c r="AH41" s="69">
        <f>IF(ActionListNData[[#This Row],[Action Name]]="","resource_list",IFERROR(VLOOKUP(ActionListNData[[#This Row],[Resource List]],ResourceList[[ListDisplayName]:[No]],2,0),""))</f>
        <v>2123107</v>
      </c>
      <c r="AI41" s="69" t="str">
        <f>'Table Seed Map'!$A$38&amp;"-"&amp;-1+COUNTA($AD$1:ActionListNData[[#This Row],[Resource Data]])</f>
        <v>Action Data-0</v>
      </c>
      <c r="AJ4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1" s="69">
        <f>ActionListNData[[#This Row],[Action]]</f>
        <v>2133173</v>
      </c>
      <c r="AL41" s="69" t="str">
        <f>IF(ActionListNData[[#This Row],[Action Name]]="","resource_data",IFERROR(VLOOKUP(ActionListNData[[#This Row],[Resource Data]],ResourceData[[DataDisplayName]:[No]],2,0),""))</f>
        <v/>
      </c>
    </row>
    <row r="42" spans="1:38">
      <c r="A42" s="96" t="str">
        <f>'Table Seed Map'!$A$34&amp;"-"&amp;(COUNTA($E$1:ResourceAction[[#This Row],[Resource]])-2)</f>
        <v>Resource Actions-40</v>
      </c>
      <c r="B42" s="96" t="str">
        <f>ResourceAction[[#This Row],[Resource Name]]&amp;"/"&amp;ResourceAction[[#This Row],[Name]]</f>
        <v>Employee/UpdateEmployeeAction</v>
      </c>
      <c r="C42" s="104" t="s">
        <v>1337</v>
      </c>
      <c r="D42" s="96">
        <f>IF(ResourceAction[[#This Row],[Resource Name]]="","id",COUNTA($C$1:ResourceAction[[#This Row],[Resource Name]])-1+IF(VLOOKUP('Table Seed Map'!$A$34,SeedMap[],9,0),VLOOKUP('Table Seed Map'!$A$34,SeedMap[],9,0),0))</f>
        <v>2133140</v>
      </c>
      <c r="E42" s="96">
        <f>IFERROR(VLOOKUP(ResourceAction[[#This Row],[Resource Name]],ResourceTable[[RName]:[No]],3,0),"resource")</f>
        <v>2106104</v>
      </c>
      <c r="F42" s="96" t="s">
        <v>1531</v>
      </c>
      <c r="G42" s="96"/>
      <c r="H42" s="96" t="s">
        <v>1567</v>
      </c>
      <c r="I42" s="96"/>
      <c r="J42" s="96"/>
      <c r="K42" s="95" t="str">
        <f>'Table Seed Map'!$A$35&amp;"-"&amp;(COUNTA($E$1:ResourceAction[[#This Row],[Resource]])-2)</f>
        <v>Action Method-40</v>
      </c>
      <c r="L42" s="96">
        <f>IF(ResourceAction[[#This Row],[No]]="id","id",-2+COUNTA($E$1:ResourceAction[[#This Row],[Resource]])+IF(ISNUMBER(VLOOKUP('Table Seed Map'!$A$35,SeedMap[],9,0)),VLOOKUP('Table Seed Map'!$A$35,SeedMap[],9,0),0))</f>
        <v>2134140</v>
      </c>
      <c r="M42" s="96">
        <f>IF(ResourceAction[[#This Row],[No]]="id","resource_action",ResourceAction[[#This Row],[No]])</f>
        <v>2133140</v>
      </c>
      <c r="N42" s="112" t="s">
        <v>224</v>
      </c>
      <c r="O42" s="109">
        <f ca="1">IF(ResourceAction[[#This Row],[Resource Name]]="","idn1",IF(ResourceAction[[#This Row],[IDN1]]="","",VLOOKUP(ResourceAction[[#This Row],[IDN1]],IDNMaps[[Display]:[ID]],2,0)))</f>
        <v>2110124</v>
      </c>
      <c r="P42" s="109">
        <f ca="1">IF(ResourceAction[[#This Row],[Resource Name]]="","idn2",IF(ResourceAction[[#This Row],[IDN2]]="","",VLOOKUP(ResourceAction[[#This Row],[IDN2]],IDNMaps[[Display]:[ID]],2,0)))</f>
        <v>2128101</v>
      </c>
      <c r="Q42" s="109" t="str">
        <f>IF(ResourceAction[[#This Row],[Resource Name]]="","idn3",IF(ResourceAction[[#This Row],[IDN3]]="","",VLOOKUP(ResourceAction[[#This Row],[IDN3]],IDNMaps[[Display]:[ID]],2,0)))</f>
        <v/>
      </c>
      <c r="R42" s="109" t="str">
        <f>IF(ResourceAction[[#This Row],[Resource Name]]="","idn4",IF(ResourceAction[[#This Row],[IDN4]]="","",VLOOKUP(ResourceAction[[#This Row],[IDN4]],IDNMaps[[Display]:[ID]],2,0)))</f>
        <v/>
      </c>
      <c r="S42" s="109" t="str">
        <f>IF(ResourceAction[[#This Row],[Resource Name]]="","idn5",IF(ResourceAction[[#This Row],[IDN5]]="","",VLOOKUP(ResourceAction[[#This Row],[IDN5]],IDNMaps[[Display]:[ID]],2,0)))</f>
        <v/>
      </c>
      <c r="T42" s="93" t="s">
        <v>1532</v>
      </c>
      <c r="U42" s="110" t="s">
        <v>1552</v>
      </c>
      <c r="V42" s="110"/>
      <c r="W42" s="110"/>
      <c r="X42" s="110"/>
      <c r="Y42" s="103">
        <f>[No]</f>
        <v>2133140</v>
      </c>
      <c r="AA42" s="62" t="s">
        <v>1798</v>
      </c>
      <c r="AB42" s="69">
        <f>VLOOKUP(ActionListNData[[#This Row],[Action Name]],ResourceAction[[Display]:[No]],3,0)</f>
        <v>2133171</v>
      </c>
      <c r="AC42" s="69" t="s">
        <v>1805</v>
      </c>
      <c r="AD42" s="69"/>
      <c r="AE42" s="69" t="str">
        <f>'Table Seed Map'!$A$37&amp;"-"&amp;-1+COUNTA($AC$1:ActionListNData[[#This Row],[Resource List]])</f>
        <v>Action List-40</v>
      </c>
      <c r="AF42" s="69">
        <f>IF(ActionListNData[[#This Row],[Action Name]]="","id",-1+COUNTA($AC$1:ActionListNData[[#This Row],[Resource List]])+IF(ISNUMBER(VLOOKUP('Table Seed Map'!$A$37,SeedMap[],9,0)),VLOOKUP('Table Seed Map'!$A$37,SeedMap[],9,0),0))</f>
        <v>2136140</v>
      </c>
      <c r="AG42" s="69">
        <f>ActionListNData[[#This Row],[Action]]</f>
        <v>2133171</v>
      </c>
      <c r="AH42" s="69">
        <f>IF(ActionListNData[[#This Row],[Action Name]]="","resource_list",IFERROR(VLOOKUP(ActionListNData[[#This Row],[Resource List]],ResourceList[[ListDisplayName]:[No]],2,0),""))</f>
        <v>2123127</v>
      </c>
      <c r="AI42" s="69" t="str">
        <f>'Table Seed Map'!$A$38&amp;"-"&amp;-1+COUNTA($AD$1:ActionListNData[[#This Row],[Resource Data]])</f>
        <v>Action Data-0</v>
      </c>
      <c r="AJ4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2" s="69">
        <f>ActionListNData[[#This Row],[Action]]</f>
        <v>2133171</v>
      </c>
      <c r="AL42" s="69" t="str">
        <f>IF(ActionListNData[[#This Row],[Action Name]]="","resource_data",IFERROR(VLOOKUP(ActionListNData[[#This Row],[Resource Data]],ResourceData[[DataDisplayName]:[No]],2,0),""))</f>
        <v/>
      </c>
    </row>
    <row r="43" spans="1:38">
      <c r="A43" s="96" t="str">
        <f>'Table Seed Map'!$A$34&amp;"-"&amp;(COUNTA($E$1:ResourceAction[[#This Row],[Resource]])-2)</f>
        <v>Resource Actions-41</v>
      </c>
      <c r="B43" s="96" t="str">
        <f>ResourceAction[[#This Row],[Resource Name]]&amp;"/"&amp;ResourceAction[[#This Row],[Name]]</f>
        <v>Hub/HubDataAction</v>
      </c>
      <c r="C43" s="104" t="s">
        <v>777</v>
      </c>
      <c r="D43" s="96">
        <f>IF(ResourceAction[[#This Row],[Resource Name]]="","id",COUNTA($C$1:ResourceAction[[#This Row],[Resource Name]])-1+IF(VLOOKUP('Table Seed Map'!$A$34,SeedMap[],9,0),VLOOKUP('Table Seed Map'!$A$34,SeedMap[],9,0),0))</f>
        <v>2133141</v>
      </c>
      <c r="E43" s="96">
        <f>IFERROR(VLOOKUP(ResourceAction[[#This Row],[Resource Name]],ResourceTable[[RName]:[No]],3,0),"resource")</f>
        <v>2106107</v>
      </c>
      <c r="F43" s="96" t="s">
        <v>1561</v>
      </c>
      <c r="G43" s="96"/>
      <c r="H43" s="96" t="s">
        <v>1518</v>
      </c>
      <c r="I43" s="96"/>
      <c r="J43" s="96"/>
      <c r="K43" s="95" t="str">
        <f>'Table Seed Map'!$A$35&amp;"-"&amp;(COUNTA($E$1:ResourceAction[[#This Row],[Resource]])-2)</f>
        <v>Action Method-41</v>
      </c>
      <c r="L43" s="96">
        <f>IF(ResourceAction[[#This Row],[No]]="id","id",-2+COUNTA($E$1:ResourceAction[[#This Row],[Resource]])+IF(ISNUMBER(VLOOKUP('Table Seed Map'!$A$35,SeedMap[],9,0)),VLOOKUP('Table Seed Map'!$A$35,SeedMap[],9,0),0))</f>
        <v>2134141</v>
      </c>
      <c r="M43" s="96">
        <f>IF(ResourceAction[[#This Row],[No]]="id","resource_action",ResourceAction[[#This Row],[No]])</f>
        <v>2133141</v>
      </c>
      <c r="N43" s="112" t="s">
        <v>130</v>
      </c>
      <c r="O43" s="109">
        <f ca="1">IF(ResourceAction[[#This Row],[Resource Name]]="","idn1",IF(ResourceAction[[#This Row],[IDN1]]="","",VLOOKUP(ResourceAction[[#This Row],[IDN1]],IDNMaps[[Display]:[ID]],2,0)))</f>
        <v>2128102</v>
      </c>
      <c r="P43" s="109" t="str">
        <f>IF(ResourceAction[[#This Row],[Resource Name]]="","idn2",IF(ResourceAction[[#This Row],[IDN2]]="","",VLOOKUP(ResourceAction[[#This Row],[IDN2]],IDNMaps[[Display]:[ID]],2,0)))</f>
        <v/>
      </c>
      <c r="Q43" s="109" t="str">
        <f>IF(ResourceAction[[#This Row],[Resource Name]]="","idn3",IF(ResourceAction[[#This Row],[IDN3]]="","",VLOOKUP(ResourceAction[[#This Row],[IDN3]],IDNMaps[[Display]:[ID]],2,0)))</f>
        <v/>
      </c>
      <c r="R43" s="109" t="str">
        <f>IF(ResourceAction[[#This Row],[Resource Name]]="","idn4",IF(ResourceAction[[#This Row],[IDN4]]="","",VLOOKUP(ResourceAction[[#This Row],[IDN4]],IDNMaps[[Display]:[ID]],2,0)))</f>
        <v/>
      </c>
      <c r="S43" s="109" t="str">
        <f>IF(ResourceAction[[#This Row],[Resource Name]]="","idn5",IF(ResourceAction[[#This Row],[IDN5]]="","",VLOOKUP(ResourceAction[[#This Row],[IDN5]],IDNMaps[[Display]:[ID]],2,0)))</f>
        <v/>
      </c>
      <c r="T43" s="93" t="s">
        <v>1553</v>
      </c>
      <c r="U43" s="110"/>
      <c r="V43" s="110"/>
      <c r="W43" s="110"/>
      <c r="X43" s="110"/>
      <c r="Y43" s="103">
        <f>[No]</f>
        <v>2133141</v>
      </c>
      <c r="AA43" s="62" t="s">
        <v>1817</v>
      </c>
      <c r="AB43" s="69">
        <f>VLOOKUP(ActionListNData[[#This Row],[Action Name]],ResourceAction[[Display]:[No]],3,0)</f>
        <v>2133174</v>
      </c>
      <c r="AC43" s="69" t="s">
        <v>1805</v>
      </c>
      <c r="AD43" s="69"/>
      <c r="AE43" s="69" t="str">
        <f>'Table Seed Map'!$A$37&amp;"-"&amp;-1+COUNTA($AC$1:ActionListNData[[#This Row],[Resource List]])</f>
        <v>Action List-41</v>
      </c>
      <c r="AF43" s="69">
        <f>IF(ActionListNData[[#This Row],[Action Name]]="","id",-1+COUNTA($AC$1:ActionListNData[[#This Row],[Resource List]])+IF(ISNUMBER(VLOOKUP('Table Seed Map'!$A$37,SeedMap[],9,0)),VLOOKUP('Table Seed Map'!$A$37,SeedMap[],9,0),0))</f>
        <v>2136141</v>
      </c>
      <c r="AG43" s="69">
        <f>ActionListNData[[#This Row],[Action]]</f>
        <v>2133174</v>
      </c>
      <c r="AH43" s="69">
        <f>IF(ActionListNData[[#This Row],[Action Name]]="","resource_list",IFERROR(VLOOKUP(ActionListNData[[#This Row],[Resource List]],ResourceList[[ListDisplayName]:[No]],2,0),""))</f>
        <v>2123127</v>
      </c>
      <c r="AI43" s="69" t="str">
        <f>'Table Seed Map'!$A$38&amp;"-"&amp;-1+COUNTA($AD$1:ActionListNData[[#This Row],[Resource Data]])</f>
        <v>Action Data-0</v>
      </c>
      <c r="AJ4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3" s="69">
        <f>ActionListNData[[#This Row],[Action]]</f>
        <v>2133174</v>
      </c>
      <c r="AL43" s="69" t="str">
        <f>IF(ActionListNData[[#This Row],[Action Name]]="","resource_data",IFERROR(VLOOKUP(ActionListNData[[#This Row],[Resource Data]],ResourceData[[DataDisplayName]:[No]],2,0),""))</f>
        <v/>
      </c>
    </row>
    <row r="44" spans="1:38">
      <c r="A44" s="96" t="str">
        <f>'Table Seed Map'!$A$34&amp;"-"&amp;(COUNTA($E$1:ResourceAction[[#This Row],[Resource]])-2)</f>
        <v>Resource Actions-42</v>
      </c>
      <c r="B44" s="96" t="str">
        <f>ResourceAction[[#This Row],[Resource Name]]&amp;"/"&amp;ResourceAction[[#This Row],[Name]]</f>
        <v>Hub/UpdateHubAction</v>
      </c>
      <c r="C44" s="104" t="s">
        <v>777</v>
      </c>
      <c r="D44" s="96">
        <f>IF(ResourceAction[[#This Row],[Resource Name]]="","id",COUNTA($C$1:ResourceAction[[#This Row],[Resource Name]])-1+IF(VLOOKUP('Table Seed Map'!$A$34,SeedMap[],9,0),VLOOKUP('Table Seed Map'!$A$34,SeedMap[],9,0),0))</f>
        <v>2133142</v>
      </c>
      <c r="E44" s="96">
        <f>IFERROR(VLOOKUP(ResourceAction[[#This Row],[Resource Name]],ResourceTable[[RName]:[No]],3,0),"resource")</f>
        <v>2106107</v>
      </c>
      <c r="F44" s="96" t="s">
        <v>1541</v>
      </c>
      <c r="G44" s="96"/>
      <c r="H44" s="96" t="s">
        <v>1566</v>
      </c>
      <c r="I44" s="96"/>
      <c r="J44" s="96"/>
      <c r="K44" s="95" t="str">
        <f>'Table Seed Map'!$A$35&amp;"-"&amp;(COUNTA($E$1:ResourceAction[[#This Row],[Resource]])-2)</f>
        <v>Action Method-42</v>
      </c>
      <c r="L44" s="96">
        <f>IF(ResourceAction[[#This Row],[No]]="id","id",-2+COUNTA($E$1:ResourceAction[[#This Row],[Resource]])+IF(ISNUMBER(VLOOKUP('Table Seed Map'!$A$35,SeedMap[],9,0)),VLOOKUP('Table Seed Map'!$A$35,SeedMap[],9,0),0))</f>
        <v>2134142</v>
      </c>
      <c r="M44" s="96">
        <f>IF(ResourceAction[[#This Row],[No]]="id","resource_action",ResourceAction[[#This Row],[No]])</f>
        <v>2133142</v>
      </c>
      <c r="N44" s="112" t="s">
        <v>224</v>
      </c>
      <c r="O44" s="109">
        <f ca="1">IF(ResourceAction[[#This Row],[Resource Name]]="","idn1",IF(ResourceAction[[#This Row],[IDN1]]="","",VLOOKUP(ResourceAction[[#This Row],[IDN1]],IDNMaps[[Display]:[ID]],2,0)))</f>
        <v>2110105</v>
      </c>
      <c r="P44" s="109">
        <f ca="1">IF(ResourceAction[[#This Row],[Resource Name]]="","idn2",IF(ResourceAction[[#This Row],[IDN2]]="","",VLOOKUP(ResourceAction[[#This Row],[IDN2]],IDNMaps[[Display]:[ID]],2,0)))</f>
        <v>2128102</v>
      </c>
      <c r="Q44" s="109" t="str">
        <f>IF(ResourceAction[[#This Row],[Resource Name]]="","idn3",IF(ResourceAction[[#This Row],[IDN3]]="","",VLOOKUP(ResourceAction[[#This Row],[IDN3]],IDNMaps[[Display]:[ID]],2,0)))</f>
        <v/>
      </c>
      <c r="R44" s="109" t="str">
        <f>IF(ResourceAction[[#This Row],[Resource Name]]="","idn4",IF(ResourceAction[[#This Row],[IDN4]]="","",VLOOKUP(ResourceAction[[#This Row],[IDN4]],IDNMaps[[Display]:[ID]],2,0)))</f>
        <v/>
      </c>
      <c r="S44" s="109" t="str">
        <f>IF(ResourceAction[[#This Row],[Resource Name]]="","idn5",IF(ResourceAction[[#This Row],[IDN5]]="","",VLOOKUP(ResourceAction[[#This Row],[IDN5]],IDNMaps[[Display]:[ID]],2,0)))</f>
        <v/>
      </c>
      <c r="T44" s="110" t="s">
        <v>1296</v>
      </c>
      <c r="U44" s="110" t="s">
        <v>1553</v>
      </c>
      <c r="V44" s="110"/>
      <c r="W44" s="110"/>
      <c r="X44" s="110"/>
      <c r="Y44" s="103">
        <f>[No]</f>
        <v>2133142</v>
      </c>
      <c r="AA44" s="62" t="s">
        <v>1820</v>
      </c>
      <c r="AB44" s="69">
        <f>VLOOKUP(ActionListNData[[#This Row],[Action Name]],ResourceAction[[Display]:[No]],3,0)</f>
        <v>2133175</v>
      </c>
      <c r="AC44" s="69" t="s">
        <v>1805</v>
      </c>
      <c r="AD44" s="69"/>
      <c r="AE44" s="69" t="str">
        <f>'Table Seed Map'!$A$37&amp;"-"&amp;-1+COUNTA($AC$1:ActionListNData[[#This Row],[Resource List]])</f>
        <v>Action List-42</v>
      </c>
      <c r="AF44" s="69">
        <f>IF(ActionListNData[[#This Row],[Action Name]]="","id",-1+COUNTA($AC$1:ActionListNData[[#This Row],[Resource List]])+IF(ISNUMBER(VLOOKUP('Table Seed Map'!$A$37,SeedMap[],9,0)),VLOOKUP('Table Seed Map'!$A$37,SeedMap[],9,0),0))</f>
        <v>2136142</v>
      </c>
      <c r="AG44" s="69">
        <f>ActionListNData[[#This Row],[Action]]</f>
        <v>2133175</v>
      </c>
      <c r="AH44" s="69">
        <f>IF(ActionListNData[[#This Row],[Action Name]]="","resource_list",IFERROR(VLOOKUP(ActionListNData[[#This Row],[Resource List]],ResourceList[[ListDisplayName]:[No]],2,0),""))</f>
        <v>2123127</v>
      </c>
      <c r="AI44" s="69" t="str">
        <f>'Table Seed Map'!$A$38&amp;"-"&amp;-1+COUNTA($AD$1:ActionListNData[[#This Row],[Resource Data]])</f>
        <v>Action Data-0</v>
      </c>
      <c r="AJ4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4" s="69">
        <f>ActionListNData[[#This Row],[Action]]</f>
        <v>2133175</v>
      </c>
      <c r="AL44" s="69" t="str">
        <f>IF(ActionListNData[[#This Row],[Action Name]]="","resource_data",IFERROR(VLOOKUP(ActionListNData[[#This Row],[Resource Data]],ResourceData[[DataDisplayName]:[No]],2,0),""))</f>
        <v/>
      </c>
    </row>
    <row r="45" spans="1:38">
      <c r="A45" s="96" t="str">
        <f>'Table Seed Map'!$A$34&amp;"-"&amp;(COUNTA($E$1:ResourceAction[[#This Row],[Resource]])-2)</f>
        <v>Resource Actions-43</v>
      </c>
      <c r="B45" s="96" t="str">
        <f>ResourceAction[[#This Row],[Resource Name]]&amp;"/"&amp;ResourceAction[[#This Row],[Name]]</f>
        <v>Customer/CustomerDataAction</v>
      </c>
      <c r="C45" s="104" t="s">
        <v>785</v>
      </c>
      <c r="D45" s="96">
        <f>IF(ResourceAction[[#This Row],[Resource Name]]="","id",COUNTA($C$1:ResourceAction[[#This Row],[Resource Name]])-1+IF(VLOOKUP('Table Seed Map'!$A$34,SeedMap[],9,0),VLOOKUP('Table Seed Map'!$A$34,SeedMap[],9,0),0))</f>
        <v>2133143</v>
      </c>
      <c r="E45" s="96">
        <f>IFERROR(VLOOKUP(ResourceAction[[#This Row],[Resource Name]],ResourceTable[[RName]:[No]],3,0),"resource")</f>
        <v>2106105</v>
      </c>
      <c r="F45" s="96" t="s">
        <v>1560</v>
      </c>
      <c r="G45" s="96"/>
      <c r="H45" s="96" t="s">
        <v>1518</v>
      </c>
      <c r="I45" s="96"/>
      <c r="J45" s="96"/>
      <c r="K45" s="95" t="str">
        <f>'Table Seed Map'!$A$35&amp;"-"&amp;(COUNTA($E$1:ResourceAction[[#This Row],[Resource]])-2)</f>
        <v>Action Method-43</v>
      </c>
      <c r="L45" s="96">
        <f>IF(ResourceAction[[#This Row],[No]]="id","id",-2+COUNTA($E$1:ResourceAction[[#This Row],[Resource]])+IF(ISNUMBER(VLOOKUP('Table Seed Map'!$A$35,SeedMap[],9,0)),VLOOKUP('Table Seed Map'!$A$35,SeedMap[],9,0),0))</f>
        <v>2134143</v>
      </c>
      <c r="M45" s="96">
        <f>IF(ResourceAction[[#This Row],[No]]="id","resource_action",ResourceAction[[#This Row],[No]])</f>
        <v>2133143</v>
      </c>
      <c r="N45" s="112" t="s">
        <v>130</v>
      </c>
      <c r="O45" s="109">
        <f ca="1">IF(ResourceAction[[#This Row],[Resource Name]]="","idn1",IF(ResourceAction[[#This Row],[IDN1]]="","",VLOOKUP(ResourceAction[[#This Row],[IDN1]],IDNMaps[[Display]:[ID]],2,0)))</f>
        <v>2128103</v>
      </c>
      <c r="P45" s="109" t="str">
        <f>IF(ResourceAction[[#This Row],[Resource Name]]="","idn2",IF(ResourceAction[[#This Row],[IDN2]]="","",VLOOKUP(ResourceAction[[#This Row],[IDN2]],IDNMaps[[Display]:[ID]],2,0)))</f>
        <v/>
      </c>
      <c r="Q45" s="109" t="str">
        <f>IF(ResourceAction[[#This Row],[Resource Name]]="","idn3",IF(ResourceAction[[#This Row],[IDN3]]="","",VLOOKUP(ResourceAction[[#This Row],[IDN3]],IDNMaps[[Display]:[ID]],2,0)))</f>
        <v/>
      </c>
      <c r="R45" s="109" t="str">
        <f>IF(ResourceAction[[#This Row],[Resource Name]]="","idn4",IF(ResourceAction[[#This Row],[IDN4]]="","",VLOOKUP(ResourceAction[[#This Row],[IDN4]],IDNMaps[[Display]:[ID]],2,0)))</f>
        <v/>
      </c>
      <c r="S45" s="109" t="str">
        <f>IF(ResourceAction[[#This Row],[Resource Name]]="","idn5",IF(ResourceAction[[#This Row],[IDN5]]="","",VLOOKUP(ResourceAction[[#This Row],[IDN5]],IDNMaps[[Display]:[ID]],2,0)))</f>
        <v/>
      </c>
      <c r="T45" s="110" t="s">
        <v>1563</v>
      </c>
      <c r="U45" s="110"/>
      <c r="V45" s="110"/>
      <c r="W45" s="110"/>
      <c r="X45" s="110"/>
      <c r="Y45" s="103">
        <f>[No]</f>
        <v>2133143</v>
      </c>
      <c r="AA45" s="62" t="s">
        <v>1820</v>
      </c>
      <c r="AB45" s="69">
        <f>VLOOKUP(ActionListNData[[#This Row],[Action Name]],ResourceAction[[Display]:[No]],3,0)</f>
        <v>2133175</v>
      </c>
      <c r="AC45" s="69" t="s">
        <v>1473</v>
      </c>
      <c r="AD45" s="69"/>
      <c r="AE45" s="69" t="str">
        <f>'Table Seed Map'!$A$37&amp;"-"&amp;-1+COUNTA($AC$1:ActionListNData[[#This Row],[Resource List]])</f>
        <v>Action List-43</v>
      </c>
      <c r="AF45" s="69">
        <f>IF(ActionListNData[[#This Row],[Action Name]]="","id",-1+COUNTA($AC$1:ActionListNData[[#This Row],[Resource List]])+IF(ISNUMBER(VLOOKUP('Table Seed Map'!$A$37,SeedMap[],9,0)),VLOOKUP('Table Seed Map'!$A$37,SeedMap[],9,0),0))</f>
        <v>2136143</v>
      </c>
      <c r="AG45" s="69">
        <f>ActionListNData[[#This Row],[Action]]</f>
        <v>2133175</v>
      </c>
      <c r="AH45" s="69">
        <f>IF(ActionListNData[[#This Row],[Action Name]]="","resource_list",IFERROR(VLOOKUP(ActionListNData[[#This Row],[Resource List]],ResourceList[[ListDisplayName]:[No]],2,0),""))</f>
        <v>2123115</v>
      </c>
      <c r="AI45" s="69" t="str">
        <f>'Table Seed Map'!$A$38&amp;"-"&amp;-1+COUNTA($AD$1:ActionListNData[[#This Row],[Resource Data]])</f>
        <v>Action Data-0</v>
      </c>
      <c r="AJ4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5" s="69">
        <f>ActionListNData[[#This Row],[Action]]</f>
        <v>2133175</v>
      </c>
      <c r="AL45" s="69" t="str">
        <f>IF(ActionListNData[[#This Row],[Action Name]]="","resource_data",IFERROR(VLOOKUP(ActionListNData[[#This Row],[Resource Data]],ResourceData[[DataDisplayName]:[No]],2,0),""))</f>
        <v/>
      </c>
    </row>
    <row r="46" spans="1:38">
      <c r="A46" s="96" t="str">
        <f>'Table Seed Map'!$A$34&amp;"-"&amp;(COUNTA($E$1:ResourceAction[[#This Row],[Resource]])-2)</f>
        <v>Resource Actions-44</v>
      </c>
      <c r="B46" s="96" t="str">
        <f>ResourceAction[[#This Row],[Resource Name]]&amp;"/"&amp;ResourceAction[[#This Row],[Name]]</f>
        <v>Customer/UpdateCustomerAction</v>
      </c>
      <c r="C46" s="104" t="s">
        <v>785</v>
      </c>
      <c r="D46" s="96">
        <f>IF(ResourceAction[[#This Row],[Resource Name]]="","id",COUNTA($C$1:ResourceAction[[#This Row],[Resource Name]])-1+IF(VLOOKUP('Table Seed Map'!$A$34,SeedMap[],9,0),VLOOKUP('Table Seed Map'!$A$34,SeedMap[],9,0),0))</f>
        <v>2133144</v>
      </c>
      <c r="E46" s="96">
        <f>IFERROR(VLOOKUP(ResourceAction[[#This Row],[Resource Name]],ResourceTable[[RName]:[No]],3,0),"resource")</f>
        <v>2106105</v>
      </c>
      <c r="F46" s="96" t="s">
        <v>1564</v>
      </c>
      <c r="G46" s="96"/>
      <c r="H46" s="96" t="s">
        <v>1565</v>
      </c>
      <c r="I46" s="96"/>
      <c r="J46" s="96"/>
      <c r="K46" s="95" t="str">
        <f>'Table Seed Map'!$A$35&amp;"-"&amp;(COUNTA($E$1:ResourceAction[[#This Row],[Resource]])-2)</f>
        <v>Action Method-44</v>
      </c>
      <c r="L46" s="96">
        <f>IF(ResourceAction[[#This Row],[No]]="id","id",-2+COUNTA($E$1:ResourceAction[[#This Row],[Resource]])+IF(ISNUMBER(VLOOKUP('Table Seed Map'!$A$35,SeedMap[],9,0)),VLOOKUP('Table Seed Map'!$A$35,SeedMap[],9,0),0))</f>
        <v>2134144</v>
      </c>
      <c r="M46" s="96">
        <f>IF(ResourceAction[[#This Row],[No]]="id","resource_action",ResourceAction[[#This Row],[No]])</f>
        <v>2133144</v>
      </c>
      <c r="N46" s="112" t="s">
        <v>224</v>
      </c>
      <c r="O46" s="109">
        <f ca="1">IF(ResourceAction[[#This Row],[Resource Name]]="","idn1",IF(ResourceAction[[#This Row],[IDN1]]="","",VLOOKUP(ResourceAction[[#This Row],[IDN1]],IDNMaps[[Display]:[ID]],2,0)))</f>
        <v>2110104</v>
      </c>
      <c r="P46" s="109">
        <f ca="1">IF(ResourceAction[[#This Row],[Resource Name]]="","idn2",IF(ResourceAction[[#This Row],[IDN2]]="","",VLOOKUP(ResourceAction[[#This Row],[IDN2]],IDNMaps[[Display]:[ID]],2,0)))</f>
        <v>2128103</v>
      </c>
      <c r="Q46" s="109" t="str">
        <f>IF(ResourceAction[[#This Row],[Resource Name]]="","idn3",IF(ResourceAction[[#This Row],[IDN3]]="","",VLOOKUP(ResourceAction[[#This Row],[IDN3]],IDNMaps[[Display]:[ID]],2,0)))</f>
        <v/>
      </c>
      <c r="R46" s="109" t="str">
        <f>IF(ResourceAction[[#This Row],[Resource Name]]="","idn4",IF(ResourceAction[[#This Row],[IDN4]]="","",VLOOKUP(ResourceAction[[#This Row],[IDN4]],IDNMaps[[Display]:[ID]],2,0)))</f>
        <v/>
      </c>
      <c r="S46" s="109" t="str">
        <f>IF(ResourceAction[[#This Row],[Resource Name]]="","idn5",IF(ResourceAction[[#This Row],[IDN5]]="","",VLOOKUP(ResourceAction[[#This Row],[IDN5]],IDNMaps[[Display]:[ID]],2,0)))</f>
        <v/>
      </c>
      <c r="T46" s="110" t="s">
        <v>1157</v>
      </c>
      <c r="U46" s="110" t="s">
        <v>1563</v>
      </c>
      <c r="V46" s="110"/>
      <c r="W46" s="110"/>
      <c r="X46" s="110"/>
      <c r="Y46" s="103">
        <f>[No]</f>
        <v>2133144</v>
      </c>
      <c r="AA46" s="62" t="s">
        <v>1840</v>
      </c>
      <c r="AB46" s="69">
        <f>VLOOKUP(ActionListNData[[#This Row],[Action Name]],ResourceAction[[Display]:[No]],3,0)</f>
        <v>2133178</v>
      </c>
      <c r="AC46" s="69" t="s">
        <v>1641</v>
      </c>
      <c r="AD46" s="69"/>
      <c r="AE46" s="69" t="str">
        <f>'Table Seed Map'!$A$37&amp;"-"&amp;-1+COUNTA($AC$1:ActionListNData[[#This Row],[Resource List]])</f>
        <v>Action List-44</v>
      </c>
      <c r="AF46" s="69">
        <f>IF(ActionListNData[[#This Row],[Action Name]]="","id",-1+COUNTA($AC$1:ActionListNData[[#This Row],[Resource List]])+IF(ISNUMBER(VLOOKUP('Table Seed Map'!$A$37,SeedMap[],9,0)),VLOOKUP('Table Seed Map'!$A$37,SeedMap[],9,0),0))</f>
        <v>2136144</v>
      </c>
      <c r="AG46" s="69">
        <f>ActionListNData[[#This Row],[Action]]</f>
        <v>2133178</v>
      </c>
      <c r="AH46" s="69">
        <f>IF(ActionListNData[[#This Row],[Action Name]]="","resource_list",IFERROR(VLOOKUP(ActionListNData[[#This Row],[Resource List]],ResourceList[[ListDisplayName]:[No]],2,0),""))</f>
        <v>2123122</v>
      </c>
      <c r="AI46" s="69" t="str">
        <f>'Table Seed Map'!$A$38&amp;"-"&amp;-1+COUNTA($AD$1:ActionListNData[[#This Row],[Resource Data]])</f>
        <v>Action Data-0</v>
      </c>
      <c r="AJ4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6" s="69">
        <f>ActionListNData[[#This Row],[Action]]</f>
        <v>2133178</v>
      </c>
      <c r="AL46" s="69" t="str">
        <f>IF(ActionListNData[[#This Row],[Action Name]]="","resource_data",IFERROR(VLOOKUP(ActionListNData[[#This Row],[Resource Data]],ResourceData[[DataDisplayName]:[No]],2,0),""))</f>
        <v/>
      </c>
    </row>
    <row r="47" spans="1:38">
      <c r="A47" s="96" t="str">
        <f>'Table Seed Map'!$A$34&amp;"-"&amp;(COUNTA($E$1:ResourceAction[[#This Row],[Resource]])-2)</f>
        <v>Resource Actions-45</v>
      </c>
      <c r="B47" s="96" t="str">
        <f>ResourceAction[[#This Row],[Resource Name]]&amp;"/"&amp;ResourceAction[[#This Row],[Name]]</f>
        <v>Service/ServiceDataAction</v>
      </c>
      <c r="C47" s="104" t="s">
        <v>778</v>
      </c>
      <c r="D47" s="96">
        <f>IF(ResourceAction[[#This Row],[Resource Name]]="","id",COUNTA($C$1:ResourceAction[[#This Row],[Resource Name]])-1+IF(VLOOKUP('Table Seed Map'!$A$34,SeedMap[],9,0),VLOOKUP('Table Seed Map'!$A$34,SeedMap[],9,0),0))</f>
        <v>2133145</v>
      </c>
      <c r="E47" s="96">
        <f>IFERROR(VLOOKUP(ResourceAction[[#This Row],[Resource Name]],ResourceTable[[RName]:[No]],3,0),"resource")</f>
        <v>2106108</v>
      </c>
      <c r="F47" s="96" t="s">
        <v>1574</v>
      </c>
      <c r="G47" s="96"/>
      <c r="H47" s="96" t="s">
        <v>1518</v>
      </c>
      <c r="I47" s="96"/>
      <c r="J47" s="96"/>
      <c r="K47" s="95" t="str">
        <f>'Table Seed Map'!$A$35&amp;"-"&amp;(COUNTA($E$1:ResourceAction[[#This Row],[Resource]])-2)</f>
        <v>Action Method-45</v>
      </c>
      <c r="L47" s="96">
        <f>IF(ResourceAction[[#This Row],[No]]="id","id",-2+COUNTA($E$1:ResourceAction[[#This Row],[Resource]])+IF(ISNUMBER(VLOOKUP('Table Seed Map'!$A$35,SeedMap[],9,0)),VLOOKUP('Table Seed Map'!$A$35,SeedMap[],9,0),0))</f>
        <v>2134145</v>
      </c>
      <c r="M47" s="96">
        <f>IF(ResourceAction[[#This Row],[No]]="id","resource_action",ResourceAction[[#This Row],[No]])</f>
        <v>2133145</v>
      </c>
      <c r="N47" s="112" t="s">
        <v>130</v>
      </c>
      <c r="O47" s="109">
        <f ca="1">IF(ResourceAction[[#This Row],[Resource Name]]="","idn1",IF(ResourceAction[[#This Row],[IDN1]]="","",VLOOKUP(ResourceAction[[#This Row],[IDN1]],IDNMaps[[Display]:[ID]],2,0)))</f>
        <v>2128104</v>
      </c>
      <c r="P47" s="109" t="str">
        <f>IF(ResourceAction[[#This Row],[Resource Name]]="","idn2",IF(ResourceAction[[#This Row],[IDN2]]="","",VLOOKUP(ResourceAction[[#This Row],[IDN2]],IDNMaps[[Display]:[ID]],2,0)))</f>
        <v/>
      </c>
      <c r="Q47" s="109" t="str">
        <f>IF(ResourceAction[[#This Row],[Resource Name]]="","idn3",IF(ResourceAction[[#This Row],[IDN3]]="","",VLOOKUP(ResourceAction[[#This Row],[IDN3]],IDNMaps[[Display]:[ID]],2,0)))</f>
        <v/>
      </c>
      <c r="R47" s="109" t="str">
        <f>IF(ResourceAction[[#This Row],[Resource Name]]="","idn4",IF(ResourceAction[[#This Row],[IDN4]]="","",VLOOKUP(ResourceAction[[#This Row],[IDN4]],IDNMaps[[Display]:[ID]],2,0)))</f>
        <v/>
      </c>
      <c r="S47" s="109" t="str">
        <f>IF(ResourceAction[[#This Row],[Resource Name]]="","idn5",IF(ResourceAction[[#This Row],[IDN5]]="","",VLOOKUP(ResourceAction[[#This Row],[IDN5]],IDNMaps[[Display]:[ID]],2,0)))</f>
        <v/>
      </c>
      <c r="T47" s="110" t="s">
        <v>1575</v>
      </c>
      <c r="U47" s="110"/>
      <c r="V47" s="110"/>
      <c r="W47" s="110"/>
      <c r="X47" s="110"/>
      <c r="Y47" s="103">
        <f>[No]</f>
        <v>2133145</v>
      </c>
      <c r="AA47" s="62" t="s">
        <v>1864</v>
      </c>
      <c r="AB47" s="69">
        <f>VLOOKUP(ActionListNData[[#This Row],[Action Name]],ResourceAction[[Display]:[No]],3,0)</f>
        <v>2133179</v>
      </c>
      <c r="AC47" s="69" t="s">
        <v>1481</v>
      </c>
      <c r="AD47" s="69"/>
      <c r="AE47" s="69" t="str">
        <f>'Table Seed Map'!$A$37&amp;"-"&amp;-1+COUNTA($AC$1:ActionListNData[[#This Row],[Resource List]])</f>
        <v>Action List-45</v>
      </c>
      <c r="AF47" s="69">
        <f>IF(ActionListNData[[#This Row],[Action Name]]="","id",-1+COUNTA($AC$1:ActionListNData[[#This Row],[Resource List]])+IF(ISNUMBER(VLOOKUP('Table Seed Map'!$A$37,SeedMap[],9,0)),VLOOKUP('Table Seed Map'!$A$37,SeedMap[],9,0),0))</f>
        <v>2136145</v>
      </c>
      <c r="AG47" s="69">
        <f>ActionListNData[[#This Row],[Action]]</f>
        <v>2133179</v>
      </c>
      <c r="AH47" s="69">
        <f>IF(ActionListNData[[#This Row],[Action Name]]="","resource_list",IFERROR(VLOOKUP(ActionListNData[[#This Row],[Resource List]],ResourceList[[ListDisplayName]:[No]],2,0),""))</f>
        <v>2123118</v>
      </c>
      <c r="AI47" s="69" t="str">
        <f>'Table Seed Map'!$A$38&amp;"-"&amp;-1+COUNTA($AD$1:ActionListNData[[#This Row],[Resource Data]])</f>
        <v>Action Data-0</v>
      </c>
      <c r="AJ4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7" s="69">
        <f>ActionListNData[[#This Row],[Action]]</f>
        <v>2133179</v>
      </c>
      <c r="AL47" s="69" t="str">
        <f>IF(ActionListNData[[#This Row],[Action Name]]="","resource_data",IFERROR(VLOOKUP(ActionListNData[[#This Row],[Resource Data]],ResourceData[[DataDisplayName]:[No]],2,0),""))</f>
        <v/>
      </c>
    </row>
    <row r="48" spans="1:38">
      <c r="A48" s="96" t="str">
        <f>'Table Seed Map'!$A$34&amp;"-"&amp;(COUNTA($E$1:ResourceAction[[#This Row],[Resource]])-2)</f>
        <v>Resource Actions-46</v>
      </c>
      <c r="B48" s="96" t="str">
        <f>ResourceAction[[#This Row],[Resource Name]]&amp;"/"&amp;ResourceAction[[#This Row],[Name]]</f>
        <v>Service/UpdateServiceAction</v>
      </c>
      <c r="C48" s="104" t="s">
        <v>778</v>
      </c>
      <c r="D48" s="96">
        <f>IF(ResourceAction[[#This Row],[Resource Name]]="","id",COUNTA($C$1:ResourceAction[[#This Row],[Resource Name]])-1+IF(VLOOKUP('Table Seed Map'!$A$34,SeedMap[],9,0),VLOOKUP('Table Seed Map'!$A$34,SeedMap[],9,0),0))</f>
        <v>2133146</v>
      </c>
      <c r="E48" s="96">
        <f>IFERROR(VLOOKUP(ResourceAction[[#This Row],[Resource Name]],ResourceTable[[RName]:[No]],3,0),"resource")</f>
        <v>2106108</v>
      </c>
      <c r="F48" s="96" t="s">
        <v>1586</v>
      </c>
      <c r="G48" s="96"/>
      <c r="H48" s="96" t="s">
        <v>1587</v>
      </c>
      <c r="I48" s="96"/>
      <c r="J48" s="96"/>
      <c r="K48" s="95" t="str">
        <f>'Table Seed Map'!$A$35&amp;"-"&amp;(COUNTA($E$1:ResourceAction[[#This Row],[Resource]])-2)</f>
        <v>Action Method-46</v>
      </c>
      <c r="L48" s="96">
        <f>IF(ResourceAction[[#This Row],[No]]="id","id",-2+COUNTA($E$1:ResourceAction[[#This Row],[Resource]])+IF(ISNUMBER(VLOOKUP('Table Seed Map'!$A$35,SeedMap[],9,0)),VLOOKUP('Table Seed Map'!$A$35,SeedMap[],9,0),0))</f>
        <v>2134146</v>
      </c>
      <c r="M48" s="96">
        <f>IF(ResourceAction[[#This Row],[No]]="id","resource_action",ResourceAction[[#This Row],[No]])</f>
        <v>2133146</v>
      </c>
      <c r="N48" s="112" t="s">
        <v>224</v>
      </c>
      <c r="O48" s="109">
        <f ca="1">IF(ResourceAction[[#This Row],[Resource Name]]="","idn1",IF(ResourceAction[[#This Row],[IDN1]]="","",VLOOKUP(ResourceAction[[#This Row],[IDN1]],IDNMaps[[Display]:[ID]],2,0)))</f>
        <v>2110106</v>
      </c>
      <c r="P48" s="109">
        <f ca="1">IF(ResourceAction[[#This Row],[Resource Name]]="","idn2",IF(ResourceAction[[#This Row],[IDN2]]="","",VLOOKUP(ResourceAction[[#This Row],[IDN2]],IDNMaps[[Display]:[ID]],2,0)))</f>
        <v>2128104</v>
      </c>
      <c r="Q48" s="109" t="str">
        <f>IF(ResourceAction[[#This Row],[Resource Name]]="","idn3",IF(ResourceAction[[#This Row],[IDN3]]="","",VLOOKUP(ResourceAction[[#This Row],[IDN3]],IDNMaps[[Display]:[ID]],2,0)))</f>
        <v/>
      </c>
      <c r="R48" s="109" t="str">
        <f>IF(ResourceAction[[#This Row],[Resource Name]]="","idn4",IF(ResourceAction[[#This Row],[IDN4]]="","",VLOOKUP(ResourceAction[[#This Row],[IDN4]],IDNMaps[[Display]:[ID]],2,0)))</f>
        <v/>
      </c>
      <c r="S48" s="109" t="str">
        <f>IF(ResourceAction[[#This Row],[Resource Name]]="","idn5",IF(ResourceAction[[#This Row],[IDN5]]="","",VLOOKUP(ResourceAction[[#This Row],[IDN5]],IDNMaps[[Display]:[ID]],2,0)))</f>
        <v/>
      </c>
      <c r="T48" s="110" t="s">
        <v>1297</v>
      </c>
      <c r="U48" s="110" t="s">
        <v>1575</v>
      </c>
      <c r="V48" s="110"/>
      <c r="W48" s="110"/>
      <c r="X48" s="110"/>
      <c r="Y48" s="103">
        <f>[No]</f>
        <v>2133146</v>
      </c>
      <c r="AA48" s="62" t="s">
        <v>1873</v>
      </c>
      <c r="AB48" s="69">
        <f>VLOOKUP(ActionListNData[[#This Row],[Action Name]],ResourceAction[[Display]:[No]],3,0)</f>
        <v>2133180</v>
      </c>
      <c r="AC48" s="69" t="s">
        <v>1481</v>
      </c>
      <c r="AD48" s="69"/>
      <c r="AE48" s="69" t="str">
        <f>'Table Seed Map'!$A$37&amp;"-"&amp;-1+COUNTA($AC$1:ActionListNData[[#This Row],[Resource List]])</f>
        <v>Action List-46</v>
      </c>
      <c r="AF48" s="69">
        <f>IF(ActionListNData[[#This Row],[Action Name]]="","id",-1+COUNTA($AC$1:ActionListNData[[#This Row],[Resource List]])+IF(ISNUMBER(VLOOKUP('Table Seed Map'!$A$37,SeedMap[],9,0)),VLOOKUP('Table Seed Map'!$A$37,SeedMap[],9,0),0))</f>
        <v>2136146</v>
      </c>
      <c r="AG48" s="69">
        <f>ActionListNData[[#This Row],[Action]]</f>
        <v>2133180</v>
      </c>
      <c r="AH48" s="69">
        <f>IF(ActionListNData[[#This Row],[Action Name]]="","resource_list",IFERROR(VLOOKUP(ActionListNData[[#This Row],[Resource List]],ResourceList[[ListDisplayName]:[No]],2,0),""))</f>
        <v>2123118</v>
      </c>
      <c r="AI48" s="69" t="str">
        <f>'Table Seed Map'!$A$38&amp;"-"&amp;-1+COUNTA($AD$1:ActionListNData[[#This Row],[Resource Data]])</f>
        <v>Action Data-0</v>
      </c>
      <c r="AJ4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8" s="69">
        <f>ActionListNData[[#This Row],[Action]]</f>
        <v>2133180</v>
      </c>
      <c r="AL48" s="69" t="str">
        <f>IF(ActionListNData[[#This Row],[Action Name]]="","resource_data",IFERROR(VLOOKUP(ActionListNData[[#This Row],[Resource Data]],ResourceData[[DataDisplayName]:[No]],2,0),""))</f>
        <v/>
      </c>
    </row>
    <row r="49" spans="1:38">
      <c r="A49" s="96" t="str">
        <f>'Table Seed Map'!$A$34&amp;"-"&amp;(COUNTA($E$1:ResourceAction[[#This Row],[Resource]])-2)</f>
        <v>Resource Actions-47</v>
      </c>
      <c r="B49" s="96" t="str">
        <f>ResourceAction[[#This Row],[Resource Name]]&amp;"/"&amp;ResourceAction[[#This Row],[Name]]</f>
        <v>Hub/ListHubShelvesAction</v>
      </c>
      <c r="C49" s="104" t="s">
        <v>777</v>
      </c>
      <c r="D49" s="96">
        <f>IF(ResourceAction[[#This Row],[Resource Name]]="","id",COUNTA($C$1:ResourceAction[[#This Row],[Resource Name]])-1+IF(VLOOKUP('Table Seed Map'!$A$34,SeedMap[],9,0),VLOOKUP('Table Seed Map'!$A$34,SeedMap[],9,0),0))</f>
        <v>2133147</v>
      </c>
      <c r="E49" s="96">
        <f>IFERROR(VLOOKUP(ResourceAction[[#This Row],[Resource Name]],ResourceTable[[RName]:[No]],3,0),"resource")</f>
        <v>2106107</v>
      </c>
      <c r="F49" s="96" t="s">
        <v>1590</v>
      </c>
      <c r="G49" s="96"/>
      <c r="H49" s="96" t="s">
        <v>1591</v>
      </c>
      <c r="I49" s="96"/>
      <c r="J49" s="96"/>
      <c r="K49" s="95" t="str">
        <f>'Table Seed Map'!$A$35&amp;"-"&amp;(COUNTA($E$1:ResourceAction[[#This Row],[Resource]])-2)</f>
        <v>Action Method-47</v>
      </c>
      <c r="L49" s="96">
        <f>IF(ResourceAction[[#This Row],[No]]="id","id",-2+COUNTA($E$1:ResourceAction[[#This Row],[Resource]])+IF(ISNUMBER(VLOOKUP('Table Seed Map'!$A$35,SeedMap[],9,0)),VLOOKUP('Table Seed Map'!$A$35,SeedMap[],9,0),0))</f>
        <v>2134147</v>
      </c>
      <c r="M49" s="96">
        <f>IF(ResourceAction[[#This Row],[No]]="id","resource_action",ResourceAction[[#This Row],[No]])</f>
        <v>2133147</v>
      </c>
      <c r="N49" s="112" t="s">
        <v>1521</v>
      </c>
      <c r="O49" s="109">
        <f ca="1">IF(ResourceAction[[#This Row],[Resource Name]]="","idn1",IF(ResourceAction[[#This Row],[IDN1]]="","",VLOOKUP(ResourceAction[[#This Row],[IDN1]],IDNMaps[[Display]:[ID]],2,0)))</f>
        <v>2109110</v>
      </c>
      <c r="P49" s="109">
        <f ca="1">IF(ResourceAction[[#This Row],[Resource Name]]="","idn2",IF(ResourceAction[[#This Row],[IDN2]]="","",VLOOKUP(ResourceAction[[#This Row],[IDN2]],IDNMaps[[Display]:[ID]],2,0)))</f>
        <v>2123111</v>
      </c>
      <c r="Q49" s="109" t="str">
        <f>IF(ResourceAction[[#This Row],[Resource Name]]="","idn3",IF(ResourceAction[[#This Row],[IDN3]]="","",VLOOKUP(ResourceAction[[#This Row],[IDN3]],IDNMaps[[Display]:[ID]],2,0)))</f>
        <v/>
      </c>
      <c r="R49" s="109" t="str">
        <f>IF(ResourceAction[[#This Row],[Resource Name]]="","idn4",IF(ResourceAction[[#This Row],[IDN4]]="","",VLOOKUP(ResourceAction[[#This Row],[IDN4]],IDNMaps[[Display]:[ID]],2,0)))</f>
        <v/>
      </c>
      <c r="S49" s="109" t="str">
        <f>IF(ResourceAction[[#This Row],[Resource Name]]="","idn5",IF(ResourceAction[[#This Row],[IDN5]]="","",VLOOKUP(ResourceAction[[#This Row],[IDN5]],IDNMaps[[Display]:[ID]],2,0)))</f>
        <v/>
      </c>
      <c r="T49" s="110" t="s">
        <v>1592</v>
      </c>
      <c r="U49" s="110" t="s">
        <v>1424</v>
      </c>
      <c r="V49" s="110"/>
      <c r="W49" s="110"/>
      <c r="X49" s="110"/>
      <c r="Y49" s="103">
        <f>[No]</f>
        <v>2133147</v>
      </c>
      <c r="AA49" s="62" t="s">
        <v>1884</v>
      </c>
      <c r="AB49" s="69">
        <f>VLOOKUP(ActionListNData[[#This Row],[Action Name]],ResourceAction[[Display]:[No]],3,0)</f>
        <v>2133181</v>
      </c>
      <c r="AC49" s="69" t="s">
        <v>1448</v>
      </c>
      <c r="AD49" s="69"/>
      <c r="AE49" s="69" t="str">
        <f>'Table Seed Map'!$A$37&amp;"-"&amp;-1+COUNTA($AC$1:ActionListNData[[#This Row],[Resource List]])</f>
        <v>Action List-47</v>
      </c>
      <c r="AF49" s="69">
        <f>IF(ActionListNData[[#This Row],[Action Name]]="","id",-1+COUNTA($AC$1:ActionListNData[[#This Row],[Resource List]])+IF(ISNUMBER(VLOOKUP('Table Seed Map'!$A$37,SeedMap[],9,0)),VLOOKUP('Table Seed Map'!$A$37,SeedMap[],9,0),0))</f>
        <v>2136147</v>
      </c>
      <c r="AG49" s="69">
        <f>ActionListNData[[#This Row],[Action]]</f>
        <v>2133181</v>
      </c>
      <c r="AH49" s="69">
        <f>IF(ActionListNData[[#This Row],[Action Name]]="","resource_list",IFERROR(VLOOKUP(ActionListNData[[#This Row],[Resource List]],ResourceList[[ListDisplayName]:[No]],2,0),""))</f>
        <v>2123105</v>
      </c>
      <c r="AI49" s="69" t="str">
        <f>'Table Seed Map'!$A$38&amp;"-"&amp;-1+COUNTA($AD$1:ActionListNData[[#This Row],[Resource Data]])</f>
        <v>Action Data-0</v>
      </c>
      <c r="AJ4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9" s="69">
        <f>ActionListNData[[#This Row],[Action]]</f>
        <v>2133181</v>
      </c>
      <c r="AL49" s="69" t="str">
        <f>IF(ActionListNData[[#This Row],[Action Name]]="","resource_data",IFERROR(VLOOKUP(ActionListNData[[#This Row],[Resource Data]],ResourceData[[DataDisplayName]:[No]],2,0),""))</f>
        <v/>
      </c>
    </row>
    <row r="50" spans="1:38">
      <c r="A50" s="96" t="str">
        <f>'Table Seed Map'!$A$34&amp;"-"&amp;(COUNTA($E$1:ResourceAction[[#This Row],[Resource]])-2)</f>
        <v>Resource Actions-48</v>
      </c>
      <c r="B50" s="96" t="str">
        <f>ResourceAction[[#This Row],[Resource Name]]&amp;"/"&amp;ResourceAction[[#This Row],[Name]]</f>
        <v>Hub/AddHubShelfAction</v>
      </c>
      <c r="C50" s="104" t="s">
        <v>777</v>
      </c>
      <c r="D50" s="96">
        <f>IF(ResourceAction[[#This Row],[Resource Name]]="","id",COUNTA($C$1:ResourceAction[[#This Row],[Resource Name]])-1+IF(VLOOKUP('Table Seed Map'!$A$34,SeedMap[],9,0),VLOOKUP('Table Seed Map'!$A$34,SeedMap[],9,0),0))</f>
        <v>2133148</v>
      </c>
      <c r="E50" s="96">
        <f>IFERROR(VLOOKUP(ResourceAction[[#This Row],[Resource Name]],ResourceTable[[RName]:[No]],3,0),"resource")</f>
        <v>2106107</v>
      </c>
      <c r="F50" s="96" t="s">
        <v>1594</v>
      </c>
      <c r="G50" s="96"/>
      <c r="H50" s="96" t="s">
        <v>1595</v>
      </c>
      <c r="I50" s="96"/>
      <c r="J50" s="96"/>
      <c r="K50" s="95" t="str">
        <f>'Table Seed Map'!$A$35&amp;"-"&amp;(COUNTA($E$1:ResourceAction[[#This Row],[Resource]])-2)</f>
        <v>Action Method-48</v>
      </c>
      <c r="L50" s="96">
        <f>IF(ResourceAction[[#This Row],[No]]="id","id",-2+COUNTA($E$1:ResourceAction[[#This Row],[Resource]])+IF(ISNUMBER(VLOOKUP('Table Seed Map'!$A$35,SeedMap[],9,0)),VLOOKUP('Table Seed Map'!$A$35,SeedMap[],9,0),0))</f>
        <v>2134148</v>
      </c>
      <c r="M50" s="96">
        <f>IF(ResourceAction[[#This Row],[No]]="id","resource_action",ResourceAction[[#This Row],[No]])</f>
        <v>2133148</v>
      </c>
      <c r="N50" s="112" t="s">
        <v>1596</v>
      </c>
      <c r="O50" s="109">
        <f ca="1">IF(ResourceAction[[#This Row],[Resource Name]]="","idn1",IF(ResourceAction[[#This Row],[IDN1]]="","",VLOOKUP(ResourceAction[[#This Row],[IDN1]],IDNMaps[[Display]:[ID]],2,0)))</f>
        <v>2109110</v>
      </c>
      <c r="P50" s="109">
        <f ca="1">IF(ResourceAction[[#This Row],[Resource Name]]="","idn2",IF(ResourceAction[[#This Row],[IDN2]]="","",VLOOKUP(ResourceAction[[#This Row],[IDN2]],IDNMaps[[Display]:[ID]],2,0)))</f>
        <v>2110110</v>
      </c>
      <c r="Q50" s="109">
        <f ca="1">IF(ResourceAction[[#This Row],[Resource Name]]="","idn3",IF(ResourceAction[[#This Row],[IDN3]]="","",VLOOKUP(ResourceAction[[#This Row],[IDN3]],IDNMaps[[Display]:[ID]],2,0)))</f>
        <v>2111133</v>
      </c>
      <c r="R50" s="109" t="str">
        <f>IF(ResourceAction[[#This Row],[Resource Name]]="","idn4",IF(ResourceAction[[#This Row],[IDN4]]="","",VLOOKUP(ResourceAction[[#This Row],[IDN4]],IDNMaps[[Display]:[ID]],2,0)))</f>
        <v/>
      </c>
      <c r="S50" s="109" t="str">
        <f>IF(ResourceAction[[#This Row],[Resource Name]]="","idn5",IF(ResourceAction[[#This Row],[IDN5]]="","",VLOOKUP(ResourceAction[[#This Row],[IDN5]],IDNMaps[[Display]:[ID]],2,0)))</f>
        <v/>
      </c>
      <c r="T50" s="110" t="s">
        <v>1592</v>
      </c>
      <c r="U50" s="110" t="s">
        <v>1299</v>
      </c>
      <c r="V50" s="110" t="s">
        <v>1597</v>
      </c>
      <c r="W50" s="110"/>
      <c r="X50" s="110"/>
      <c r="Y50" s="103">
        <f>[No]</f>
        <v>2133148</v>
      </c>
      <c r="AA50" s="62" t="s">
        <v>1884</v>
      </c>
      <c r="AB50" s="69">
        <f>VLOOKUP(ActionListNData[[#This Row],[Action Name]],ResourceAction[[Display]:[No]],3,0)</f>
        <v>2133181</v>
      </c>
      <c r="AC50" s="69" t="s">
        <v>1850</v>
      </c>
      <c r="AD50" s="69"/>
      <c r="AE50" s="69" t="str">
        <f>'Table Seed Map'!$A$37&amp;"-"&amp;-1+COUNTA($AC$1:ActionListNData[[#This Row],[Resource List]])</f>
        <v>Action List-48</v>
      </c>
      <c r="AF50" s="69">
        <f>IF(ActionListNData[[#This Row],[Action Name]]="","id",-1+COUNTA($AC$1:ActionListNData[[#This Row],[Resource List]])+IF(ISNUMBER(VLOOKUP('Table Seed Map'!$A$37,SeedMap[],9,0)),VLOOKUP('Table Seed Map'!$A$37,SeedMap[],9,0),0))</f>
        <v>2136148</v>
      </c>
      <c r="AG50" s="69">
        <f>ActionListNData[[#This Row],[Action]]</f>
        <v>2133181</v>
      </c>
      <c r="AH50" s="69">
        <f>IF(ActionListNData[[#This Row],[Action Name]]="","resource_list",IFERROR(VLOOKUP(ActionListNData[[#This Row],[Resource List]],ResourceList[[ListDisplayName]:[No]],2,0),""))</f>
        <v>2123106</v>
      </c>
      <c r="AI50" s="69" t="str">
        <f>'Table Seed Map'!$A$38&amp;"-"&amp;-1+COUNTA($AD$1:ActionListNData[[#This Row],[Resource Data]])</f>
        <v>Action Data-0</v>
      </c>
      <c r="AJ5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0" s="69">
        <f>ActionListNData[[#This Row],[Action]]</f>
        <v>2133181</v>
      </c>
      <c r="AL50" s="69" t="str">
        <f>IF(ActionListNData[[#This Row],[Action Name]]="","resource_data",IFERROR(VLOOKUP(ActionListNData[[#This Row],[Resource Data]],ResourceData[[DataDisplayName]:[No]],2,0),""))</f>
        <v/>
      </c>
    </row>
    <row r="51" spans="1:38">
      <c r="A51" s="96" t="str">
        <f>'Table Seed Map'!$A$34&amp;"-"&amp;(COUNTA($E$1:ResourceAction[[#This Row],[Resource]])-2)</f>
        <v>Resource Actions-49</v>
      </c>
      <c r="B51" s="96" t="str">
        <f>ResourceAction[[#This Row],[Resource Name]]&amp;"/"&amp;ResourceAction[[#This Row],[Name]]</f>
        <v>Pricelist/ListPLContentsAction</v>
      </c>
      <c r="C51" s="104" t="s">
        <v>783</v>
      </c>
      <c r="D51" s="96">
        <f>IF(ResourceAction[[#This Row],[Resource Name]]="","id",COUNTA($C$1:ResourceAction[[#This Row],[Resource Name]])-1+IF(VLOOKUP('Table Seed Map'!$A$34,SeedMap[],9,0),VLOOKUP('Table Seed Map'!$A$34,SeedMap[],9,0),0))</f>
        <v>2133149</v>
      </c>
      <c r="E51" s="96">
        <f>IFERROR(VLOOKUP(ResourceAction[[#This Row],[Resource Name]],ResourceTable[[RName]:[No]],3,0),"resource")</f>
        <v>2106115</v>
      </c>
      <c r="F51" s="96" t="s">
        <v>1598</v>
      </c>
      <c r="G51" s="96"/>
      <c r="H51" s="96" t="s">
        <v>1599</v>
      </c>
      <c r="I51" s="96"/>
      <c r="J51" s="96"/>
      <c r="K51" s="95" t="str">
        <f>'Table Seed Map'!$A$35&amp;"-"&amp;(COUNTA($E$1:ResourceAction[[#This Row],[Resource]])-2)</f>
        <v>Action Method-49</v>
      </c>
      <c r="L51" s="96">
        <f>IF(ResourceAction[[#This Row],[No]]="id","id",-2+COUNTA($E$1:ResourceAction[[#This Row],[Resource]])+IF(ISNUMBER(VLOOKUP('Table Seed Map'!$A$35,SeedMap[],9,0)),VLOOKUP('Table Seed Map'!$A$35,SeedMap[],9,0),0))</f>
        <v>2134149</v>
      </c>
      <c r="M51" s="96">
        <f>IF(ResourceAction[[#This Row],[No]]="id","resource_action",ResourceAction[[#This Row],[No]])</f>
        <v>2133149</v>
      </c>
      <c r="N51" s="112" t="s">
        <v>1521</v>
      </c>
      <c r="O51" s="109">
        <f ca="1">IF(ResourceAction[[#This Row],[Resource Name]]="","idn1",IF(ResourceAction[[#This Row],[IDN1]]="","",VLOOKUP(ResourceAction[[#This Row],[IDN1]],IDNMaps[[Display]:[ID]],2,0)))</f>
        <v>2109142</v>
      </c>
      <c r="P51" s="109">
        <f ca="1">IF(ResourceAction[[#This Row],[Resource Name]]="","idn2",IF(ResourceAction[[#This Row],[IDN2]]="","",VLOOKUP(ResourceAction[[#This Row],[IDN2]],IDNMaps[[Display]:[ID]],2,0)))</f>
        <v>2123119</v>
      </c>
      <c r="Q51" s="109" t="str">
        <f>IF(ResourceAction[[#This Row],[Resource Name]]="","idn3",IF(ResourceAction[[#This Row],[IDN3]]="","",VLOOKUP(ResourceAction[[#This Row],[IDN3]],IDNMaps[[Display]:[ID]],2,0)))</f>
        <v/>
      </c>
      <c r="R51" s="109" t="str">
        <f>IF(ResourceAction[[#This Row],[Resource Name]]="","idn4",IF(ResourceAction[[#This Row],[IDN4]]="","",VLOOKUP(ResourceAction[[#This Row],[IDN4]],IDNMaps[[Display]:[ID]],2,0)))</f>
        <v/>
      </c>
      <c r="S51" s="109" t="str">
        <f>IF(ResourceAction[[#This Row],[Resource Name]]="","idn5",IF(ResourceAction[[#This Row],[IDN5]]="","",VLOOKUP(ResourceAction[[#This Row],[IDN5]],IDNMaps[[Display]:[ID]],2,0)))</f>
        <v/>
      </c>
      <c r="T51" s="110" t="s">
        <v>1600</v>
      </c>
      <c r="U51" s="110" t="s">
        <v>1604</v>
      </c>
      <c r="V51" s="110"/>
      <c r="W51" s="110"/>
      <c r="X51" s="110"/>
      <c r="Y51" s="103">
        <f>[No]</f>
        <v>2133149</v>
      </c>
      <c r="AA51" s="62" t="s">
        <v>1888</v>
      </c>
      <c r="AB51" s="69">
        <f>VLOOKUP(ActionListNData[[#This Row],[Action Name]],ResourceAction[[Display]:[No]],3,0)</f>
        <v>2133182</v>
      </c>
      <c r="AC51" s="69" t="s">
        <v>1641</v>
      </c>
      <c r="AD51" s="69"/>
      <c r="AE51" s="69" t="str">
        <f>'Table Seed Map'!$A$37&amp;"-"&amp;-1+COUNTA($AC$1:ActionListNData[[#This Row],[Resource List]])</f>
        <v>Action List-49</v>
      </c>
      <c r="AF51" s="69">
        <f>IF(ActionListNData[[#This Row],[Action Name]]="","id",-1+COUNTA($AC$1:ActionListNData[[#This Row],[Resource List]])+IF(ISNUMBER(VLOOKUP('Table Seed Map'!$A$37,SeedMap[],9,0)),VLOOKUP('Table Seed Map'!$A$37,SeedMap[],9,0),0))</f>
        <v>2136149</v>
      </c>
      <c r="AG51" s="69">
        <f>ActionListNData[[#This Row],[Action]]</f>
        <v>2133182</v>
      </c>
      <c r="AH51" s="69">
        <f>IF(ActionListNData[[#This Row],[Action Name]]="","resource_list",IFERROR(VLOOKUP(ActionListNData[[#This Row],[Resource List]],ResourceList[[ListDisplayName]:[No]],2,0),""))</f>
        <v>2123122</v>
      </c>
      <c r="AI51" s="69" t="str">
        <f>'Table Seed Map'!$A$38&amp;"-"&amp;-1+COUNTA($AD$1:ActionListNData[[#This Row],[Resource Data]])</f>
        <v>Action Data-0</v>
      </c>
      <c r="AJ5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1" s="69">
        <f>ActionListNData[[#This Row],[Action]]</f>
        <v>2133182</v>
      </c>
      <c r="AL51" s="69" t="str">
        <f>IF(ActionListNData[[#This Row],[Action Name]]="","resource_data",IFERROR(VLOOKUP(ActionListNData[[#This Row],[Resource Data]],ResourceData[[DataDisplayName]:[No]],2,0),""))</f>
        <v/>
      </c>
    </row>
    <row r="52" spans="1:38">
      <c r="A52" s="96" t="str">
        <f>'Table Seed Map'!$A$34&amp;"-"&amp;(COUNTA($E$1:ResourceAction[[#This Row],[Resource]])-2)</f>
        <v>Resource Actions-50</v>
      </c>
      <c r="B52" s="96" t="str">
        <f>ResourceAction[[#This Row],[Resource Name]]&amp;"/"&amp;ResourceAction[[#This Row],[Name]]</f>
        <v>Pricelist/AddPLContentsAction</v>
      </c>
      <c r="C52" s="104" t="s">
        <v>783</v>
      </c>
      <c r="D52" s="96">
        <f>IF(ResourceAction[[#This Row],[Resource Name]]="","id",COUNTA($C$1:ResourceAction[[#This Row],[Resource Name]])-1+IF(VLOOKUP('Table Seed Map'!$A$34,SeedMap[],9,0),VLOOKUP('Table Seed Map'!$A$34,SeedMap[],9,0),0))</f>
        <v>2133150</v>
      </c>
      <c r="E52" s="96">
        <f>IFERROR(VLOOKUP(ResourceAction[[#This Row],[Resource Name]],ResourceTable[[RName]:[No]],3,0),"resource")</f>
        <v>2106115</v>
      </c>
      <c r="F52" s="96" t="s">
        <v>1606</v>
      </c>
      <c r="G52" s="96"/>
      <c r="H52" s="96" t="s">
        <v>1607</v>
      </c>
      <c r="I52" s="96"/>
      <c r="J52" s="96"/>
      <c r="K52" s="95" t="str">
        <f>'Table Seed Map'!$A$35&amp;"-"&amp;(COUNTA($E$1:ResourceAction[[#This Row],[Resource]])-2)</f>
        <v>Action Method-50</v>
      </c>
      <c r="L52" s="96">
        <f>IF(ResourceAction[[#This Row],[No]]="id","id",-2+COUNTA($E$1:ResourceAction[[#This Row],[Resource]])+IF(ISNUMBER(VLOOKUP('Table Seed Map'!$A$35,SeedMap[],9,0)),VLOOKUP('Table Seed Map'!$A$35,SeedMap[],9,0),0))</f>
        <v>2134150</v>
      </c>
      <c r="M52" s="96">
        <f>IF(ResourceAction[[#This Row],[No]]="id","resource_action",ResourceAction[[#This Row],[No]])</f>
        <v>2133150</v>
      </c>
      <c r="N52" s="112" t="s">
        <v>1596</v>
      </c>
      <c r="O52" s="109">
        <f ca="1">IF(ResourceAction[[#This Row],[Resource Name]]="","idn1",IF(ResourceAction[[#This Row],[IDN1]]="","",VLOOKUP(ResourceAction[[#This Row],[IDN1]],IDNMaps[[Display]:[ID]],2,0)))</f>
        <v>2109142</v>
      </c>
      <c r="P52" s="109">
        <f ca="1">IF(ResourceAction[[#This Row],[Resource Name]]="","idn2",IF(ResourceAction[[#This Row],[IDN2]]="","",VLOOKUP(ResourceAction[[#This Row],[IDN2]],IDNMaps[[Display]:[ID]],2,0)))</f>
        <v>2110113</v>
      </c>
      <c r="Q52" s="109">
        <f ca="1">IF(ResourceAction[[#This Row],[Resource Name]]="","idn3",IF(ResourceAction[[#This Row],[IDN3]]="","",VLOOKUP(ResourceAction[[#This Row],[IDN3]],IDNMaps[[Display]:[ID]],2,0)))</f>
        <v>2111141</v>
      </c>
      <c r="R52" s="109" t="str">
        <f>IF(ResourceAction[[#This Row],[Resource Name]]="","idn4",IF(ResourceAction[[#This Row],[IDN4]]="","",VLOOKUP(ResourceAction[[#This Row],[IDN4]],IDNMaps[[Display]:[ID]],2,0)))</f>
        <v/>
      </c>
      <c r="S52" s="109" t="str">
        <f>IF(ResourceAction[[#This Row],[Resource Name]]="","idn5",IF(ResourceAction[[#This Row],[IDN5]]="","",VLOOKUP(ResourceAction[[#This Row],[IDN5]],IDNMaps[[Display]:[ID]],2,0)))</f>
        <v/>
      </c>
      <c r="T52" s="110" t="s">
        <v>1600</v>
      </c>
      <c r="U52" s="110" t="s">
        <v>1608</v>
      </c>
      <c r="V52" s="110" t="s">
        <v>1609</v>
      </c>
      <c r="W52" s="110"/>
      <c r="X52" s="110"/>
      <c r="Y52" s="103">
        <f>[No]</f>
        <v>2133150</v>
      </c>
      <c r="AA52" s="62" t="s">
        <v>1635</v>
      </c>
      <c r="AB52" s="69">
        <f>VLOOKUP(ActionListNData[[#This Row],[Action Name]],ResourceAction[[Display]:[No]],3,0)</f>
        <v>2133154</v>
      </c>
      <c r="AC52" s="69" t="s">
        <v>1892</v>
      </c>
      <c r="AD52" s="69"/>
      <c r="AE52" s="69" t="str">
        <f>'Table Seed Map'!$A$37&amp;"-"&amp;-1+COUNTA($AC$1:ActionListNData[[#This Row],[Resource List]])</f>
        <v>Action List-50</v>
      </c>
      <c r="AF52" s="69">
        <f>IF(ActionListNData[[#This Row],[Action Name]]="","id",-1+COUNTA($AC$1:ActionListNData[[#This Row],[Resource List]])+IF(ISNUMBER(VLOOKUP('Table Seed Map'!$A$37,SeedMap[],9,0)),VLOOKUP('Table Seed Map'!$A$37,SeedMap[],9,0),0))</f>
        <v>2136150</v>
      </c>
      <c r="AG52" s="69">
        <f>ActionListNData[[#This Row],[Action]]</f>
        <v>2133154</v>
      </c>
      <c r="AH52" s="69">
        <f>IF(ActionListNData[[#This Row],[Action Name]]="","resource_list",IFERROR(VLOOKUP(ActionListNData[[#This Row],[Resource List]],ResourceList[[ListDisplayName]:[No]],2,0),""))</f>
        <v>2123131</v>
      </c>
      <c r="AI52" s="69" t="str">
        <f>'Table Seed Map'!$A$38&amp;"-"&amp;-1+COUNTA($AD$1:ActionListNData[[#This Row],[Resource Data]])</f>
        <v>Action Data-0</v>
      </c>
      <c r="AJ5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2" s="69">
        <f>ActionListNData[[#This Row],[Action]]</f>
        <v>2133154</v>
      </c>
      <c r="AL52" s="69" t="str">
        <f>IF(ActionListNData[[#This Row],[Action Name]]="","resource_data",IFERROR(VLOOKUP(ActionListNData[[#This Row],[Resource Data]],ResourceData[[DataDisplayName]:[No]],2,0),""))</f>
        <v/>
      </c>
    </row>
    <row r="53" spans="1:38">
      <c r="A53" s="96" t="str">
        <f>'Table Seed Map'!$A$34&amp;"-"&amp;(COUNTA($E$1:ResourceAction[[#This Row],[Resource]])-2)</f>
        <v>Resource Actions-51</v>
      </c>
      <c r="B53" s="96" t="str">
        <f>ResourceAction[[#This Row],[Resource Name]]&amp;"/"&amp;ResourceAction[[#This Row],[Name]]</f>
        <v>Item/ListItemsServicesAction</v>
      </c>
      <c r="C53" s="104" t="s">
        <v>779</v>
      </c>
      <c r="D53" s="96">
        <f>IF(ResourceAction[[#This Row],[Resource Name]]="","id",COUNTA($C$1:ResourceAction[[#This Row],[Resource Name]])-1+IF(VLOOKUP('Table Seed Map'!$A$34,SeedMap[],9,0),VLOOKUP('Table Seed Map'!$A$34,SeedMap[],9,0),0))</f>
        <v>2133151</v>
      </c>
      <c r="E53" s="96">
        <f>IFERROR(VLOOKUP(ResourceAction[[#This Row],[Resource Name]],ResourceTable[[RName]:[No]],3,0),"resource")</f>
        <v>2106109</v>
      </c>
      <c r="F53" s="96" t="s">
        <v>1610</v>
      </c>
      <c r="G53" s="96"/>
      <c r="H53" s="96" t="s">
        <v>1611</v>
      </c>
      <c r="I53" s="96"/>
      <c r="J53" s="96"/>
      <c r="K53" s="95" t="str">
        <f>'Table Seed Map'!$A$35&amp;"-"&amp;(COUNTA($E$1:ResourceAction[[#This Row],[Resource]])-2)</f>
        <v>Action Method-51</v>
      </c>
      <c r="L53" s="96">
        <f>IF(ResourceAction[[#This Row],[No]]="id","id",-2+COUNTA($E$1:ResourceAction[[#This Row],[Resource]])+IF(ISNUMBER(VLOOKUP('Table Seed Map'!$A$35,SeedMap[],9,0)),VLOOKUP('Table Seed Map'!$A$35,SeedMap[],9,0),0))</f>
        <v>2134151</v>
      </c>
      <c r="M53" s="96">
        <f>IF(ResourceAction[[#This Row],[No]]="id","resource_action",ResourceAction[[#This Row],[No]])</f>
        <v>2133151</v>
      </c>
      <c r="N53" s="112" t="s">
        <v>1521</v>
      </c>
      <c r="O53" s="109">
        <f ca="1">IF(ResourceAction[[#This Row],[Resource Name]]="","idn1",IF(ResourceAction[[#This Row],[IDN1]]="","",VLOOKUP(ResourceAction[[#This Row],[IDN1]],IDNMaps[[Display]:[ID]],2,0)))</f>
        <v>2109124</v>
      </c>
      <c r="P53" s="109">
        <f ca="1">IF(ResourceAction[[#This Row],[Resource Name]]="","idn2",IF(ResourceAction[[#This Row],[IDN2]]="","",VLOOKUP(ResourceAction[[#This Row],[IDN2]],IDNMaps[[Display]:[ID]],2,0)))</f>
        <v>2123120</v>
      </c>
      <c r="Q53" s="109" t="str">
        <f>IF(ResourceAction[[#This Row],[Resource Name]]="","idn3",IF(ResourceAction[[#This Row],[IDN3]]="","",VLOOKUP(ResourceAction[[#This Row],[IDN3]],IDNMaps[[Display]:[ID]],2,0)))</f>
        <v/>
      </c>
      <c r="R53" s="109" t="str">
        <f>IF(ResourceAction[[#This Row],[Resource Name]]="","idn4",IF(ResourceAction[[#This Row],[IDN4]]="","",VLOOKUP(ResourceAction[[#This Row],[IDN4]],IDNMaps[[Display]:[ID]],2,0)))</f>
        <v/>
      </c>
      <c r="S53" s="109" t="str">
        <f>IF(ResourceAction[[#This Row],[Resource Name]]="","idn5",IF(ResourceAction[[#This Row],[IDN5]]="","",VLOOKUP(ResourceAction[[#This Row],[IDN5]],IDNMaps[[Display]:[ID]],2,0)))</f>
        <v/>
      </c>
      <c r="T53" s="110" t="s">
        <v>1686</v>
      </c>
      <c r="U53" s="110" t="s">
        <v>1617</v>
      </c>
      <c r="V53" s="110"/>
      <c r="W53" s="110"/>
      <c r="X53" s="110"/>
      <c r="Y53" s="103">
        <f>[No]</f>
        <v>2133151</v>
      </c>
      <c r="AA53" s="62" t="s">
        <v>1790</v>
      </c>
      <c r="AB53" s="69">
        <f>VLOOKUP(ActionListNData[[#This Row],[Action Name]],ResourceAction[[Display]:[No]],3,0)</f>
        <v>2133169</v>
      </c>
      <c r="AC53" s="69" t="s">
        <v>1892</v>
      </c>
      <c r="AD53" s="69"/>
      <c r="AE53" s="69" t="str">
        <f>'Table Seed Map'!$A$37&amp;"-"&amp;-1+COUNTA($AC$1:ActionListNData[[#This Row],[Resource List]])</f>
        <v>Action List-51</v>
      </c>
      <c r="AF53" s="69">
        <f>IF(ActionListNData[[#This Row],[Action Name]]="","id",-1+COUNTA($AC$1:ActionListNData[[#This Row],[Resource List]])+IF(ISNUMBER(VLOOKUP('Table Seed Map'!$A$37,SeedMap[],9,0)),VLOOKUP('Table Seed Map'!$A$37,SeedMap[],9,0),0))</f>
        <v>2136151</v>
      </c>
      <c r="AG53" s="69">
        <f>ActionListNData[[#This Row],[Action]]</f>
        <v>2133169</v>
      </c>
      <c r="AH53" s="69">
        <f>IF(ActionListNData[[#This Row],[Action Name]]="","resource_list",IFERROR(VLOOKUP(ActionListNData[[#This Row],[Resource List]],ResourceList[[ListDisplayName]:[No]],2,0),""))</f>
        <v>2123131</v>
      </c>
      <c r="AI53" s="69" t="str">
        <f>'Table Seed Map'!$A$38&amp;"-"&amp;-1+COUNTA($AD$1:ActionListNData[[#This Row],[Resource Data]])</f>
        <v>Action Data-0</v>
      </c>
      <c r="AJ5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3" s="69">
        <f>ActionListNData[[#This Row],[Action]]</f>
        <v>2133169</v>
      </c>
      <c r="AL53" s="69" t="str">
        <f>IF(ActionListNData[[#This Row],[Action Name]]="","resource_data",IFERROR(VLOOKUP(ActionListNData[[#This Row],[Resource Data]],ResourceData[[DataDisplayName]:[No]],2,0),""))</f>
        <v/>
      </c>
    </row>
    <row r="54" spans="1:38">
      <c r="A54" s="96" t="str">
        <f>'Table Seed Map'!$A$34&amp;"-"&amp;(COUNTA($E$1:ResourceAction[[#This Row],[Resource]])-2)</f>
        <v>Resource Actions-52</v>
      </c>
      <c r="B54" s="96" t="str">
        <f>ResourceAction[[#This Row],[Resource Name]]&amp;"/"&amp;ResourceAction[[#This Row],[Name]]</f>
        <v>Item/AddServiceToItemAction</v>
      </c>
      <c r="C54" s="104" t="s">
        <v>779</v>
      </c>
      <c r="D54" s="96">
        <f>IF(ResourceAction[[#This Row],[Resource Name]]="","id",COUNTA($C$1:ResourceAction[[#This Row],[Resource Name]])-1+IF(VLOOKUP('Table Seed Map'!$A$34,SeedMap[],9,0),VLOOKUP('Table Seed Map'!$A$34,SeedMap[],9,0),0))</f>
        <v>2133152</v>
      </c>
      <c r="E54" s="96">
        <f>IFERROR(VLOOKUP(ResourceAction[[#This Row],[Resource Name]],ResourceTable[[RName]:[No]],3,0),"resource")</f>
        <v>2106109</v>
      </c>
      <c r="F54" s="96" t="s">
        <v>1619</v>
      </c>
      <c r="G54" s="96"/>
      <c r="H54" s="96" t="s">
        <v>1620</v>
      </c>
      <c r="I54" s="96"/>
      <c r="J54" s="96"/>
      <c r="K54" s="95" t="str">
        <f>'Table Seed Map'!$A$35&amp;"-"&amp;(COUNTA($E$1:ResourceAction[[#This Row],[Resource]])-2)</f>
        <v>Action Method-52</v>
      </c>
      <c r="L54" s="96">
        <f>IF(ResourceAction[[#This Row],[No]]="id","id",-2+COUNTA($E$1:ResourceAction[[#This Row],[Resource]])+IF(ISNUMBER(VLOOKUP('Table Seed Map'!$A$35,SeedMap[],9,0)),VLOOKUP('Table Seed Map'!$A$35,SeedMap[],9,0),0))</f>
        <v>2134152</v>
      </c>
      <c r="M54" s="96">
        <f>IF(ResourceAction[[#This Row],[No]]="id","resource_action",ResourceAction[[#This Row],[No]])</f>
        <v>2133152</v>
      </c>
      <c r="N54" s="112" t="s">
        <v>1596</v>
      </c>
      <c r="O54" s="109">
        <f ca="1">IF(ResourceAction[[#This Row],[Resource Name]]="","idn1",IF(ResourceAction[[#This Row],[IDN1]]="","",VLOOKUP(ResourceAction[[#This Row],[IDN1]],IDNMaps[[Display]:[ID]],2,0)))</f>
        <v>2109124</v>
      </c>
      <c r="P54" s="109">
        <f ca="1">IF(ResourceAction[[#This Row],[Resource Name]]="","idn2",IF(ResourceAction[[#This Row],[IDN2]]="","",VLOOKUP(ResourceAction[[#This Row],[IDN2]],IDNMaps[[Display]:[ID]],2,0)))</f>
        <v>2110108</v>
      </c>
      <c r="Q54" s="109">
        <f ca="1">IF(ResourceAction[[#This Row],[Resource Name]]="","idn3",IF(ResourceAction[[#This Row],[IDN3]]="","",VLOOKUP(ResourceAction[[#This Row],[IDN3]],IDNMaps[[Display]:[ID]],2,0)))</f>
        <v>2111127</v>
      </c>
      <c r="R54" s="109" t="str">
        <f>IF(ResourceAction[[#This Row],[Resource Name]]="","idn4",IF(ResourceAction[[#This Row],[IDN4]]="","",VLOOKUP(ResourceAction[[#This Row],[IDN4]],IDNMaps[[Display]:[ID]],2,0)))</f>
        <v/>
      </c>
      <c r="S54" s="109" t="str">
        <f>IF(ResourceAction[[#This Row],[Resource Name]]="","idn5",IF(ResourceAction[[#This Row],[IDN5]]="","",VLOOKUP(ResourceAction[[#This Row],[IDN5]],IDNMaps[[Display]:[ID]],2,0)))</f>
        <v/>
      </c>
      <c r="T54" s="110" t="s">
        <v>1686</v>
      </c>
      <c r="U54" s="110" t="s">
        <v>1621</v>
      </c>
      <c r="V54" s="110" t="s">
        <v>1622</v>
      </c>
      <c r="W54" s="110"/>
      <c r="X54" s="110"/>
      <c r="Y54" s="103">
        <f>[No]</f>
        <v>2133152</v>
      </c>
      <c r="AA54" s="62" t="s">
        <v>1671</v>
      </c>
      <c r="AB54" s="69">
        <f>VLOOKUP(ActionListNData[[#This Row],[Action Name]],ResourceAction[[Display]:[No]],3,0)</f>
        <v>2133156</v>
      </c>
      <c r="AC54" s="69" t="s">
        <v>1900</v>
      </c>
      <c r="AD54" s="69"/>
      <c r="AE54" s="69" t="str">
        <f>'Table Seed Map'!$A$37&amp;"-"&amp;-1+COUNTA($AC$1:ActionListNData[[#This Row],[Resource List]])</f>
        <v>Action List-52</v>
      </c>
      <c r="AF54" s="69">
        <f>IF(ActionListNData[[#This Row],[Action Name]]="","id",-1+COUNTA($AC$1:ActionListNData[[#This Row],[Resource List]])+IF(ISNUMBER(VLOOKUP('Table Seed Map'!$A$37,SeedMap[],9,0)),VLOOKUP('Table Seed Map'!$A$37,SeedMap[],9,0),0))</f>
        <v>2136152</v>
      </c>
      <c r="AG54" s="69">
        <f>ActionListNData[[#This Row],[Action]]</f>
        <v>2133156</v>
      </c>
      <c r="AH54" s="69">
        <f>IF(ActionListNData[[#This Row],[Action Name]]="","resource_list",IFERROR(VLOOKUP(ActionListNData[[#This Row],[Resource List]],ResourceList[[ListDisplayName]:[No]],2,0),""))</f>
        <v>2123132</v>
      </c>
      <c r="AI54" s="69" t="str">
        <f>'Table Seed Map'!$A$38&amp;"-"&amp;-1+COUNTA($AD$1:ActionListNData[[#This Row],[Resource Data]])</f>
        <v>Action Data-0</v>
      </c>
      <c r="AJ5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4" s="69">
        <f>ActionListNData[[#This Row],[Action]]</f>
        <v>2133156</v>
      </c>
      <c r="AL54" s="69" t="str">
        <f>IF(ActionListNData[[#This Row],[Action Name]]="","resource_data",IFERROR(VLOOKUP(ActionListNData[[#This Row],[Resource Data]],ResourceData[[DataDisplayName]:[No]],2,0),""))</f>
        <v/>
      </c>
    </row>
    <row r="55" spans="1:38">
      <c r="A55" s="96" t="str">
        <f>'Table Seed Map'!$A$34&amp;"-"&amp;(COUNTA($E$1:ResourceAction[[#This Row],[Resource]])-2)</f>
        <v>Resource Actions-53</v>
      </c>
      <c r="B55" s="96" t="str">
        <f>ResourceAction[[#This Row],[Resource Name]]&amp;"/"&amp;ResourceAction[[#This Row],[Name]]</f>
        <v>Service/ServiceDiffPriceList</v>
      </c>
      <c r="C55" s="104" t="s">
        <v>778</v>
      </c>
      <c r="D55" s="96">
        <f>IF(ResourceAction[[#This Row],[Resource Name]]="","id",COUNTA($C$1:ResourceAction[[#This Row],[Resource Name]])-1+IF(VLOOKUP('Table Seed Map'!$A$34,SeedMap[],9,0),VLOOKUP('Table Seed Map'!$A$34,SeedMap[],9,0),0))</f>
        <v>2133153</v>
      </c>
      <c r="E55" s="96">
        <f>IFERROR(VLOOKUP(ResourceAction[[#This Row],[Resource Name]],ResourceTable[[RName]:[No]],3,0),"resource")</f>
        <v>2106108</v>
      </c>
      <c r="F55" s="96" t="s">
        <v>1623</v>
      </c>
      <c r="G55" s="96"/>
      <c r="H55" s="96" t="s">
        <v>969</v>
      </c>
      <c r="I55" s="96"/>
      <c r="J55" s="96"/>
      <c r="K55" s="95" t="str">
        <f>'Table Seed Map'!$A$35&amp;"-"&amp;(COUNTA($E$1:ResourceAction[[#This Row],[Resource]])-2)</f>
        <v>Action Method-53</v>
      </c>
      <c r="L55" s="96">
        <f>IF(ResourceAction[[#This Row],[No]]="id","id",-2+COUNTA($E$1:ResourceAction[[#This Row],[Resource]])+IF(ISNUMBER(VLOOKUP('Table Seed Map'!$A$35,SeedMap[],9,0)),VLOOKUP('Table Seed Map'!$A$35,SeedMap[],9,0),0))</f>
        <v>2134153</v>
      </c>
      <c r="M55" s="96">
        <f>IF(ResourceAction[[#This Row],[No]]="id","resource_action",ResourceAction[[#This Row],[No]])</f>
        <v>2133153</v>
      </c>
      <c r="N55" s="112" t="s">
        <v>1521</v>
      </c>
      <c r="O55" s="109">
        <f ca="1">IF(ResourceAction[[#This Row],[Resource Name]]="","idn1",IF(ResourceAction[[#This Row],[IDN1]]="","",VLOOKUP(ResourceAction[[#This Row],[IDN1]],IDNMaps[[Display]:[ID]],2,0)))</f>
        <v>2109119</v>
      </c>
      <c r="P55" s="109">
        <f ca="1">IF(ResourceAction[[#This Row],[Resource Name]]="","idn2",IF(ResourceAction[[#This Row],[IDN2]]="","",VLOOKUP(ResourceAction[[#This Row],[IDN2]],IDNMaps[[Display]:[ID]],2,0)))</f>
        <v>2123119</v>
      </c>
      <c r="Q55" s="109" t="str">
        <f>IF(ResourceAction[[#This Row],[Resource Name]]="","idn3",IF(ResourceAction[[#This Row],[IDN3]]="","",VLOOKUP(ResourceAction[[#This Row],[IDN3]],IDNMaps[[Display]:[ID]],2,0)))</f>
        <v/>
      </c>
      <c r="R55" s="109" t="str">
        <f>IF(ResourceAction[[#This Row],[Resource Name]]="","idn4",IF(ResourceAction[[#This Row],[IDN4]]="","",VLOOKUP(ResourceAction[[#This Row],[IDN4]],IDNMaps[[Display]:[ID]],2,0)))</f>
        <v/>
      </c>
      <c r="S55" s="109" t="str">
        <f>IF(ResourceAction[[#This Row],[Resource Name]]="","idn5",IF(ResourceAction[[#This Row],[IDN5]]="","",VLOOKUP(ResourceAction[[#This Row],[IDN5]],IDNMaps[[Display]:[ID]],2,0)))</f>
        <v/>
      </c>
      <c r="T55" s="110" t="s">
        <v>1624</v>
      </c>
      <c r="U55" s="110" t="s">
        <v>1604</v>
      </c>
      <c r="V55" s="110"/>
      <c r="W55" s="110"/>
      <c r="X55" s="110"/>
      <c r="Y55" s="103">
        <f>[No]</f>
        <v>2133153</v>
      </c>
      <c r="AA55" s="62" t="s">
        <v>1840</v>
      </c>
      <c r="AB55" s="69">
        <f>VLOOKUP(ActionListNData[[#This Row],[Action Name]],ResourceAction[[Display]:[No]],3,0)</f>
        <v>2133178</v>
      </c>
      <c r="AC55" s="69" t="s">
        <v>1900</v>
      </c>
      <c r="AD55" s="69"/>
      <c r="AE55" s="69" t="str">
        <f>'Table Seed Map'!$A$37&amp;"-"&amp;-1+COUNTA($AC$1:ActionListNData[[#This Row],[Resource List]])</f>
        <v>Action List-53</v>
      </c>
      <c r="AF55" s="69">
        <f>IF(ActionListNData[[#This Row],[Action Name]]="","id",-1+COUNTA($AC$1:ActionListNData[[#This Row],[Resource List]])+IF(ISNUMBER(VLOOKUP('Table Seed Map'!$A$37,SeedMap[],9,0)),VLOOKUP('Table Seed Map'!$A$37,SeedMap[],9,0),0))</f>
        <v>2136153</v>
      </c>
      <c r="AG55" s="69">
        <f>ActionListNData[[#This Row],[Action]]</f>
        <v>2133178</v>
      </c>
      <c r="AH55" s="69">
        <f>IF(ActionListNData[[#This Row],[Action Name]]="","resource_list",IFERROR(VLOOKUP(ActionListNData[[#This Row],[Resource List]],ResourceList[[ListDisplayName]:[No]],2,0),""))</f>
        <v>2123132</v>
      </c>
      <c r="AI55" s="69" t="str">
        <f>'Table Seed Map'!$A$38&amp;"-"&amp;-1+COUNTA($AD$1:ActionListNData[[#This Row],[Resource Data]])</f>
        <v>Action Data-0</v>
      </c>
      <c r="AJ5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5" s="69">
        <f>ActionListNData[[#This Row],[Action]]</f>
        <v>2133178</v>
      </c>
      <c r="AL55" s="69" t="str">
        <f>IF(ActionListNData[[#This Row],[Action Name]]="","resource_data",IFERROR(VLOOKUP(ActionListNData[[#This Row],[Resource Data]],ResourceData[[DataDisplayName]:[No]],2,0),""))</f>
        <v/>
      </c>
    </row>
    <row r="56" spans="1:38">
      <c r="A56" s="96" t="str">
        <f>'Table Seed Map'!$A$34&amp;"-"&amp;(COUNTA($E$1:ResourceAction[[#This Row],[Resource]])-2)</f>
        <v>Resource Actions-54</v>
      </c>
      <c r="B56" s="96" t="str">
        <f>ResourceAction[[#This Row],[Resource Name]]&amp;"/"&amp;ResourceAction[[#This Row],[Name]]</f>
        <v>Order/OrderItemsListAction</v>
      </c>
      <c r="C56" s="104" t="s">
        <v>787</v>
      </c>
      <c r="D56" s="96">
        <f>IF(ResourceAction[[#This Row],[Resource Name]]="","id",COUNTA($C$1:ResourceAction[[#This Row],[Resource Name]])-1+IF(VLOOKUP('Table Seed Map'!$A$34,SeedMap[],9,0),VLOOKUP('Table Seed Map'!$A$34,SeedMap[],9,0),0))</f>
        <v>2133154</v>
      </c>
      <c r="E56" s="96">
        <f>IFERROR(VLOOKUP(ResourceAction[[#This Row],[Resource Name]],ResourceTable[[RName]:[No]],3,0),"resource")</f>
        <v>2106118</v>
      </c>
      <c r="F56" s="96" t="s">
        <v>1631</v>
      </c>
      <c r="G56" s="96"/>
      <c r="H56" s="96" t="s">
        <v>1632</v>
      </c>
      <c r="I56" s="96"/>
      <c r="J56" s="96"/>
      <c r="K56" s="95" t="str">
        <f>'Table Seed Map'!$A$35&amp;"-"&amp;(COUNTA($E$1:ResourceAction[[#This Row],[Resource]])-2)</f>
        <v>Action Method-54</v>
      </c>
      <c r="L56" s="96">
        <f>IF(ResourceAction[[#This Row],[No]]="id","id",-2+COUNTA($E$1:ResourceAction[[#This Row],[Resource]])+IF(ISNUMBER(VLOOKUP('Table Seed Map'!$A$35,SeedMap[],9,0)),VLOOKUP('Table Seed Map'!$A$35,SeedMap[],9,0),0))</f>
        <v>2134154</v>
      </c>
      <c r="M56" s="96">
        <f>IF(ResourceAction[[#This Row],[No]]="id","resource_action",ResourceAction[[#This Row],[No]])</f>
        <v>2133154</v>
      </c>
      <c r="N56" s="112" t="s">
        <v>1521</v>
      </c>
      <c r="O56" s="109">
        <f ca="1">IF(ResourceAction[[#This Row],[Resource Name]]="","idn1",IF(ResourceAction[[#This Row],[IDN1]]="","",VLOOKUP(ResourceAction[[#This Row],[IDN1]],IDNMaps[[Display]:[ID]],2,0)))</f>
        <v>2109146</v>
      </c>
      <c r="P56" s="109">
        <f ca="1">IF(ResourceAction[[#This Row],[Resource Name]]="","idn2",IF(ResourceAction[[#This Row],[IDN2]]="","",VLOOKUP(ResourceAction[[#This Row],[IDN2]],IDNMaps[[Display]:[ID]],2,0)))</f>
        <v>2123121</v>
      </c>
      <c r="Q56" s="109" t="str">
        <f>IF(ResourceAction[[#This Row],[Resource Name]]="","idn3",IF(ResourceAction[[#This Row],[IDN3]]="","",VLOOKUP(ResourceAction[[#This Row],[IDN3]],IDNMaps[[Display]:[ID]],2,0)))</f>
        <v/>
      </c>
      <c r="R56" s="109" t="str">
        <f>IF(ResourceAction[[#This Row],[Resource Name]]="","idn4",IF(ResourceAction[[#This Row],[IDN4]]="","",VLOOKUP(ResourceAction[[#This Row],[IDN4]],IDNMaps[[Display]:[ID]],2,0)))</f>
        <v/>
      </c>
      <c r="S56" s="109" t="str">
        <f>IF(ResourceAction[[#This Row],[Resource Name]]="","idn5",IF(ResourceAction[[#This Row],[IDN5]]="","",VLOOKUP(ResourceAction[[#This Row],[IDN5]],IDNMaps[[Display]:[ID]],2,0)))</f>
        <v/>
      </c>
      <c r="T56" s="110" t="s">
        <v>1633</v>
      </c>
      <c r="U56" s="110" t="s">
        <v>1634</v>
      </c>
      <c r="V56" s="110"/>
      <c r="W56" s="110"/>
      <c r="X56" s="110"/>
      <c r="Y56" s="103">
        <f>[No]</f>
        <v>2133154</v>
      </c>
      <c r="AA56" s="62" t="s">
        <v>1888</v>
      </c>
      <c r="AB56" s="69">
        <f>VLOOKUP(ActionListNData[[#This Row],[Action Name]],ResourceAction[[Display]:[No]],3,0)</f>
        <v>2133182</v>
      </c>
      <c r="AC56" s="69" t="s">
        <v>1900</v>
      </c>
      <c r="AD56" s="69"/>
      <c r="AE56" s="69" t="str">
        <f>'Table Seed Map'!$A$37&amp;"-"&amp;-1+COUNTA($AC$1:ActionListNData[[#This Row],[Resource List]])</f>
        <v>Action List-54</v>
      </c>
      <c r="AF56" s="69">
        <f>IF(ActionListNData[[#This Row],[Action Name]]="","id",-1+COUNTA($AC$1:ActionListNData[[#This Row],[Resource List]])+IF(ISNUMBER(VLOOKUP('Table Seed Map'!$A$37,SeedMap[],9,0)),VLOOKUP('Table Seed Map'!$A$37,SeedMap[],9,0),0))</f>
        <v>2136154</v>
      </c>
      <c r="AG56" s="69">
        <f>ActionListNData[[#This Row],[Action]]</f>
        <v>2133182</v>
      </c>
      <c r="AH56" s="69">
        <f>IF(ActionListNData[[#This Row],[Action Name]]="","resource_list",IFERROR(VLOOKUP(ActionListNData[[#This Row],[Resource List]],ResourceList[[ListDisplayName]:[No]],2,0),""))</f>
        <v>2123132</v>
      </c>
      <c r="AI56" s="69" t="str">
        <f>'Table Seed Map'!$A$38&amp;"-"&amp;-1+COUNTA($AD$1:ActionListNData[[#This Row],[Resource Data]])</f>
        <v>Action Data-0</v>
      </c>
      <c r="AJ5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6" s="69">
        <f>ActionListNData[[#This Row],[Action]]</f>
        <v>2133182</v>
      </c>
      <c r="AL56" s="69" t="str">
        <f>IF(ActionListNData[[#This Row],[Action Name]]="","resource_data",IFERROR(VLOOKUP(ActionListNData[[#This Row],[Resource Data]],ResourceData[[DataDisplayName]:[No]],2,0),""))</f>
        <v/>
      </c>
    </row>
    <row r="57" spans="1:38">
      <c r="A57" s="96" t="str">
        <f>'Table Seed Map'!$A$34&amp;"-"&amp;(COUNTA($E$1:ResourceAction[[#This Row],[Resource]])-2)</f>
        <v>Resource Actions-55</v>
      </c>
      <c r="B57" s="96" t="str">
        <f>ResourceAction[[#This Row],[Resource Name]]&amp;"/"&amp;ResourceAction[[#This Row],[Name]]</f>
        <v>OrderItem/OISListAction</v>
      </c>
      <c r="C57" s="104" t="s">
        <v>788</v>
      </c>
      <c r="D57" s="96">
        <f>IF(ResourceAction[[#This Row],[Resource Name]]="","id",COUNTA($C$1:ResourceAction[[#This Row],[Resource Name]])-1+IF(VLOOKUP('Table Seed Map'!$A$34,SeedMap[],9,0),VLOOKUP('Table Seed Map'!$A$34,SeedMap[],9,0),0))</f>
        <v>2133155</v>
      </c>
      <c r="E57" s="96">
        <f>IFERROR(VLOOKUP(ResourceAction[[#This Row],[Resource Name]],ResourceTable[[RName]:[No]],3,0),"resource")</f>
        <v>2106119</v>
      </c>
      <c r="F57" s="96" t="s">
        <v>1649</v>
      </c>
      <c r="G57" s="96"/>
      <c r="H57" s="96" t="s">
        <v>1650</v>
      </c>
      <c r="I57" s="96"/>
      <c r="J57" s="96"/>
      <c r="K57" s="95" t="str">
        <f>'Table Seed Map'!$A$35&amp;"-"&amp;(COUNTA($E$1:ResourceAction[[#This Row],[Resource]])-2)</f>
        <v>Action Method-55</v>
      </c>
      <c r="L57" s="96">
        <f>IF(ResourceAction[[#This Row],[No]]="id","id",-2+COUNTA($E$1:ResourceAction[[#This Row],[Resource]])+IF(ISNUMBER(VLOOKUP('Table Seed Map'!$A$35,SeedMap[],9,0)),VLOOKUP('Table Seed Map'!$A$35,SeedMap[],9,0),0))</f>
        <v>2134155</v>
      </c>
      <c r="M57" s="96">
        <f>IF(ResourceAction[[#This Row],[No]]="id","resource_action",ResourceAction[[#This Row],[No]])</f>
        <v>2133155</v>
      </c>
      <c r="N57" s="112" t="s">
        <v>1521</v>
      </c>
      <c r="O57" s="109">
        <f ca="1">IF(ResourceAction[[#This Row],[Resource Name]]="","idn1",IF(ResourceAction[[#This Row],[IDN1]]="","",VLOOKUP(ResourceAction[[#This Row],[IDN1]],IDNMaps[[Display]:[ID]],2,0)))</f>
        <v>2109156</v>
      </c>
      <c r="P57" s="109">
        <f ca="1">IF(ResourceAction[[#This Row],[Resource Name]]="","idn2",IF(ResourceAction[[#This Row],[IDN2]]="","",VLOOKUP(ResourceAction[[#This Row],[IDN2]],IDNMaps[[Display]:[ID]],2,0)))</f>
        <v>2123122</v>
      </c>
      <c r="Q57" s="109" t="str">
        <f>IF(ResourceAction[[#This Row],[Resource Name]]="","idn3",IF(ResourceAction[[#This Row],[IDN3]]="","",VLOOKUP(ResourceAction[[#This Row],[IDN3]],IDNMaps[[Display]:[ID]],2,0)))</f>
        <v/>
      </c>
      <c r="R57" s="109" t="str">
        <f>IF(ResourceAction[[#This Row],[Resource Name]]="","idn4",IF(ResourceAction[[#This Row],[IDN4]]="","",VLOOKUP(ResourceAction[[#This Row],[IDN4]],IDNMaps[[Display]:[ID]],2,0)))</f>
        <v/>
      </c>
      <c r="S57" s="109" t="str">
        <f>IF(ResourceAction[[#This Row],[Resource Name]]="","idn5",IF(ResourceAction[[#This Row],[IDN5]]="","",VLOOKUP(ResourceAction[[#This Row],[IDN5]],IDNMaps[[Display]:[ID]],2,0)))</f>
        <v/>
      </c>
      <c r="T57" s="110" t="s">
        <v>1651</v>
      </c>
      <c r="U57" s="110" t="s">
        <v>1652</v>
      </c>
      <c r="V57" s="110"/>
      <c r="W57" s="110"/>
      <c r="X57" s="110"/>
      <c r="Y57" s="103">
        <f>[No]</f>
        <v>2133155</v>
      </c>
      <c r="AA57" s="62" t="s">
        <v>1991</v>
      </c>
      <c r="AB57" s="69">
        <f>VLOOKUP(ActionListNData[[#This Row],[Action Name]],ResourceAction[[Display]:[No]],3,0)</f>
        <v>2133193</v>
      </c>
      <c r="AC57" s="69" t="s">
        <v>1655</v>
      </c>
      <c r="AD57" s="69"/>
      <c r="AE57" s="69" t="str">
        <f>'Table Seed Map'!$A$37&amp;"-"&amp;-1+COUNTA($AC$1:ActionListNData[[#This Row],[Resource List]])</f>
        <v>Action List-55</v>
      </c>
      <c r="AF57" s="69">
        <f>IF(ActionListNData[[#This Row],[Action Name]]="","id",-1+COUNTA($AC$1:ActionListNData[[#This Row],[Resource List]])+IF(ISNUMBER(VLOOKUP('Table Seed Map'!$A$37,SeedMap[],9,0)),VLOOKUP('Table Seed Map'!$A$37,SeedMap[],9,0),0))</f>
        <v>2136155</v>
      </c>
      <c r="AG57" s="69">
        <f>ActionListNData[[#This Row],[Action]]</f>
        <v>2133193</v>
      </c>
      <c r="AH57" s="69">
        <f>IF(ActionListNData[[#This Row],[Action Name]]="","resource_list",IFERROR(VLOOKUP(ActionListNData[[#This Row],[Resource List]],ResourceList[[ListDisplayName]:[No]],2,0),""))</f>
        <v>2123123</v>
      </c>
      <c r="AI57" s="69" t="str">
        <f>'Table Seed Map'!$A$38&amp;"-"&amp;-1+COUNTA($AD$1:ActionListNData[[#This Row],[Resource Data]])</f>
        <v>Action Data-0</v>
      </c>
      <c r="AJ5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7" s="69">
        <f>ActionListNData[[#This Row],[Action]]</f>
        <v>2133193</v>
      </c>
      <c r="AL57" s="69" t="str">
        <f>IF(ActionListNData[[#This Row],[Action Name]]="","resource_data",IFERROR(VLOOKUP(ActionListNData[[#This Row],[Resource Data]],ResourceData[[DataDisplayName]:[No]],2,0),""))</f>
        <v/>
      </c>
    </row>
    <row r="58" spans="1:38">
      <c r="A58" s="96" t="str">
        <f>'Table Seed Map'!$A$34&amp;"-"&amp;(COUNTA($E$1:ResourceAction[[#This Row],[Resource]])-2)</f>
        <v>Resource Actions-56</v>
      </c>
      <c r="B58" s="96" t="str">
        <f>ResourceAction[[#This Row],[Resource Name]]&amp;"/"&amp;ResourceAction[[#This Row],[Name]]</f>
        <v>OrderItemService/OISUListAction</v>
      </c>
      <c r="C58" s="104" t="s">
        <v>789</v>
      </c>
      <c r="D58" s="96">
        <f>IF(ResourceAction[[#This Row],[Resource Name]]="","id",COUNTA($C$1:ResourceAction[[#This Row],[Resource Name]])-1+IF(VLOOKUP('Table Seed Map'!$A$34,SeedMap[],9,0),VLOOKUP('Table Seed Map'!$A$34,SeedMap[],9,0),0))</f>
        <v>2133156</v>
      </c>
      <c r="E58" s="96">
        <f>IFERROR(VLOOKUP(ResourceAction[[#This Row],[Resource Name]],ResourceTable[[RName]:[No]],3,0),"resource")</f>
        <v>2106120</v>
      </c>
      <c r="F58" s="96" t="s">
        <v>1667</v>
      </c>
      <c r="G58" s="96"/>
      <c r="H58" s="96" t="s">
        <v>1668</v>
      </c>
      <c r="I58" s="96"/>
      <c r="J58" s="96"/>
      <c r="K58" s="95" t="str">
        <f>'Table Seed Map'!$A$35&amp;"-"&amp;(COUNTA($E$1:ResourceAction[[#This Row],[Resource]])-2)</f>
        <v>Action Method-56</v>
      </c>
      <c r="L58" s="96">
        <f>IF(ResourceAction[[#This Row],[No]]="id","id",-2+COUNTA($E$1:ResourceAction[[#This Row],[Resource]])+IF(ISNUMBER(VLOOKUP('Table Seed Map'!$A$35,SeedMap[],9,0)),VLOOKUP('Table Seed Map'!$A$35,SeedMap[],9,0),0))</f>
        <v>2134156</v>
      </c>
      <c r="M58" s="96">
        <f>IF(ResourceAction[[#This Row],[No]]="id","resource_action",ResourceAction[[#This Row],[No]])</f>
        <v>2133156</v>
      </c>
      <c r="N58" s="112" t="s">
        <v>1521</v>
      </c>
      <c r="O58" s="109">
        <f ca="1">IF(ResourceAction[[#This Row],[Resource Name]]="","idn1",IF(ResourceAction[[#This Row],[IDN1]]="","",VLOOKUP(ResourceAction[[#This Row],[IDN1]],IDNMaps[[Display]:[ID]],2,0)))</f>
        <v>2109160</v>
      </c>
      <c r="P58" s="109">
        <f ca="1">IF(ResourceAction[[#This Row],[Resource Name]]="","idn2",IF(ResourceAction[[#This Row],[IDN2]]="","",VLOOKUP(ResourceAction[[#This Row],[IDN2]],IDNMaps[[Display]:[ID]],2,0)))</f>
        <v>2123123</v>
      </c>
      <c r="Q58" s="109" t="str">
        <f>IF(ResourceAction[[#This Row],[Resource Name]]="","idn3",IF(ResourceAction[[#This Row],[IDN3]]="","",VLOOKUP(ResourceAction[[#This Row],[IDN3]],IDNMaps[[Display]:[ID]],2,0)))</f>
        <v/>
      </c>
      <c r="R58" s="109" t="str">
        <f>IF(ResourceAction[[#This Row],[Resource Name]]="","idn4",IF(ResourceAction[[#This Row],[IDN4]]="","",VLOOKUP(ResourceAction[[#This Row],[IDN4]],IDNMaps[[Display]:[ID]],2,0)))</f>
        <v/>
      </c>
      <c r="S58" s="109" t="str">
        <f>IF(ResourceAction[[#This Row],[Resource Name]]="","idn5",IF(ResourceAction[[#This Row],[IDN5]]="","",VLOOKUP(ResourceAction[[#This Row],[IDN5]],IDNMaps[[Display]:[ID]],2,0)))</f>
        <v/>
      </c>
      <c r="T58" s="110" t="s">
        <v>1669</v>
      </c>
      <c r="U58" s="110" t="s">
        <v>1670</v>
      </c>
      <c r="V58" s="110"/>
      <c r="W58" s="110"/>
      <c r="X58" s="110"/>
      <c r="Y58" s="103">
        <f>[No]</f>
        <v>2133156</v>
      </c>
      <c r="AA58" s="62" t="s">
        <v>1991</v>
      </c>
      <c r="AB58" s="69">
        <f>VLOOKUP(ActionListNData[[#This Row],[Action Name]],ResourceAction[[Display]:[No]],3,0)</f>
        <v>2133193</v>
      </c>
      <c r="AC58" s="69" t="s">
        <v>1911</v>
      </c>
      <c r="AD58" s="69"/>
      <c r="AE58" s="69" t="str">
        <f>'Table Seed Map'!$A$37&amp;"-"&amp;-1+COUNTA($AC$1:ActionListNData[[#This Row],[Resource List]])</f>
        <v>Action List-56</v>
      </c>
      <c r="AF58" s="69">
        <f>IF(ActionListNData[[#This Row],[Action Name]]="","id",-1+COUNTA($AC$1:ActionListNData[[#This Row],[Resource List]])+IF(ISNUMBER(VLOOKUP('Table Seed Map'!$A$37,SeedMap[],9,0)),VLOOKUP('Table Seed Map'!$A$37,SeedMap[],9,0),0))</f>
        <v>2136156</v>
      </c>
      <c r="AG58" s="69">
        <f>ActionListNData[[#This Row],[Action]]</f>
        <v>2133193</v>
      </c>
      <c r="AH58" s="69">
        <f>IF(ActionListNData[[#This Row],[Action Name]]="","resource_list",IFERROR(VLOOKUP(ActionListNData[[#This Row],[Resource List]],ResourceList[[ListDisplayName]:[No]],2,0),""))</f>
        <v>2123133</v>
      </c>
      <c r="AI58" s="69" t="str">
        <f>'Table Seed Map'!$A$38&amp;"-"&amp;-1+COUNTA($AD$1:ActionListNData[[#This Row],[Resource Data]])</f>
        <v>Action Data-0</v>
      </c>
      <c r="AJ5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8" s="69">
        <f>ActionListNData[[#This Row],[Action]]</f>
        <v>2133193</v>
      </c>
      <c r="AL58" s="69" t="str">
        <f>IF(ActionListNData[[#This Row],[Action Name]]="","resource_data",IFERROR(VLOOKUP(ActionListNData[[#This Row],[Resource Data]],ResourceData[[DataDisplayName]:[No]],2,0),""))</f>
        <v/>
      </c>
    </row>
    <row r="59" spans="1:38">
      <c r="A59" s="96" t="str">
        <f>'Table Seed Map'!$A$34&amp;"-"&amp;(COUNTA($E$1:ResourceAction[[#This Row],[Resource]])-2)</f>
        <v>Resource Actions-57</v>
      </c>
      <c r="B59" s="96" t="str">
        <f>ResourceAction[[#This Row],[Resource Name]]&amp;"/"&amp;ResourceAction[[#This Row],[Name]]</f>
        <v>Employee/EmployeeHubManageAction</v>
      </c>
      <c r="C59" s="104" t="s">
        <v>1337</v>
      </c>
      <c r="D59" s="96">
        <f>IF(ResourceAction[[#This Row],[Resource Name]]="","id",COUNTA($C$1:ResourceAction[[#This Row],[Resource Name]])-1+IF(VLOOKUP('Table Seed Map'!$A$34,SeedMap[],9,0),VLOOKUP('Table Seed Map'!$A$34,SeedMap[],9,0),0))</f>
        <v>2133157</v>
      </c>
      <c r="E59" s="96">
        <f>IFERROR(VLOOKUP(ResourceAction[[#This Row],[Resource Name]],ResourceTable[[RName]:[No]],3,0),"resource")</f>
        <v>2106104</v>
      </c>
      <c r="F59" s="96" t="s">
        <v>1687</v>
      </c>
      <c r="G59" s="96"/>
      <c r="H59" s="96" t="s">
        <v>1500</v>
      </c>
      <c r="I59" s="96"/>
      <c r="J59" s="96"/>
      <c r="K59" s="95" t="str">
        <f>'Table Seed Map'!$A$35&amp;"-"&amp;(COUNTA($E$1:ResourceAction[[#This Row],[Resource]])-2)</f>
        <v>Action Method-57</v>
      </c>
      <c r="L59" s="96">
        <f>IF(ResourceAction[[#This Row],[No]]="id","id",-2+COUNTA($E$1:ResourceAction[[#This Row],[Resource]])+IF(ISNUMBER(VLOOKUP('Table Seed Map'!$A$35,SeedMap[],9,0)),VLOOKUP('Table Seed Map'!$A$35,SeedMap[],9,0),0))</f>
        <v>2134157</v>
      </c>
      <c r="M59" s="96">
        <f>IF(ResourceAction[[#This Row],[No]]="id","resource_action",ResourceAction[[#This Row],[No]])</f>
        <v>2133157</v>
      </c>
      <c r="N59" s="112" t="s">
        <v>1490</v>
      </c>
      <c r="O59" s="109">
        <f ca="1">IF(ResourceAction[[#This Row],[Resource Name]]="","idn1",IF(ResourceAction[[#This Row],[IDN1]]="","",VLOOKUP(ResourceAction[[#This Row],[IDN1]],IDNMaps[[Display]:[ID]],2,0)))</f>
        <v>2109106</v>
      </c>
      <c r="P59" s="109">
        <f ca="1">IF(ResourceAction[[#This Row],[Resource Name]]="","idn2",IF(ResourceAction[[#This Row],[IDN2]]="","",VLOOKUP(ResourceAction[[#This Row],[IDN2]],IDNMaps[[Display]:[ID]],2,0)))</f>
        <v>2123108</v>
      </c>
      <c r="Q59" s="109" t="str">
        <f>IF(ResourceAction[[#This Row],[Resource Name]]="","idn3",IF(ResourceAction[[#This Row],[IDN3]]="","",VLOOKUP(ResourceAction[[#This Row],[IDN3]],IDNMaps[[Display]:[ID]],2,0)))</f>
        <v/>
      </c>
      <c r="R59" s="109" t="str">
        <f>IF(ResourceAction[[#This Row],[Resource Name]]="","idn4",IF(ResourceAction[[#This Row],[IDN4]]="","",VLOOKUP(ResourceAction[[#This Row],[IDN4]],IDNMaps[[Display]:[ID]],2,0)))</f>
        <v/>
      </c>
      <c r="S59" s="109" t="str">
        <f>IF(ResourceAction[[#This Row],[Resource Name]]="","idn5",IF(ResourceAction[[#This Row],[IDN5]]="","",VLOOKUP(ResourceAction[[#This Row],[IDN5]],IDNMaps[[Display]:[ID]],2,0)))</f>
        <v/>
      </c>
      <c r="T59" s="110" t="s">
        <v>1501</v>
      </c>
      <c r="U59" s="110" t="s">
        <v>1421</v>
      </c>
      <c r="V59" s="110"/>
      <c r="W59" s="110"/>
      <c r="X59" s="110"/>
      <c r="Y59" s="103">
        <f>[No]</f>
        <v>2133157</v>
      </c>
      <c r="AA59" s="62" t="s">
        <v>1991</v>
      </c>
      <c r="AB59" s="69">
        <f>VLOOKUP(ActionListNData[[#This Row],[Action Name]],ResourceAction[[Display]:[No]],3,0)</f>
        <v>2133193</v>
      </c>
      <c r="AC59" s="69" t="s">
        <v>1920</v>
      </c>
      <c r="AD59" s="69"/>
      <c r="AE59" s="69" t="str">
        <f>'Table Seed Map'!$A$37&amp;"-"&amp;-1+COUNTA($AC$1:ActionListNData[[#This Row],[Resource List]])</f>
        <v>Action List-57</v>
      </c>
      <c r="AF59" s="69">
        <f>IF(ActionListNData[[#This Row],[Action Name]]="","id",-1+COUNTA($AC$1:ActionListNData[[#This Row],[Resource List]])+IF(ISNUMBER(VLOOKUP('Table Seed Map'!$A$37,SeedMap[],9,0)),VLOOKUP('Table Seed Map'!$A$37,SeedMap[],9,0),0))</f>
        <v>2136157</v>
      </c>
      <c r="AG59" s="69">
        <f>ActionListNData[[#This Row],[Action]]</f>
        <v>2133193</v>
      </c>
      <c r="AH59" s="69">
        <f>IF(ActionListNData[[#This Row],[Action Name]]="","resource_list",IFERROR(VLOOKUP(ActionListNData[[#This Row],[Resource List]],ResourceList[[ListDisplayName]:[No]],2,0),""))</f>
        <v>2123134</v>
      </c>
      <c r="AI59" s="69" t="str">
        <f>'Table Seed Map'!$A$38&amp;"-"&amp;-1+COUNTA($AD$1:ActionListNData[[#This Row],[Resource Data]])</f>
        <v>Action Data-0</v>
      </c>
      <c r="AJ5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9" s="69">
        <f>ActionListNData[[#This Row],[Action]]</f>
        <v>2133193</v>
      </c>
      <c r="AL59" s="69" t="str">
        <f>IF(ActionListNData[[#This Row],[Action Name]]="","resource_data",IFERROR(VLOOKUP(ActionListNData[[#This Row],[Resource Data]],ResourceData[[DataDisplayName]:[No]],2,0),""))</f>
        <v/>
      </c>
    </row>
    <row r="60" spans="1:38">
      <c r="A60" s="96" t="str">
        <f>'Table Seed Map'!$A$34&amp;"-"&amp;(COUNTA($E$1:ResourceAction[[#This Row],[Resource]])-2)</f>
        <v>Resource Actions-58</v>
      </c>
      <c r="B60" s="96" t="str">
        <f>ResourceAction[[#This Row],[Resource Name]]&amp;"/"&amp;ResourceAction[[#This Row],[Name]]</f>
        <v>Hub/HubRecentOrderListAction</v>
      </c>
      <c r="C60" s="104" t="s">
        <v>777</v>
      </c>
      <c r="D60" s="96">
        <f>IF(ResourceAction[[#This Row],[Resource Name]]="","id",COUNTA($C$1:ResourceAction[[#This Row],[Resource Name]])-1+IF(VLOOKUP('Table Seed Map'!$A$34,SeedMap[],9,0),VLOOKUP('Table Seed Map'!$A$34,SeedMap[],9,0),0))</f>
        <v>2133158</v>
      </c>
      <c r="E60" s="96">
        <f>IFERROR(VLOOKUP(ResourceAction[[#This Row],[Resource Name]],ResourceTable[[RName]:[No]],3,0),"resource")</f>
        <v>2106107</v>
      </c>
      <c r="F60" s="96" t="s">
        <v>1702</v>
      </c>
      <c r="G60" s="96"/>
      <c r="H60" s="96" t="s">
        <v>1699</v>
      </c>
      <c r="I60" s="96"/>
      <c r="J60" s="96"/>
      <c r="K60" s="95" t="str">
        <f>'Table Seed Map'!$A$35&amp;"-"&amp;(COUNTA($E$1:ResourceAction[[#This Row],[Resource]])-2)</f>
        <v>Action Method-58</v>
      </c>
      <c r="L60" s="96">
        <f>IF(ResourceAction[[#This Row],[No]]="id","id",-2+COUNTA($E$1:ResourceAction[[#This Row],[Resource]])+IF(ISNUMBER(VLOOKUP('Table Seed Map'!$A$35,SeedMap[],9,0)),VLOOKUP('Table Seed Map'!$A$35,SeedMap[],9,0),0))</f>
        <v>2134158</v>
      </c>
      <c r="M60" s="96">
        <f>IF(ResourceAction[[#This Row],[No]]="id","resource_action",ResourceAction[[#This Row],[No]])</f>
        <v>2133158</v>
      </c>
      <c r="N60" s="112" t="s">
        <v>1521</v>
      </c>
      <c r="O60" s="109">
        <f ca="1">IF(ResourceAction[[#This Row],[Resource Name]]="","idn1",IF(ResourceAction[[#This Row],[IDN1]]="","",VLOOKUP(ResourceAction[[#This Row],[IDN1]],IDNMaps[[Display]:[ID]],2,0)))</f>
        <v>2109112</v>
      </c>
      <c r="P60" s="109">
        <f ca="1">IF(ResourceAction[[#This Row],[Resource Name]]="","idn2",IF(ResourceAction[[#This Row],[IDN2]]="","",VLOOKUP(ResourceAction[[#This Row],[IDN2]],IDNMaps[[Display]:[ID]],2,0)))</f>
        <v>2123125</v>
      </c>
      <c r="Q60" s="109" t="str">
        <f>IF(ResourceAction[[#This Row],[Resource Name]]="","idn3",IF(ResourceAction[[#This Row],[IDN3]]="","",VLOOKUP(ResourceAction[[#This Row],[IDN3]],IDNMaps[[Display]:[ID]],2,0)))</f>
        <v/>
      </c>
      <c r="R60" s="109" t="str">
        <f>IF(ResourceAction[[#This Row],[Resource Name]]="","idn4",IF(ResourceAction[[#This Row],[IDN4]]="","",VLOOKUP(ResourceAction[[#This Row],[IDN4]],IDNMaps[[Display]:[ID]],2,0)))</f>
        <v/>
      </c>
      <c r="S60" s="109" t="str">
        <f>IF(ResourceAction[[#This Row],[Resource Name]]="","idn5",IF(ResourceAction[[#This Row],[IDN5]]="","",VLOOKUP(ResourceAction[[#This Row],[IDN5]],IDNMaps[[Display]:[ID]],2,0)))</f>
        <v/>
      </c>
      <c r="T60" s="110" t="s">
        <v>1703</v>
      </c>
      <c r="U60" s="110" t="s">
        <v>1704</v>
      </c>
      <c r="V60" s="110"/>
      <c r="W60" s="110"/>
      <c r="X60" s="110"/>
      <c r="Y60" s="103">
        <f>[No]</f>
        <v>2133158</v>
      </c>
      <c r="AA60" s="62" t="s">
        <v>1991</v>
      </c>
      <c r="AB60" s="69">
        <f>VLOOKUP(ActionListNData[[#This Row],[Action Name]],ResourceAction[[Display]:[No]],3,0)</f>
        <v>2133193</v>
      </c>
      <c r="AC60" s="69" t="s">
        <v>1962</v>
      </c>
      <c r="AD60" s="69"/>
      <c r="AE60" s="69" t="str">
        <f>'Table Seed Map'!$A$37&amp;"-"&amp;-1+COUNTA($AC$1:ActionListNData[[#This Row],[Resource List]])</f>
        <v>Action List-58</v>
      </c>
      <c r="AF60" s="69">
        <f>IF(ActionListNData[[#This Row],[Action Name]]="","id",-1+COUNTA($AC$1:ActionListNData[[#This Row],[Resource List]])+IF(ISNUMBER(VLOOKUP('Table Seed Map'!$A$37,SeedMap[],9,0)),VLOOKUP('Table Seed Map'!$A$37,SeedMap[],9,0),0))</f>
        <v>2136158</v>
      </c>
      <c r="AG60" s="69">
        <f>ActionListNData[[#This Row],[Action]]</f>
        <v>2133193</v>
      </c>
      <c r="AH60" s="69">
        <f>IF(ActionListNData[[#This Row],[Action Name]]="","resource_list",IFERROR(VLOOKUP(ActionListNData[[#This Row],[Resource List]],ResourceList[[ListDisplayName]:[No]],2,0),""))</f>
        <v>2123135</v>
      </c>
      <c r="AI60" s="69" t="str">
        <f>'Table Seed Map'!$A$38&amp;"-"&amp;-1+COUNTA($AD$1:ActionListNData[[#This Row],[Resource Data]])</f>
        <v>Action Data-0</v>
      </c>
      <c r="AJ6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0" s="69">
        <f>ActionListNData[[#This Row],[Action]]</f>
        <v>2133193</v>
      </c>
      <c r="AL60" s="69" t="str">
        <f>IF(ActionListNData[[#This Row],[Action Name]]="","resource_data",IFERROR(VLOOKUP(ActionListNData[[#This Row],[Resource Data]],ResourceData[[DataDisplayName]:[No]],2,0),""))</f>
        <v/>
      </c>
    </row>
    <row r="61" spans="1:38">
      <c r="A61" s="96" t="str">
        <f>'Table Seed Map'!$A$34&amp;"-"&amp;(COUNTA($E$1:ResourceAction[[#This Row],[Resource]])-2)</f>
        <v>Resource Actions-59</v>
      </c>
      <c r="B61" s="96" t="str">
        <f>ResourceAction[[#This Row],[Resource Name]]&amp;"/"&amp;ResourceAction[[#This Row],[Name]]</f>
        <v>Shelf/ShelfDataAction</v>
      </c>
      <c r="C61" s="104" t="s">
        <v>1029</v>
      </c>
      <c r="D61" s="96">
        <f>IF(ResourceAction[[#This Row],[Resource Name]]="","id",COUNTA($C$1:ResourceAction[[#This Row],[Resource Name]])-1+IF(VLOOKUP('Table Seed Map'!$A$34,SeedMap[],9,0),VLOOKUP('Table Seed Map'!$A$34,SeedMap[],9,0),0))</f>
        <v>2133159</v>
      </c>
      <c r="E61" s="96">
        <f>IFERROR(VLOOKUP(ResourceAction[[#This Row],[Resource Name]],ResourceTable[[RName]:[No]],3,0),"resource")</f>
        <v>2106113</v>
      </c>
      <c r="F61" s="96" t="s">
        <v>1710</v>
      </c>
      <c r="G61" s="96"/>
      <c r="H61" s="96" t="s">
        <v>1711</v>
      </c>
      <c r="I61" s="96"/>
      <c r="J61" s="96"/>
      <c r="K61" s="95" t="str">
        <f>'Table Seed Map'!$A$35&amp;"-"&amp;(COUNTA($E$1:ResourceAction[[#This Row],[Resource]])-2)</f>
        <v>Action Method-59</v>
      </c>
      <c r="L61" s="96">
        <f>IF(ResourceAction[[#This Row],[No]]="id","id",-2+COUNTA($E$1:ResourceAction[[#This Row],[Resource]])+IF(ISNUMBER(VLOOKUP('Table Seed Map'!$A$35,SeedMap[],9,0)),VLOOKUP('Table Seed Map'!$A$35,SeedMap[],9,0),0))</f>
        <v>2134159</v>
      </c>
      <c r="M61" s="96">
        <f>IF(ResourceAction[[#This Row],[No]]="id","resource_action",ResourceAction[[#This Row],[No]])</f>
        <v>2133159</v>
      </c>
      <c r="N61" s="112" t="s">
        <v>130</v>
      </c>
      <c r="O61" s="109">
        <f ca="1">IF(ResourceAction[[#This Row],[Resource Name]]="","idn1",IF(ResourceAction[[#This Row],[IDN1]]="","",VLOOKUP(ResourceAction[[#This Row],[IDN1]],IDNMaps[[Display]:[ID]],2,0)))</f>
        <v>2128105</v>
      </c>
      <c r="P61" s="109" t="str">
        <f>IF(ResourceAction[[#This Row],[Resource Name]]="","idn2",IF(ResourceAction[[#This Row],[IDN2]]="","",VLOOKUP(ResourceAction[[#This Row],[IDN2]],IDNMaps[[Display]:[ID]],2,0)))</f>
        <v/>
      </c>
      <c r="Q61" s="109" t="str">
        <f>IF(ResourceAction[[#This Row],[Resource Name]]="","idn3",IF(ResourceAction[[#This Row],[IDN3]]="","",VLOOKUP(ResourceAction[[#This Row],[IDN3]],IDNMaps[[Display]:[ID]],2,0)))</f>
        <v/>
      </c>
      <c r="R61" s="109" t="str">
        <f>IF(ResourceAction[[#This Row],[Resource Name]]="","idn4",IF(ResourceAction[[#This Row],[IDN4]]="","",VLOOKUP(ResourceAction[[#This Row],[IDN4]],IDNMaps[[Display]:[ID]],2,0)))</f>
        <v/>
      </c>
      <c r="S61" s="109" t="str">
        <f>IF(ResourceAction[[#This Row],[Resource Name]]="","idn5",IF(ResourceAction[[#This Row],[IDN5]]="","",VLOOKUP(ResourceAction[[#This Row],[IDN5]],IDNMaps[[Display]:[ID]],2,0)))</f>
        <v/>
      </c>
      <c r="T61" s="110" t="s">
        <v>1712</v>
      </c>
      <c r="U61" s="110"/>
      <c r="V61" s="110"/>
      <c r="W61" s="110"/>
      <c r="X61" s="110"/>
      <c r="Y61" s="103">
        <f>[No]</f>
        <v>2133159</v>
      </c>
      <c r="AA61" s="62" t="s">
        <v>1991</v>
      </c>
      <c r="AB61" s="69">
        <f>VLOOKUP(ActionListNData[[#This Row],[Action Name]],ResourceAction[[Display]:[No]],3,0)</f>
        <v>2133193</v>
      </c>
      <c r="AC61" s="69" t="s">
        <v>1965</v>
      </c>
      <c r="AD61" s="69"/>
      <c r="AE61" s="69" t="str">
        <f>'Table Seed Map'!$A$37&amp;"-"&amp;-1+COUNTA($AC$1:ActionListNData[[#This Row],[Resource List]])</f>
        <v>Action List-59</v>
      </c>
      <c r="AF61" s="69">
        <f>IF(ActionListNData[[#This Row],[Action Name]]="","id",-1+COUNTA($AC$1:ActionListNData[[#This Row],[Resource List]])+IF(ISNUMBER(VLOOKUP('Table Seed Map'!$A$37,SeedMap[],9,0)),VLOOKUP('Table Seed Map'!$A$37,SeedMap[],9,0),0))</f>
        <v>2136159</v>
      </c>
      <c r="AG61" s="69">
        <f>ActionListNData[[#This Row],[Action]]</f>
        <v>2133193</v>
      </c>
      <c r="AH61" s="69">
        <f>IF(ActionListNData[[#This Row],[Action Name]]="","resource_list",IFERROR(VLOOKUP(ActionListNData[[#This Row],[Resource List]],ResourceList[[ListDisplayName]:[No]],2,0),""))</f>
        <v>2123138</v>
      </c>
      <c r="AI61" s="69" t="str">
        <f>'Table Seed Map'!$A$38&amp;"-"&amp;-1+COUNTA($AD$1:ActionListNData[[#This Row],[Resource Data]])</f>
        <v>Action Data-0</v>
      </c>
      <c r="AJ6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1" s="69">
        <f>ActionListNData[[#This Row],[Action]]</f>
        <v>2133193</v>
      </c>
      <c r="AL61" s="69" t="str">
        <f>IF(ActionListNData[[#This Row],[Action Name]]="","resource_data",IFERROR(VLOOKUP(ActionListNData[[#This Row],[Resource Data]],ResourceData[[DataDisplayName]:[No]],2,0),""))</f>
        <v/>
      </c>
    </row>
    <row r="62" spans="1:38">
      <c r="A62" s="96" t="str">
        <f>'Table Seed Map'!$A$34&amp;"-"&amp;(COUNTA($E$1:ResourceAction[[#This Row],[Resource]])-2)</f>
        <v>Resource Actions-60</v>
      </c>
      <c r="B62" s="96" t="str">
        <f>ResourceAction[[#This Row],[Resource Name]]&amp;"/"&amp;ResourceAction[[#This Row],[Name]]</f>
        <v>Shelf/UpdateShelfAction</v>
      </c>
      <c r="C62" s="104" t="s">
        <v>1029</v>
      </c>
      <c r="D62" s="96">
        <f>IF(ResourceAction[[#This Row],[Resource Name]]="","id",COUNTA($C$1:ResourceAction[[#This Row],[Resource Name]])-1+IF(VLOOKUP('Table Seed Map'!$A$34,SeedMap[],9,0),VLOOKUP('Table Seed Map'!$A$34,SeedMap[],9,0),0))</f>
        <v>2133160</v>
      </c>
      <c r="E62" s="96">
        <f>IFERROR(VLOOKUP(ResourceAction[[#This Row],[Resource Name]],ResourceTable[[RName]:[No]],3,0),"resource")</f>
        <v>2106113</v>
      </c>
      <c r="F62" s="96" t="s">
        <v>1714</v>
      </c>
      <c r="G62" s="96"/>
      <c r="H62" s="96" t="s">
        <v>1715</v>
      </c>
      <c r="I62" s="96"/>
      <c r="J62" s="96"/>
      <c r="K62" s="95" t="str">
        <f>'Table Seed Map'!$A$35&amp;"-"&amp;(COUNTA($E$1:ResourceAction[[#This Row],[Resource]])-2)</f>
        <v>Action Method-60</v>
      </c>
      <c r="L62" s="96">
        <f>IF(ResourceAction[[#This Row],[No]]="id","id",-2+COUNTA($E$1:ResourceAction[[#This Row],[Resource]])+IF(ISNUMBER(VLOOKUP('Table Seed Map'!$A$35,SeedMap[],9,0)),VLOOKUP('Table Seed Map'!$A$35,SeedMap[],9,0),0))</f>
        <v>2134160</v>
      </c>
      <c r="M62" s="96">
        <f>IF(ResourceAction[[#This Row],[No]]="id","resource_action",ResourceAction[[#This Row],[No]])</f>
        <v>2133160</v>
      </c>
      <c r="N62" s="112" t="s">
        <v>224</v>
      </c>
      <c r="O62" s="109">
        <f ca="1">IF(ResourceAction[[#This Row],[Resource Name]]="","idn1",IF(ResourceAction[[#This Row],[IDN1]]="","",VLOOKUP(ResourceAction[[#This Row],[IDN1]],IDNMaps[[Display]:[ID]],2,0)))</f>
        <v>2110110</v>
      </c>
      <c r="P62" s="109">
        <f ca="1">IF(ResourceAction[[#This Row],[Resource Name]]="","idn2",IF(ResourceAction[[#This Row],[IDN2]]="","",VLOOKUP(ResourceAction[[#This Row],[IDN2]],IDNMaps[[Display]:[ID]],2,0)))</f>
        <v>2128105</v>
      </c>
      <c r="Q62" s="109" t="str">
        <f>IF(ResourceAction[[#This Row],[Resource Name]]="","idn3",IF(ResourceAction[[#This Row],[IDN3]]="","",VLOOKUP(ResourceAction[[#This Row],[IDN3]],IDNMaps[[Display]:[ID]],2,0)))</f>
        <v/>
      </c>
      <c r="R62" s="109" t="str">
        <f>IF(ResourceAction[[#This Row],[Resource Name]]="","idn4",IF(ResourceAction[[#This Row],[IDN4]]="","",VLOOKUP(ResourceAction[[#This Row],[IDN4]],IDNMaps[[Display]:[ID]],2,0)))</f>
        <v/>
      </c>
      <c r="S62" s="109" t="str">
        <f>IF(ResourceAction[[#This Row],[Resource Name]]="","idn5",IF(ResourceAction[[#This Row],[IDN5]]="","",VLOOKUP(ResourceAction[[#This Row],[IDN5]],IDNMaps[[Display]:[ID]],2,0)))</f>
        <v/>
      </c>
      <c r="T62" s="110" t="s">
        <v>1299</v>
      </c>
      <c r="U62" s="110" t="s">
        <v>1712</v>
      </c>
      <c r="V62" s="110"/>
      <c r="W62" s="110"/>
      <c r="X62" s="110"/>
      <c r="Y62" s="103">
        <f>[No]</f>
        <v>2133160</v>
      </c>
      <c r="AA62" s="62" t="s">
        <v>1994</v>
      </c>
      <c r="AB62" s="69">
        <f>VLOOKUP(ActionListNData[[#This Row],[Action Name]],ResourceAction[[Display]:[No]],3,0)</f>
        <v>2133194</v>
      </c>
      <c r="AC62" s="69" t="s">
        <v>1655</v>
      </c>
      <c r="AD62" s="69"/>
      <c r="AE62" s="69" t="str">
        <f>'Table Seed Map'!$A$37&amp;"-"&amp;-1+COUNTA($AC$1:ActionListNData[[#This Row],[Resource List]])</f>
        <v>Action List-60</v>
      </c>
      <c r="AF62" s="69">
        <f>IF(ActionListNData[[#This Row],[Action Name]]="","id",-1+COUNTA($AC$1:ActionListNData[[#This Row],[Resource List]])+IF(ISNUMBER(VLOOKUP('Table Seed Map'!$A$37,SeedMap[],9,0)),VLOOKUP('Table Seed Map'!$A$37,SeedMap[],9,0),0))</f>
        <v>2136160</v>
      </c>
      <c r="AG62" s="69">
        <f>ActionListNData[[#This Row],[Action]]</f>
        <v>2133194</v>
      </c>
      <c r="AH62" s="69">
        <f>IF(ActionListNData[[#This Row],[Action Name]]="","resource_list",IFERROR(VLOOKUP(ActionListNData[[#This Row],[Resource List]],ResourceList[[ListDisplayName]:[No]],2,0),""))</f>
        <v>2123123</v>
      </c>
      <c r="AI62" s="69" t="str">
        <f>'Table Seed Map'!$A$38&amp;"-"&amp;-1+COUNTA($AD$1:ActionListNData[[#This Row],[Resource Data]])</f>
        <v>Action Data-0</v>
      </c>
      <c r="AJ6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2" s="69">
        <f>ActionListNData[[#This Row],[Action]]</f>
        <v>2133194</v>
      </c>
      <c r="AL62" s="69" t="str">
        <f>IF(ActionListNData[[#This Row],[Action Name]]="","resource_data",IFERROR(VLOOKUP(ActionListNData[[#This Row],[Resource Data]],ResourceData[[DataDisplayName]:[No]],2,0),""))</f>
        <v/>
      </c>
    </row>
    <row r="63" spans="1:38">
      <c r="A63" s="96" t="str">
        <f>'Table Seed Map'!$A$34&amp;"-"&amp;(COUNTA($E$1:ResourceAction[[#This Row],[Resource]])-2)</f>
        <v>Resource Actions-61</v>
      </c>
      <c r="B63" s="96" t="str">
        <f>ResourceAction[[#This Row],[Resource Name]]&amp;"/"&amp;ResourceAction[[#This Row],[Name]]</f>
        <v>Customer/CustomerOrdersList</v>
      </c>
      <c r="C63" s="104" t="s">
        <v>785</v>
      </c>
      <c r="D63" s="96">
        <f>IF(ResourceAction[[#This Row],[Resource Name]]="","id",COUNTA($C$1:ResourceAction[[#This Row],[Resource Name]])-1+IF(VLOOKUP('Table Seed Map'!$A$34,SeedMap[],9,0),VLOOKUP('Table Seed Map'!$A$34,SeedMap[],9,0),0))</f>
        <v>2133161</v>
      </c>
      <c r="E63" s="96">
        <f>IFERROR(VLOOKUP(ResourceAction[[#This Row],[Resource Name]],ResourceTable[[RName]:[No]],3,0),"resource")</f>
        <v>2106105</v>
      </c>
      <c r="F63" s="96" t="s">
        <v>1719</v>
      </c>
      <c r="G63" s="96"/>
      <c r="H63" s="96" t="s">
        <v>905</v>
      </c>
      <c r="I63" s="96"/>
      <c r="J63" s="96"/>
      <c r="K63" s="95" t="str">
        <f>'Table Seed Map'!$A$35&amp;"-"&amp;(COUNTA($E$1:ResourceAction[[#This Row],[Resource]])-2)</f>
        <v>Action Method-61</v>
      </c>
      <c r="L63" s="96">
        <f>IF(ResourceAction[[#This Row],[No]]="id","id",-2+COUNTA($E$1:ResourceAction[[#This Row],[Resource]])+IF(ISNUMBER(VLOOKUP('Table Seed Map'!$A$35,SeedMap[],9,0)),VLOOKUP('Table Seed Map'!$A$35,SeedMap[],9,0),0))</f>
        <v>2134161</v>
      </c>
      <c r="M63" s="96">
        <f>IF(ResourceAction[[#This Row],[No]]="id","resource_action",ResourceAction[[#This Row],[No]])</f>
        <v>2133161</v>
      </c>
      <c r="N63" s="112" t="s">
        <v>1521</v>
      </c>
      <c r="O63" s="109">
        <f ca="1">IF(ResourceAction[[#This Row],[Resource Name]]="","idn1",IF(ResourceAction[[#This Row],[IDN1]]="","",VLOOKUP(ResourceAction[[#This Row],[IDN1]],IDNMaps[[Display]:[ID]],2,0)))</f>
        <v>2109182</v>
      </c>
      <c r="P63" s="109">
        <f ca="1">IF(ResourceAction[[#This Row],[Resource Name]]="","idn2",IF(ResourceAction[[#This Row],[IDN2]]="","",VLOOKUP(ResourceAction[[#This Row],[IDN2]],IDNMaps[[Display]:[ID]],2,0)))</f>
        <v>2123114</v>
      </c>
      <c r="Q63" s="109" t="str">
        <f>IF(ResourceAction[[#This Row],[Resource Name]]="","idn3",IF(ResourceAction[[#This Row],[IDN3]]="","",VLOOKUP(ResourceAction[[#This Row],[IDN3]],IDNMaps[[Display]:[ID]],2,0)))</f>
        <v/>
      </c>
      <c r="R63" s="109" t="str">
        <f>IF(ResourceAction[[#This Row],[Resource Name]]="","idn4",IF(ResourceAction[[#This Row],[IDN4]]="","",VLOOKUP(ResourceAction[[#This Row],[IDN4]],IDNMaps[[Display]:[ID]],2,0)))</f>
        <v/>
      </c>
      <c r="S63" s="109" t="str">
        <f>IF(ResourceAction[[#This Row],[Resource Name]]="","idn5",IF(ResourceAction[[#This Row],[IDN5]]="","",VLOOKUP(ResourceAction[[#This Row],[IDN5]],IDNMaps[[Display]:[ID]],2,0)))</f>
        <v/>
      </c>
      <c r="T63" s="110" t="s">
        <v>1721</v>
      </c>
      <c r="U63" s="110" t="s">
        <v>1427</v>
      </c>
      <c r="V63" s="110"/>
      <c r="W63" s="110"/>
      <c r="X63" s="110"/>
      <c r="Y63" s="103">
        <f>[No]</f>
        <v>2133161</v>
      </c>
      <c r="AA63" s="62" t="s">
        <v>1994</v>
      </c>
      <c r="AB63" s="69">
        <f>VLOOKUP(ActionListNData[[#This Row],[Action Name]],ResourceAction[[Display]:[No]],3,0)</f>
        <v>2133194</v>
      </c>
      <c r="AC63" s="69" t="s">
        <v>1911</v>
      </c>
      <c r="AD63" s="69"/>
      <c r="AE63" s="69" t="str">
        <f>'Table Seed Map'!$A$37&amp;"-"&amp;-1+COUNTA($AC$1:ActionListNData[[#This Row],[Resource List]])</f>
        <v>Action List-61</v>
      </c>
      <c r="AF63" s="69">
        <f>IF(ActionListNData[[#This Row],[Action Name]]="","id",-1+COUNTA($AC$1:ActionListNData[[#This Row],[Resource List]])+IF(ISNUMBER(VLOOKUP('Table Seed Map'!$A$37,SeedMap[],9,0)),VLOOKUP('Table Seed Map'!$A$37,SeedMap[],9,0),0))</f>
        <v>2136161</v>
      </c>
      <c r="AG63" s="69">
        <f>ActionListNData[[#This Row],[Action]]</f>
        <v>2133194</v>
      </c>
      <c r="AH63" s="69">
        <f>IF(ActionListNData[[#This Row],[Action Name]]="","resource_list",IFERROR(VLOOKUP(ActionListNData[[#This Row],[Resource List]],ResourceList[[ListDisplayName]:[No]],2,0),""))</f>
        <v>2123133</v>
      </c>
      <c r="AI63" s="69" t="str">
        <f>'Table Seed Map'!$A$38&amp;"-"&amp;-1+COUNTA($AD$1:ActionListNData[[#This Row],[Resource Data]])</f>
        <v>Action Data-0</v>
      </c>
      <c r="AJ6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3" s="69">
        <f>ActionListNData[[#This Row],[Action]]</f>
        <v>2133194</v>
      </c>
      <c r="AL63" s="69" t="str">
        <f>IF(ActionListNData[[#This Row],[Action Name]]="","resource_data",IFERROR(VLOOKUP(ActionListNData[[#This Row],[Resource Data]],ResourceData[[DataDisplayName]:[No]],2,0),""))</f>
        <v/>
      </c>
    </row>
    <row r="64" spans="1:38">
      <c r="A64" s="96" t="str">
        <f>'Table Seed Map'!$A$34&amp;"-"&amp;(COUNTA($E$1:ResourceAction[[#This Row],[Resource]])-2)</f>
        <v>Resource Actions-62</v>
      </c>
      <c r="B64" s="96" t="str">
        <f>ResourceAction[[#This Row],[Resource Name]]&amp;"/"&amp;ResourceAction[[#This Row],[Name]]</f>
        <v>OrderItem/EditOrderItemAction</v>
      </c>
      <c r="C64" s="104" t="s">
        <v>788</v>
      </c>
      <c r="D64" s="96">
        <f>IF(ResourceAction[[#This Row],[Resource Name]]="","id",COUNTA($C$1:ResourceAction[[#This Row],[Resource Name]])-1+IF(VLOOKUP('Table Seed Map'!$A$34,SeedMap[],9,0),VLOOKUP('Table Seed Map'!$A$34,SeedMap[],9,0),0))</f>
        <v>2133162</v>
      </c>
      <c r="E64" s="96">
        <f>IFERROR(VLOOKUP(ResourceAction[[#This Row],[Resource Name]],ResourceTable[[RName]:[No]],3,0),"resource")</f>
        <v>2106119</v>
      </c>
      <c r="F64" s="96" t="s">
        <v>1731</v>
      </c>
      <c r="G64" s="96"/>
      <c r="H64" s="96" t="s">
        <v>1732</v>
      </c>
      <c r="I64" s="96"/>
      <c r="J64" s="96"/>
      <c r="K64" s="95" t="str">
        <f>'Table Seed Map'!$A$35&amp;"-"&amp;(COUNTA($E$1:ResourceAction[[#This Row],[Resource]])-2)</f>
        <v>Action Method-62</v>
      </c>
      <c r="L64" s="96">
        <f>IF(ResourceAction[[#This Row],[No]]="id","id",-2+COUNTA($E$1:ResourceAction[[#This Row],[Resource]])+IF(ISNUMBER(VLOOKUP('Table Seed Map'!$A$35,SeedMap[],9,0)),VLOOKUP('Table Seed Map'!$A$35,SeedMap[],9,0),0))</f>
        <v>2134162</v>
      </c>
      <c r="M64" s="96">
        <f>IF(ResourceAction[[#This Row],[No]]="id","resource_action",ResourceAction[[#This Row],[No]])</f>
        <v>2133162</v>
      </c>
      <c r="N64" s="112" t="s">
        <v>224</v>
      </c>
      <c r="O64" s="109">
        <f ca="1">IF(ResourceAction[[#This Row],[Resource Name]]="","idn1",IF(ResourceAction[[#This Row],[IDN1]]="","",VLOOKUP(ResourceAction[[#This Row],[IDN1]],IDNMaps[[Display]:[ID]],2,0)))</f>
        <v>2110118</v>
      </c>
      <c r="P64" s="109">
        <f ca="1">IF(ResourceAction[[#This Row],[Resource Name]]="","idn2",IF(ResourceAction[[#This Row],[IDN2]]="","",VLOOKUP(ResourceAction[[#This Row],[IDN2]],IDNMaps[[Display]:[ID]],2,0)))</f>
        <v>2128106</v>
      </c>
      <c r="Q64" s="109" t="str">
        <f>IF(ResourceAction[[#This Row],[Resource Name]]="","idn3",IF(ResourceAction[[#This Row],[IDN3]]="","",VLOOKUP(ResourceAction[[#This Row],[IDN3]],IDNMaps[[Display]:[ID]],2,0)))</f>
        <v/>
      </c>
      <c r="R64" s="109" t="str">
        <f>IF(ResourceAction[[#This Row],[Resource Name]]="","idn4",IF(ResourceAction[[#This Row],[IDN4]]="","",VLOOKUP(ResourceAction[[#This Row],[IDN4]],IDNMaps[[Display]:[ID]],2,0)))</f>
        <v/>
      </c>
      <c r="S64" s="109" t="str">
        <f>IF(ResourceAction[[#This Row],[Resource Name]]="","idn5",IF(ResourceAction[[#This Row],[IDN5]]="","",VLOOKUP(ResourceAction[[#This Row],[IDN5]],IDNMaps[[Display]:[ID]],2,0)))</f>
        <v/>
      </c>
      <c r="T64" s="110" t="s">
        <v>1733</v>
      </c>
      <c r="U64" s="110" t="s">
        <v>1730</v>
      </c>
      <c r="V64" s="110"/>
      <c r="W64" s="110"/>
      <c r="X64" s="110"/>
      <c r="Y64" s="103">
        <f>[No]</f>
        <v>2133162</v>
      </c>
      <c r="AA64" s="62" t="s">
        <v>1994</v>
      </c>
      <c r="AB64" s="69">
        <f>VLOOKUP(ActionListNData[[#This Row],[Action Name]],ResourceAction[[Display]:[No]],3,0)</f>
        <v>2133194</v>
      </c>
      <c r="AC64" s="69" t="s">
        <v>1920</v>
      </c>
      <c r="AD64" s="69"/>
      <c r="AE64" s="69" t="str">
        <f>'Table Seed Map'!$A$37&amp;"-"&amp;-1+COUNTA($AC$1:ActionListNData[[#This Row],[Resource List]])</f>
        <v>Action List-62</v>
      </c>
      <c r="AF64" s="69">
        <f>IF(ActionListNData[[#This Row],[Action Name]]="","id",-1+COUNTA($AC$1:ActionListNData[[#This Row],[Resource List]])+IF(ISNUMBER(VLOOKUP('Table Seed Map'!$A$37,SeedMap[],9,0)),VLOOKUP('Table Seed Map'!$A$37,SeedMap[],9,0),0))</f>
        <v>2136162</v>
      </c>
      <c r="AG64" s="69">
        <f>ActionListNData[[#This Row],[Action]]</f>
        <v>2133194</v>
      </c>
      <c r="AH64" s="69">
        <f>IF(ActionListNData[[#This Row],[Action Name]]="","resource_list",IFERROR(VLOOKUP(ActionListNData[[#This Row],[Resource List]],ResourceList[[ListDisplayName]:[No]],2,0),""))</f>
        <v>2123134</v>
      </c>
      <c r="AI64" s="69" t="str">
        <f>'Table Seed Map'!$A$38&amp;"-"&amp;-1+COUNTA($AD$1:ActionListNData[[#This Row],[Resource Data]])</f>
        <v>Action Data-0</v>
      </c>
      <c r="AJ6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4" s="69">
        <f>ActionListNData[[#This Row],[Action]]</f>
        <v>2133194</v>
      </c>
      <c r="AL64" s="69" t="str">
        <f>IF(ActionListNData[[#This Row],[Action Name]]="","resource_data",IFERROR(VLOOKUP(ActionListNData[[#This Row],[Resource Data]],ResourceData[[DataDisplayName]:[No]],2,0),""))</f>
        <v/>
      </c>
    </row>
    <row r="65" spans="1:38">
      <c r="A65" s="38" t="str">
        <f>'Table Seed Map'!$A$34&amp;"-"&amp;(COUNTA($E$1:ResourceAction[[#This Row],[Resource]])-2)</f>
        <v>Resource Actions-63</v>
      </c>
      <c r="B65" s="38" t="str">
        <f>ResourceAction[[#This Row],[Resource Name]]&amp;"/"&amp;ResourceAction[[#This Row],[Name]]</f>
        <v>Customer/AddCustomerOrderAction</v>
      </c>
      <c r="C65" s="104" t="s">
        <v>785</v>
      </c>
      <c r="D65" s="38">
        <f>IF(ResourceAction[[#This Row],[Resource Name]]="","id",COUNTA($C$1:ResourceAction[[#This Row],[Resource Name]])-1+IF(VLOOKUP('Table Seed Map'!$A$34,SeedMap[],9,0),VLOOKUP('Table Seed Map'!$A$34,SeedMap[],9,0),0))</f>
        <v>2133163</v>
      </c>
      <c r="E65" s="38">
        <f>IFERROR(VLOOKUP(ResourceAction[[#This Row],[Resource Name]],ResourceTable[[RName]:[No]],3,0),"resource")</f>
        <v>2106105</v>
      </c>
      <c r="F65" s="38" t="s">
        <v>1742</v>
      </c>
      <c r="G65" s="38"/>
      <c r="H65" s="38" t="s">
        <v>1735</v>
      </c>
      <c r="I65" s="38"/>
      <c r="J65" s="38"/>
      <c r="K65" s="80" t="str">
        <f>'Table Seed Map'!$A$35&amp;"-"&amp;(COUNTA($E$1:ResourceAction[[#This Row],[Resource]])-2)</f>
        <v>Action Method-63</v>
      </c>
      <c r="L65" s="38">
        <f>IF(ResourceAction[[#This Row],[No]]="id","id",-2+COUNTA($E$1:ResourceAction[[#This Row],[Resource]])+IF(ISNUMBER(VLOOKUP('Table Seed Map'!$A$35,SeedMap[],9,0)),VLOOKUP('Table Seed Map'!$A$35,SeedMap[],9,0),0))</f>
        <v>2134163</v>
      </c>
      <c r="M65" s="38">
        <f>IF(ResourceAction[[#This Row],[No]]="id","resource_action",ResourceAction[[#This Row],[No]])</f>
        <v>2133163</v>
      </c>
      <c r="N65" s="112" t="s">
        <v>1596</v>
      </c>
      <c r="O65" s="92">
        <f ca="1">IF(ResourceAction[[#This Row],[Resource Name]]="","idn1",IF(ResourceAction[[#This Row],[IDN1]]="","",VLOOKUP(ResourceAction[[#This Row],[IDN1]],IDNMaps[[Display]:[ID]],2,0)))</f>
        <v>2109182</v>
      </c>
      <c r="P65" s="92">
        <f ca="1">IF(ResourceAction[[#This Row],[Resource Name]]="","idn2",IF(ResourceAction[[#This Row],[IDN2]]="","",VLOOKUP(ResourceAction[[#This Row],[IDN2]],IDNMaps[[Display]:[ID]],2,0)))</f>
        <v>2110116</v>
      </c>
      <c r="Q65" s="92">
        <f ca="1">IF(ResourceAction[[#This Row],[Resource Name]]="","idn3",IF(ResourceAction[[#This Row],[IDN3]]="","",VLOOKUP(ResourceAction[[#This Row],[IDN3]],IDNMaps[[Display]:[ID]],2,0)))</f>
        <v>2111149</v>
      </c>
      <c r="R65" s="92" t="str">
        <f>IF(ResourceAction[[#This Row],[Resource Name]]="","idn4",IF(ResourceAction[[#This Row],[IDN4]]="","",VLOOKUP(ResourceAction[[#This Row],[IDN4]],IDNMaps[[Display]:[ID]],2,0)))</f>
        <v/>
      </c>
      <c r="S65" s="92" t="str">
        <f>IF(ResourceAction[[#This Row],[Resource Name]]="","idn5",IF(ResourceAction[[#This Row],[IDN5]]="","",VLOOKUP(ResourceAction[[#This Row],[IDN5]],IDNMaps[[Display]:[ID]],2,0)))</f>
        <v/>
      </c>
      <c r="T65" s="110" t="s">
        <v>1721</v>
      </c>
      <c r="U65" s="110" t="s">
        <v>1303</v>
      </c>
      <c r="V65" s="93" t="s">
        <v>1736</v>
      </c>
      <c r="W65" s="93"/>
      <c r="X65" s="93"/>
      <c r="Y65" s="55">
        <f>[No]</f>
        <v>2133163</v>
      </c>
      <c r="AA65" s="62" t="s">
        <v>1994</v>
      </c>
      <c r="AB65" s="69">
        <f>VLOOKUP(ActionListNData[[#This Row],[Action Name]],ResourceAction[[Display]:[No]],3,0)</f>
        <v>2133194</v>
      </c>
      <c r="AC65" s="69" t="s">
        <v>1963</v>
      </c>
      <c r="AD65" s="69"/>
      <c r="AE65" s="69" t="str">
        <f>'Table Seed Map'!$A$37&amp;"-"&amp;-1+COUNTA($AC$1:ActionListNData[[#This Row],[Resource List]])</f>
        <v>Action List-63</v>
      </c>
      <c r="AF65" s="69">
        <f>IF(ActionListNData[[#This Row],[Action Name]]="","id",-1+COUNTA($AC$1:ActionListNData[[#This Row],[Resource List]])+IF(ISNUMBER(VLOOKUP('Table Seed Map'!$A$37,SeedMap[],9,0)),VLOOKUP('Table Seed Map'!$A$37,SeedMap[],9,0),0))</f>
        <v>2136163</v>
      </c>
      <c r="AG65" s="69">
        <f>ActionListNData[[#This Row],[Action]]</f>
        <v>2133194</v>
      </c>
      <c r="AH65" s="69">
        <f>IF(ActionListNData[[#This Row],[Action Name]]="","resource_list",IFERROR(VLOOKUP(ActionListNData[[#This Row],[Resource List]],ResourceList[[ListDisplayName]:[No]],2,0),""))</f>
        <v>2123136</v>
      </c>
      <c r="AI65" s="69" t="str">
        <f>'Table Seed Map'!$A$38&amp;"-"&amp;-1+COUNTA($AD$1:ActionListNData[[#This Row],[Resource Data]])</f>
        <v>Action Data-0</v>
      </c>
      <c r="AJ6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5" s="69">
        <f>ActionListNData[[#This Row],[Action]]</f>
        <v>2133194</v>
      </c>
      <c r="AL65" s="69" t="str">
        <f>IF(ActionListNData[[#This Row],[Action Name]]="","resource_data",IFERROR(VLOOKUP(ActionListNData[[#This Row],[Resource Data]],ResourceData[[DataDisplayName]:[No]],2,0),""))</f>
        <v/>
      </c>
    </row>
    <row r="66" spans="1:38">
      <c r="A66" s="38" t="str">
        <f>'Table Seed Map'!$A$34&amp;"-"&amp;(COUNTA($E$1:ResourceAction[[#This Row],[Resource]])-2)</f>
        <v>Resource Actions-64</v>
      </c>
      <c r="B66" s="38" t="str">
        <f>ResourceAction[[#This Row],[Resource Name]]&amp;"/"&amp;ResourceAction[[#This Row],[Name]]</f>
        <v>ItemService/EditItemServiceAction</v>
      </c>
      <c r="C66" s="104" t="s">
        <v>780</v>
      </c>
      <c r="D66" s="38">
        <f>IF(ResourceAction[[#This Row],[Resource Name]]="","id",COUNTA($C$1:ResourceAction[[#This Row],[Resource Name]])-1+IF(VLOOKUP('Table Seed Map'!$A$34,SeedMap[],9,0),VLOOKUP('Table Seed Map'!$A$34,SeedMap[],9,0),0))</f>
        <v>2133164</v>
      </c>
      <c r="E66" s="38">
        <f>IFERROR(VLOOKUP(ResourceAction[[#This Row],[Resource Name]],ResourceTable[[RName]:[No]],3,0),"resource")</f>
        <v>2106110</v>
      </c>
      <c r="F66" s="38" t="s">
        <v>1737</v>
      </c>
      <c r="G66" s="38"/>
      <c r="H66" s="38" t="s">
        <v>1732</v>
      </c>
      <c r="I66" s="38"/>
      <c r="J66" s="38"/>
      <c r="K66" s="80" t="str">
        <f>'Table Seed Map'!$A$35&amp;"-"&amp;(COUNTA($E$1:ResourceAction[[#This Row],[Resource]])-2)</f>
        <v>Action Method-64</v>
      </c>
      <c r="L66" s="38">
        <f>IF(ResourceAction[[#This Row],[No]]="id","id",-2+COUNTA($E$1:ResourceAction[[#This Row],[Resource]])+IF(ISNUMBER(VLOOKUP('Table Seed Map'!$A$35,SeedMap[],9,0)),VLOOKUP('Table Seed Map'!$A$35,SeedMap[],9,0),0))</f>
        <v>2134164</v>
      </c>
      <c r="M66" s="38">
        <f>IF(ResourceAction[[#This Row],[No]]="id","resource_action",ResourceAction[[#This Row],[No]])</f>
        <v>2133164</v>
      </c>
      <c r="N66" s="112" t="s">
        <v>224</v>
      </c>
      <c r="O66" s="92">
        <f ca="1">IF(ResourceAction[[#This Row],[Resource Name]]="","idn1",IF(ResourceAction[[#This Row],[IDN1]]="","",VLOOKUP(ResourceAction[[#This Row],[IDN1]],IDNMaps[[Display]:[ID]],2,0)))</f>
        <v>2110109</v>
      </c>
      <c r="P66" s="92">
        <f ca="1">IF(ResourceAction[[#This Row],[Resource Name]]="","idn2",IF(ResourceAction[[#This Row],[IDN2]]="","",VLOOKUP(ResourceAction[[#This Row],[IDN2]],IDNMaps[[Display]:[ID]],2,0)))</f>
        <v>2128107</v>
      </c>
      <c r="Q66" s="92" t="str">
        <f>IF(ResourceAction[[#This Row],[Resource Name]]="","idn3",IF(ResourceAction[[#This Row],[IDN3]]="","",VLOOKUP(ResourceAction[[#This Row],[IDN3]],IDNMaps[[Display]:[ID]],2,0)))</f>
        <v/>
      </c>
      <c r="R66" s="92" t="str">
        <f>IF(ResourceAction[[#This Row],[Resource Name]]="","idn4",IF(ResourceAction[[#This Row],[IDN4]]="","",VLOOKUP(ResourceAction[[#This Row],[IDN4]],IDNMaps[[Display]:[ID]],2,0)))</f>
        <v/>
      </c>
      <c r="S66" s="92" t="str">
        <f>IF(ResourceAction[[#This Row],[Resource Name]]="","idn5",IF(ResourceAction[[#This Row],[IDN5]]="","",VLOOKUP(ResourceAction[[#This Row],[IDN5]],IDNMaps[[Display]:[ID]],2,0)))</f>
        <v/>
      </c>
      <c r="T66" s="110" t="s">
        <v>1738</v>
      </c>
      <c r="U66" s="110" t="s">
        <v>1740</v>
      </c>
      <c r="V66" s="93"/>
      <c r="W66" s="93"/>
      <c r="X66" s="93"/>
      <c r="Y66" s="55">
        <f>[No]</f>
        <v>2133164</v>
      </c>
      <c r="AA66" s="62" t="s">
        <v>1994</v>
      </c>
      <c r="AB66" s="69">
        <f>VLOOKUP(ActionListNData[[#This Row],[Action Name]],ResourceAction[[Display]:[No]],3,0)</f>
        <v>2133194</v>
      </c>
      <c r="AC66" s="69" t="s">
        <v>1966</v>
      </c>
      <c r="AD66" s="69"/>
      <c r="AE66" s="69" t="str">
        <f>'Table Seed Map'!$A$37&amp;"-"&amp;-1+COUNTA($AC$1:ActionListNData[[#This Row],[Resource List]])</f>
        <v>Action List-64</v>
      </c>
      <c r="AF66" s="69">
        <f>IF(ActionListNData[[#This Row],[Action Name]]="","id",-1+COUNTA($AC$1:ActionListNData[[#This Row],[Resource List]])+IF(ISNUMBER(VLOOKUP('Table Seed Map'!$A$37,SeedMap[],9,0)),VLOOKUP('Table Seed Map'!$A$37,SeedMap[],9,0),0))</f>
        <v>2136164</v>
      </c>
      <c r="AG66" s="69">
        <f>ActionListNData[[#This Row],[Action]]</f>
        <v>2133194</v>
      </c>
      <c r="AH66" s="69">
        <f>IF(ActionListNData[[#This Row],[Action Name]]="","resource_list",IFERROR(VLOOKUP(ActionListNData[[#This Row],[Resource List]],ResourceList[[ListDisplayName]:[No]],2,0),""))</f>
        <v>2123139</v>
      </c>
      <c r="AI66" s="69" t="str">
        <f>'Table Seed Map'!$A$38&amp;"-"&amp;-1+COUNTA($AD$1:ActionListNData[[#This Row],[Resource Data]])</f>
        <v>Action Data-0</v>
      </c>
      <c r="AJ6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6" s="69">
        <f>ActionListNData[[#This Row],[Action]]</f>
        <v>2133194</v>
      </c>
      <c r="AL66" s="69" t="str">
        <f>IF(ActionListNData[[#This Row],[Action Name]]="","resource_data",IFERROR(VLOOKUP(ActionListNData[[#This Row],[Resource Data]],ResourceData[[DataDisplayName]:[No]],2,0),""))</f>
        <v/>
      </c>
    </row>
    <row r="67" spans="1:38">
      <c r="A67" s="38" t="str">
        <f>'Table Seed Map'!$A$34&amp;"-"&amp;(COUNTA($E$1:ResourceAction[[#This Row],[Resource]])-2)</f>
        <v>Resource Actions-65</v>
      </c>
      <c r="B67" s="38" t="str">
        <f>ResourceAction[[#This Row],[Resource Name]]&amp;"/"&amp;ResourceAction[[#This Row],[Name]]</f>
        <v>IdentityLabel/EditLabelAction</v>
      </c>
      <c r="C67" s="104" t="s">
        <v>786</v>
      </c>
      <c r="D67" s="38">
        <f>IF(ResourceAction[[#This Row],[Resource Name]]="","id",COUNTA($C$1:ResourceAction[[#This Row],[Resource Name]])-1+IF(VLOOKUP('Table Seed Map'!$A$34,SeedMap[],9,0),VLOOKUP('Table Seed Map'!$A$34,SeedMap[],9,0),0))</f>
        <v>2133165</v>
      </c>
      <c r="E67" s="38">
        <f>IFERROR(VLOOKUP(ResourceAction[[#This Row],[Resource Name]],ResourceTable[[RName]:[No]],3,0),"resource")</f>
        <v>2106117</v>
      </c>
      <c r="F67" s="38" t="s">
        <v>1745</v>
      </c>
      <c r="G67" s="38"/>
      <c r="H67" s="38" t="s">
        <v>1746</v>
      </c>
      <c r="I67" s="38"/>
      <c r="J67" s="38"/>
      <c r="K67" s="80" t="str">
        <f>'Table Seed Map'!$A$35&amp;"-"&amp;(COUNTA($E$1:ResourceAction[[#This Row],[Resource]])-2)</f>
        <v>Action Method-65</v>
      </c>
      <c r="L67" s="38">
        <f>IF(ResourceAction[[#This Row],[No]]="id","id",-2+COUNTA($E$1:ResourceAction[[#This Row],[Resource]])+IF(ISNUMBER(VLOOKUP('Table Seed Map'!$A$35,SeedMap[],9,0)),VLOOKUP('Table Seed Map'!$A$35,SeedMap[],9,0),0))</f>
        <v>2134165</v>
      </c>
      <c r="M67" s="38">
        <f>IF(ResourceAction[[#This Row],[No]]="id","resource_action",ResourceAction[[#This Row],[No]])</f>
        <v>2133165</v>
      </c>
      <c r="N67" s="112" t="s">
        <v>224</v>
      </c>
      <c r="O67" s="92">
        <f ca="1">IF(ResourceAction[[#This Row],[Resource Name]]="","idn1",IF(ResourceAction[[#This Row],[IDN1]]="","",VLOOKUP(ResourceAction[[#This Row],[IDN1]],IDNMaps[[Display]:[ID]],2,0)))</f>
        <v>2110115</v>
      </c>
      <c r="P67" s="92">
        <f ca="1">IF(ResourceAction[[#This Row],[Resource Name]]="","idn2",IF(ResourceAction[[#This Row],[IDN2]]="","",VLOOKUP(ResourceAction[[#This Row],[IDN2]],IDNMaps[[Display]:[ID]],2,0)))</f>
        <v>2128108</v>
      </c>
      <c r="Q67" s="92" t="str">
        <f>IF(ResourceAction[[#This Row],[Resource Name]]="","idn3",IF(ResourceAction[[#This Row],[IDN3]]="","",VLOOKUP(ResourceAction[[#This Row],[IDN3]],IDNMaps[[Display]:[ID]],2,0)))</f>
        <v/>
      </c>
      <c r="R67" s="92" t="str">
        <f>IF(ResourceAction[[#This Row],[Resource Name]]="","idn4",IF(ResourceAction[[#This Row],[IDN4]]="","",VLOOKUP(ResourceAction[[#This Row],[IDN4]],IDNMaps[[Display]:[ID]],2,0)))</f>
        <v/>
      </c>
      <c r="S67" s="92" t="str">
        <f>IF(ResourceAction[[#This Row],[Resource Name]]="","idn5",IF(ResourceAction[[#This Row],[IDN5]]="","",VLOOKUP(ResourceAction[[#This Row],[IDN5]],IDNMaps[[Display]:[ID]],2,0)))</f>
        <v/>
      </c>
      <c r="T67" s="110" t="s">
        <v>1302</v>
      </c>
      <c r="U67" s="110" t="s">
        <v>1747</v>
      </c>
      <c r="V67" s="93"/>
      <c r="W67" s="93"/>
      <c r="X67" s="93"/>
      <c r="Y67" s="55">
        <f>[No]</f>
        <v>2133165</v>
      </c>
    </row>
    <row r="68" spans="1:38">
      <c r="A68" s="96" t="str">
        <f>'Table Seed Map'!$A$34&amp;"-"&amp;(COUNTA($E$1:ResourceAction[[#This Row],[Resource]])-2)</f>
        <v>Resource Actions-66</v>
      </c>
      <c r="B68" s="96" t="str">
        <f>ResourceAction[[#This Row],[Resource Name]]&amp;"/"&amp;ResourceAction[[#This Row],[Name]]</f>
        <v>Pricelist/UpdatePricelistAction</v>
      </c>
      <c r="C68" s="104" t="s">
        <v>783</v>
      </c>
      <c r="D68" s="96">
        <f>IF(ResourceAction[[#This Row],[Resource Name]]="","id",COUNTA($C$1:ResourceAction[[#This Row],[Resource Name]])-1+IF(VLOOKUP('Table Seed Map'!$A$34,SeedMap[],9,0),VLOOKUP('Table Seed Map'!$A$34,SeedMap[],9,0),0))</f>
        <v>2133166</v>
      </c>
      <c r="E68" s="96">
        <f>IFERROR(VLOOKUP(ResourceAction[[#This Row],[Resource Name]],ResourceTable[[RName]:[No]],3,0),"resource")</f>
        <v>2106115</v>
      </c>
      <c r="F68" s="96" t="s">
        <v>1755</v>
      </c>
      <c r="G68" s="96"/>
      <c r="H68" s="38" t="s">
        <v>1746</v>
      </c>
      <c r="I68" s="96"/>
      <c r="J68" s="96"/>
      <c r="K68" s="95" t="str">
        <f>'Table Seed Map'!$A$35&amp;"-"&amp;(COUNTA($E$1:ResourceAction[[#This Row],[Resource]])-2)</f>
        <v>Action Method-66</v>
      </c>
      <c r="L68" s="96">
        <f>IF(ResourceAction[[#This Row],[No]]="id","id",-2+COUNTA($E$1:ResourceAction[[#This Row],[Resource]])+IF(ISNUMBER(VLOOKUP('Table Seed Map'!$A$35,SeedMap[],9,0)),VLOOKUP('Table Seed Map'!$A$35,SeedMap[],9,0),0))</f>
        <v>2134166</v>
      </c>
      <c r="M68" s="96">
        <f>IF(ResourceAction[[#This Row],[No]]="id","resource_action",ResourceAction[[#This Row],[No]])</f>
        <v>2133166</v>
      </c>
      <c r="N68" s="112" t="s">
        <v>224</v>
      </c>
      <c r="O68" s="109">
        <f ca="1">IF(ResourceAction[[#This Row],[Resource Name]]="","idn1",IF(ResourceAction[[#This Row],[IDN1]]="","",VLOOKUP(ResourceAction[[#This Row],[IDN1]],IDNMaps[[Display]:[ID]],2,0)))</f>
        <v>2110125</v>
      </c>
      <c r="P68" s="109">
        <f ca="1">IF(ResourceAction[[#This Row],[Resource Name]]="","idn2",IF(ResourceAction[[#This Row],[IDN2]]="","",VLOOKUP(ResourceAction[[#This Row],[IDN2]],IDNMaps[[Display]:[ID]],2,0)))</f>
        <v>2128109</v>
      </c>
      <c r="Q68" s="109" t="str">
        <f>IF(ResourceAction[[#This Row],[Resource Name]]="","idn3",IF(ResourceAction[[#This Row],[IDN3]]="","",VLOOKUP(ResourceAction[[#This Row],[IDN3]],IDNMaps[[Display]:[ID]],2,0)))</f>
        <v/>
      </c>
      <c r="R68" s="109" t="str">
        <f>IF(ResourceAction[[#This Row],[Resource Name]]="","idn4",IF(ResourceAction[[#This Row],[IDN4]]="","",VLOOKUP(ResourceAction[[#This Row],[IDN4]],IDNMaps[[Display]:[ID]],2,0)))</f>
        <v/>
      </c>
      <c r="S68" s="109" t="str">
        <f>IF(ResourceAction[[#This Row],[Resource Name]]="","idn5",IF(ResourceAction[[#This Row],[IDN5]]="","",VLOOKUP(ResourceAction[[#This Row],[IDN5]],IDNMaps[[Display]:[ID]],2,0)))</f>
        <v/>
      </c>
      <c r="T68" s="110" t="s">
        <v>1756</v>
      </c>
      <c r="U68" s="110" t="s">
        <v>1757</v>
      </c>
      <c r="V68" s="110"/>
      <c r="W68" s="110"/>
      <c r="X68" s="110"/>
      <c r="Y68" s="103">
        <f>[No]</f>
        <v>2133166</v>
      </c>
    </row>
    <row r="69" spans="1:38">
      <c r="A69" s="96" t="str">
        <f>'Table Seed Map'!$A$34&amp;"-"&amp;(COUNTA($E$1:ResourceAction[[#This Row],[Resource]])-2)</f>
        <v>Resource Actions-67</v>
      </c>
      <c r="B69" s="96" t="str">
        <f>ResourceAction[[#This Row],[Resource Name]]&amp;"/"&amp;ResourceAction[[#This Row],[Name]]</f>
        <v>Item/UpdateItemAction</v>
      </c>
      <c r="C69" s="104" t="s">
        <v>779</v>
      </c>
      <c r="D69" s="96">
        <f>IF(ResourceAction[[#This Row],[Resource Name]]="","id",COUNTA($C$1:ResourceAction[[#This Row],[Resource Name]])-1+IF(VLOOKUP('Table Seed Map'!$A$34,SeedMap[],9,0),VLOOKUP('Table Seed Map'!$A$34,SeedMap[],9,0),0))</f>
        <v>2133167</v>
      </c>
      <c r="E69" s="96">
        <f>IFERROR(VLOOKUP(ResourceAction[[#This Row],[Resource Name]],ResourceTable[[RName]:[No]],3,0),"resource")</f>
        <v>2106109</v>
      </c>
      <c r="F69" s="96" t="s">
        <v>1767</v>
      </c>
      <c r="G69" s="96"/>
      <c r="H69" s="38" t="s">
        <v>1746</v>
      </c>
      <c r="I69" s="96"/>
      <c r="J69" s="96"/>
      <c r="K69" s="95" t="str">
        <f>'Table Seed Map'!$A$35&amp;"-"&amp;(COUNTA($E$1:ResourceAction[[#This Row],[Resource]])-2)</f>
        <v>Action Method-67</v>
      </c>
      <c r="L69" s="96">
        <f>IF(ResourceAction[[#This Row],[No]]="id","id",-2+COUNTA($E$1:ResourceAction[[#This Row],[Resource]])+IF(ISNUMBER(VLOOKUP('Table Seed Map'!$A$35,SeedMap[],9,0)),VLOOKUP('Table Seed Map'!$A$35,SeedMap[],9,0),0))</f>
        <v>2134167</v>
      </c>
      <c r="M69" s="96">
        <f>IF(ResourceAction[[#This Row],[No]]="id","resource_action",ResourceAction[[#This Row],[No]])</f>
        <v>2133167</v>
      </c>
      <c r="N69" s="112" t="s">
        <v>224</v>
      </c>
      <c r="O69" s="109">
        <f ca="1">IF(ResourceAction[[#This Row],[Resource Name]]="","idn1",IF(ResourceAction[[#This Row],[IDN1]]="","",VLOOKUP(ResourceAction[[#This Row],[IDN1]],IDNMaps[[Display]:[ID]],2,0)))</f>
        <v>2110126</v>
      </c>
      <c r="P69" s="109">
        <f ca="1">IF(ResourceAction[[#This Row],[Resource Name]]="","idn2",IF(ResourceAction[[#This Row],[IDN2]]="","",VLOOKUP(ResourceAction[[#This Row],[IDN2]],IDNMaps[[Display]:[ID]],2,0)))</f>
        <v>2128110</v>
      </c>
      <c r="Q69" s="109" t="str">
        <f>IF(ResourceAction[[#This Row],[Resource Name]]="","idn3",IF(ResourceAction[[#This Row],[IDN3]]="","",VLOOKUP(ResourceAction[[#This Row],[IDN3]],IDNMaps[[Display]:[ID]],2,0)))</f>
        <v/>
      </c>
      <c r="R69" s="109" t="str">
        <f>IF(ResourceAction[[#This Row],[Resource Name]]="","idn4",IF(ResourceAction[[#This Row],[IDN4]]="","",VLOOKUP(ResourceAction[[#This Row],[IDN4]],IDNMaps[[Display]:[ID]],2,0)))</f>
        <v/>
      </c>
      <c r="S69" s="109" t="str">
        <f>IF(ResourceAction[[#This Row],[Resource Name]]="","idn5",IF(ResourceAction[[#This Row],[IDN5]]="","",VLOOKUP(ResourceAction[[#This Row],[IDN5]],IDNMaps[[Display]:[ID]],2,0)))</f>
        <v/>
      </c>
      <c r="T69" s="110" t="s">
        <v>1768</v>
      </c>
      <c r="U69" s="110" t="s">
        <v>1769</v>
      </c>
      <c r="V69" s="110"/>
      <c r="W69" s="110"/>
      <c r="X69" s="110"/>
      <c r="Y69" s="103">
        <f>[No]</f>
        <v>2133167</v>
      </c>
    </row>
    <row r="70" spans="1:38">
      <c r="A70" s="96" t="str">
        <f>'Table Seed Map'!$A$34&amp;"-"&amp;(COUNTA($E$1:ResourceAction[[#This Row],[Resource]])-2)</f>
        <v>Resource Actions-68</v>
      </c>
      <c r="B70" s="96" t="str">
        <f>ResourceAction[[#This Row],[Resource Name]]&amp;"/"&amp;ResourceAction[[#This Row],[Name]]</f>
        <v>Order/UpdateOrderAction</v>
      </c>
      <c r="C70" s="104" t="s">
        <v>787</v>
      </c>
      <c r="D70" s="96">
        <f>IF(ResourceAction[[#This Row],[Resource Name]]="","id",COUNTA($C$1:ResourceAction[[#This Row],[Resource Name]])-1+IF(VLOOKUP('Table Seed Map'!$A$34,SeedMap[],9,0),VLOOKUP('Table Seed Map'!$A$34,SeedMap[],9,0),0))</f>
        <v>2133168</v>
      </c>
      <c r="E70" s="96">
        <f>IFERROR(VLOOKUP(ResourceAction[[#This Row],[Resource Name]],ResourceTable[[RName]:[No]],3,0),"resource")</f>
        <v>2106118</v>
      </c>
      <c r="F70" s="96" t="s">
        <v>1779</v>
      </c>
      <c r="G70" s="96"/>
      <c r="H70" s="96" t="s">
        <v>335</v>
      </c>
      <c r="I70" s="96"/>
      <c r="J70" s="96"/>
      <c r="K70" s="95" t="str">
        <f>'Table Seed Map'!$A$35&amp;"-"&amp;(COUNTA($E$1:ResourceAction[[#This Row],[Resource]])-2)</f>
        <v>Action Method-68</v>
      </c>
      <c r="L70" s="96">
        <f>IF(ResourceAction[[#This Row],[No]]="id","id",-2+COUNTA($E$1:ResourceAction[[#This Row],[Resource]])+IF(ISNUMBER(VLOOKUP('Table Seed Map'!$A$35,SeedMap[],9,0)),VLOOKUP('Table Seed Map'!$A$35,SeedMap[],9,0),0))</f>
        <v>2134168</v>
      </c>
      <c r="M70" s="96">
        <f>IF(ResourceAction[[#This Row],[No]]="id","resource_action",ResourceAction[[#This Row],[No]])</f>
        <v>2133168</v>
      </c>
      <c r="N70" s="112" t="s">
        <v>224</v>
      </c>
      <c r="O70" s="109">
        <f ca="1">IF(ResourceAction[[#This Row],[Resource Name]]="","idn1",IF(ResourceAction[[#This Row],[IDN1]]="","",VLOOKUP(ResourceAction[[#This Row],[IDN1]],IDNMaps[[Display]:[ID]],2,0)))</f>
        <v>2110127</v>
      </c>
      <c r="P70" s="109">
        <f ca="1">IF(ResourceAction[[#This Row],[Resource Name]]="","idn2",IF(ResourceAction[[#This Row],[IDN2]]="","",VLOOKUP(ResourceAction[[#This Row],[IDN2]],IDNMaps[[Display]:[ID]],2,0)))</f>
        <v>2128111</v>
      </c>
      <c r="Q70" s="109" t="str">
        <f>IF(ResourceAction[[#This Row],[Resource Name]]="","idn3",IF(ResourceAction[[#This Row],[IDN3]]="","",VLOOKUP(ResourceAction[[#This Row],[IDN3]],IDNMaps[[Display]:[ID]],2,0)))</f>
        <v/>
      </c>
      <c r="R70" s="109" t="str">
        <f>IF(ResourceAction[[#This Row],[Resource Name]]="","idn4",IF(ResourceAction[[#This Row],[IDN4]]="","",VLOOKUP(ResourceAction[[#This Row],[IDN4]],IDNMaps[[Display]:[ID]],2,0)))</f>
        <v/>
      </c>
      <c r="S70" s="109" t="str">
        <f>IF(ResourceAction[[#This Row],[Resource Name]]="","idn5",IF(ResourceAction[[#This Row],[IDN5]]="","",VLOOKUP(ResourceAction[[#This Row],[IDN5]],IDNMaps[[Display]:[ID]],2,0)))</f>
        <v/>
      </c>
      <c r="T70" s="110" t="s">
        <v>1780</v>
      </c>
      <c r="U70" s="110" t="s">
        <v>1781</v>
      </c>
      <c r="V70" s="110"/>
      <c r="W70" s="110"/>
      <c r="X70" s="110"/>
      <c r="Y70" s="103">
        <f>[No]</f>
        <v>2133168</v>
      </c>
    </row>
    <row r="71" spans="1:38">
      <c r="A71" s="96" t="str">
        <f>'Table Seed Map'!$A$34&amp;"-"&amp;(COUNTA($E$1:ResourceAction[[#This Row],[Resource]])-2)</f>
        <v>Resource Actions-69</v>
      </c>
      <c r="B71" s="96" t="str">
        <f>ResourceAction[[#This Row],[Resource Name]]&amp;"/"&amp;ResourceAction[[#This Row],[Name]]</f>
        <v>Order/OrderInvoiceListAction</v>
      </c>
      <c r="C71" s="104" t="s">
        <v>787</v>
      </c>
      <c r="D71" s="96">
        <f>IF(ResourceAction[[#This Row],[Resource Name]]="","id",COUNTA($C$1:ResourceAction[[#This Row],[Resource Name]])-1+IF(VLOOKUP('Table Seed Map'!$A$34,SeedMap[],9,0),VLOOKUP('Table Seed Map'!$A$34,SeedMap[],9,0),0))</f>
        <v>2133169</v>
      </c>
      <c r="E71" s="96">
        <f>IFERROR(VLOOKUP(ResourceAction[[#This Row],[Resource Name]],ResourceTable[[RName]:[No]],3,0),"resource")</f>
        <v>2106118</v>
      </c>
      <c r="F71" s="96" t="s">
        <v>1789</v>
      </c>
      <c r="G71" s="96"/>
      <c r="H71" s="96" t="s">
        <v>893</v>
      </c>
      <c r="I71" s="96"/>
      <c r="J71" s="96"/>
      <c r="K71" s="95" t="str">
        <f>'Table Seed Map'!$A$35&amp;"-"&amp;(COUNTA($E$1:ResourceAction[[#This Row],[Resource]])-2)</f>
        <v>Action Method-69</v>
      </c>
      <c r="L71" s="96">
        <f>IF(ResourceAction[[#This Row],[No]]="id","id",-2+COUNTA($E$1:ResourceAction[[#This Row],[Resource]])+IF(ISNUMBER(VLOOKUP('Table Seed Map'!$A$35,SeedMap[],9,0)),VLOOKUP('Table Seed Map'!$A$35,SeedMap[],9,0),0))</f>
        <v>2134169</v>
      </c>
      <c r="M71" s="96">
        <f>IF(ResourceAction[[#This Row],[No]]="id","resource_action",ResourceAction[[#This Row],[No]])</f>
        <v>2133169</v>
      </c>
      <c r="N71" s="112" t="s">
        <v>1521</v>
      </c>
      <c r="O71" s="109">
        <f ca="1">IF(ResourceAction[[#This Row],[Resource Name]]="","idn1",IF(ResourceAction[[#This Row],[IDN1]]="","",VLOOKUP(ResourceAction[[#This Row],[IDN1]],IDNMaps[[Display]:[ID]],2,0)))</f>
        <v>2109149</v>
      </c>
      <c r="P71" s="109">
        <f ca="1">IF(ResourceAction[[#This Row],[Resource Name]]="","idn2",IF(ResourceAction[[#This Row],[IDN2]]="","",VLOOKUP(ResourceAction[[#This Row],[IDN2]],IDNMaps[[Display]:[ID]],2,0)))</f>
        <v>2123115</v>
      </c>
      <c r="Q71" s="109" t="str">
        <f>IF(ResourceAction[[#This Row],[Resource Name]]="","idn3",IF(ResourceAction[[#This Row],[IDN3]]="","",VLOOKUP(ResourceAction[[#This Row],[IDN3]],IDNMaps[[Display]:[ID]],2,0)))</f>
        <v/>
      </c>
      <c r="R71" s="109" t="str">
        <f>IF(ResourceAction[[#This Row],[Resource Name]]="","idn4",IF(ResourceAction[[#This Row],[IDN4]]="","",VLOOKUP(ResourceAction[[#This Row],[IDN4]],IDNMaps[[Display]:[ID]],2,0)))</f>
        <v/>
      </c>
      <c r="S71" s="109" t="str">
        <f>IF(ResourceAction[[#This Row],[Resource Name]]="","idn5",IF(ResourceAction[[#This Row],[IDN5]]="","",VLOOKUP(ResourceAction[[#This Row],[IDN5]],IDNMaps[[Display]:[ID]],2,0)))</f>
        <v/>
      </c>
      <c r="T71" s="110" t="s">
        <v>1786</v>
      </c>
      <c r="U71" s="110" t="s">
        <v>1428</v>
      </c>
      <c r="V71" s="110"/>
      <c r="W71" s="110"/>
      <c r="X71" s="110"/>
      <c r="Y71" s="103">
        <f>[No]</f>
        <v>2133169</v>
      </c>
    </row>
    <row r="72" spans="1:38">
      <c r="A72" s="96" t="str">
        <f>'Table Seed Map'!$A$34&amp;"-"&amp;(COUNTA($E$1:ResourceAction[[#This Row],[Resource]])-2)</f>
        <v>Resource Actions-70</v>
      </c>
      <c r="B72" s="96" t="str">
        <f>ResourceAction[[#This Row],[Resource Name]]&amp;"/"&amp;ResourceAction[[#This Row],[Name]]</f>
        <v>Customer/CustomerInvoicesListAction</v>
      </c>
      <c r="C72" s="104" t="s">
        <v>785</v>
      </c>
      <c r="D72" s="96">
        <f>IF(ResourceAction[[#This Row],[Resource Name]]="","id",COUNTA($C$1:ResourceAction[[#This Row],[Resource Name]])-1+IF(VLOOKUP('Table Seed Map'!$A$34,SeedMap[],9,0),VLOOKUP('Table Seed Map'!$A$34,SeedMap[],9,0),0))</f>
        <v>2133170</v>
      </c>
      <c r="E72" s="96">
        <f>IFERROR(VLOOKUP(ResourceAction[[#This Row],[Resource Name]],ResourceTable[[RName]:[No]],3,0),"resource")</f>
        <v>2106105</v>
      </c>
      <c r="F72" s="96" t="s">
        <v>1787</v>
      </c>
      <c r="G72" s="96"/>
      <c r="H72" s="96" t="s">
        <v>1807</v>
      </c>
      <c r="I72" s="96"/>
      <c r="J72" s="96"/>
      <c r="K72" s="95" t="str">
        <f>'Table Seed Map'!$A$35&amp;"-"&amp;(COUNTA($E$1:ResourceAction[[#This Row],[Resource]])-2)</f>
        <v>Action Method-70</v>
      </c>
      <c r="L72" s="96">
        <f>IF(ResourceAction[[#This Row],[No]]="id","id",-2+COUNTA($E$1:ResourceAction[[#This Row],[Resource]])+IF(ISNUMBER(VLOOKUP('Table Seed Map'!$A$35,SeedMap[],9,0)),VLOOKUP('Table Seed Map'!$A$35,SeedMap[],9,0),0))</f>
        <v>2134170</v>
      </c>
      <c r="M72" s="96">
        <f>IF(ResourceAction[[#This Row],[No]]="id","resource_action",ResourceAction[[#This Row],[No]])</f>
        <v>2133170</v>
      </c>
      <c r="N72" s="112" t="s">
        <v>1521</v>
      </c>
      <c r="O72" s="109">
        <f ca="1">IF(ResourceAction[[#This Row],[Resource Name]]="","idn1",IF(ResourceAction[[#This Row],[IDN1]]="","",VLOOKUP(ResourceAction[[#This Row],[IDN1]],IDNMaps[[Display]:[ID]],2,0)))</f>
        <v>2109183</v>
      </c>
      <c r="P72" s="109">
        <f ca="1">IF(ResourceAction[[#This Row],[Resource Name]]="","idn2",IF(ResourceAction[[#This Row],[IDN2]]="","",VLOOKUP(ResourceAction[[#This Row],[IDN2]],IDNMaps[[Display]:[ID]],2,0)))</f>
        <v>2123115</v>
      </c>
      <c r="Q72" s="109" t="str">
        <f>IF(ResourceAction[[#This Row],[Resource Name]]="","idn3",IF(ResourceAction[[#This Row],[IDN3]]="","",VLOOKUP(ResourceAction[[#This Row],[IDN3]],IDNMaps[[Display]:[ID]],2,0)))</f>
        <v/>
      </c>
      <c r="R72" s="109" t="str">
        <f>IF(ResourceAction[[#This Row],[Resource Name]]="","idn4",IF(ResourceAction[[#This Row],[IDN4]]="","",VLOOKUP(ResourceAction[[#This Row],[IDN4]],IDNMaps[[Display]:[ID]],2,0)))</f>
        <v/>
      </c>
      <c r="S72" s="109" t="str">
        <f>IF(ResourceAction[[#This Row],[Resource Name]]="","idn5",IF(ResourceAction[[#This Row],[IDN5]]="","",VLOOKUP(ResourceAction[[#This Row],[IDN5]],IDNMaps[[Display]:[ID]],2,0)))</f>
        <v/>
      </c>
      <c r="T72" s="110" t="s">
        <v>1801</v>
      </c>
      <c r="U72" s="110" t="s">
        <v>1428</v>
      </c>
      <c r="V72" s="110"/>
      <c r="W72" s="110"/>
      <c r="X72" s="110"/>
      <c r="Y72" s="103">
        <f>[No]</f>
        <v>2133170</v>
      </c>
    </row>
    <row r="73" spans="1:38">
      <c r="A73" s="96" t="str">
        <f>'Table Seed Map'!$A$34&amp;"-"&amp;(COUNTA($E$1:ResourceAction[[#This Row],[Resource]])-2)</f>
        <v>Resource Actions-71</v>
      </c>
      <c r="B73" s="96" t="str">
        <f>ResourceAction[[#This Row],[Resource Name]]&amp;"/"&amp;ResourceAction[[#This Row],[Name]]</f>
        <v>Invoice/InvoiceItemsListAction</v>
      </c>
      <c r="C73" s="104" t="s">
        <v>893</v>
      </c>
      <c r="D73" s="96">
        <f>IF(ResourceAction[[#This Row],[Resource Name]]="","id",COUNTA($C$1:ResourceAction[[#This Row],[Resource Name]])-1+IF(VLOOKUP('Table Seed Map'!$A$34,SeedMap[],9,0),VLOOKUP('Table Seed Map'!$A$34,SeedMap[],9,0),0))</f>
        <v>2133171</v>
      </c>
      <c r="E73" s="96">
        <f>IFERROR(VLOOKUP(ResourceAction[[#This Row],[Resource Name]],ResourceTable[[RName]:[No]],3,0),"resource")</f>
        <v>2106121</v>
      </c>
      <c r="F73" s="96" t="s">
        <v>1791</v>
      </c>
      <c r="G73" s="96"/>
      <c r="H73" s="96" t="s">
        <v>897</v>
      </c>
      <c r="I73" s="96"/>
      <c r="J73" s="96"/>
      <c r="K73" s="95" t="str">
        <f>'Table Seed Map'!$A$35&amp;"-"&amp;(COUNTA($E$1:ResourceAction[[#This Row],[Resource]])-2)</f>
        <v>Action Method-71</v>
      </c>
      <c r="L73" s="96">
        <f>IF(ResourceAction[[#This Row],[No]]="id","id",-2+COUNTA($E$1:ResourceAction[[#This Row],[Resource]])+IF(ISNUMBER(VLOOKUP('Table Seed Map'!$A$35,SeedMap[],9,0)),VLOOKUP('Table Seed Map'!$A$35,SeedMap[],9,0),0))</f>
        <v>2134171</v>
      </c>
      <c r="M73" s="96">
        <f>IF(ResourceAction[[#This Row],[No]]="id","resource_action",ResourceAction[[#This Row],[No]])</f>
        <v>2133171</v>
      </c>
      <c r="N73" s="112" t="s">
        <v>1521</v>
      </c>
      <c r="O73" s="109">
        <f ca="1">IF(ResourceAction[[#This Row],[Resource Name]]="","idn1",IF(ResourceAction[[#This Row],[IDN1]]="","",VLOOKUP(ResourceAction[[#This Row],[IDN1]],IDNMaps[[Display]:[ID]],2,0)))</f>
        <v>2109163</v>
      </c>
      <c r="P73" s="109">
        <f ca="1">IF(ResourceAction[[#This Row],[Resource Name]]="","idn2",IF(ResourceAction[[#This Row],[IDN2]]="","",VLOOKUP(ResourceAction[[#This Row],[IDN2]],IDNMaps[[Display]:[ID]],2,0)))</f>
        <v>2123126</v>
      </c>
      <c r="Q73" s="109" t="str">
        <f>IF(ResourceAction[[#This Row],[Resource Name]]="","idn3",IF(ResourceAction[[#This Row],[IDN3]]="","",VLOOKUP(ResourceAction[[#This Row],[IDN3]],IDNMaps[[Display]:[ID]],2,0)))</f>
        <v/>
      </c>
      <c r="R73" s="109" t="str">
        <f>IF(ResourceAction[[#This Row],[Resource Name]]="","idn4",IF(ResourceAction[[#This Row],[IDN4]]="","",VLOOKUP(ResourceAction[[#This Row],[IDN4]],IDNMaps[[Display]:[ID]],2,0)))</f>
        <v/>
      </c>
      <c r="S73" s="109" t="str">
        <f>IF(ResourceAction[[#This Row],[Resource Name]]="","idn5",IF(ResourceAction[[#This Row],[IDN5]]="","",VLOOKUP(ResourceAction[[#This Row],[IDN5]],IDNMaps[[Display]:[ID]],2,0)))</f>
        <v/>
      </c>
      <c r="T73" s="110" t="s">
        <v>1796</v>
      </c>
      <c r="U73" s="110" t="s">
        <v>1797</v>
      </c>
      <c r="V73" s="110"/>
      <c r="W73" s="110"/>
      <c r="X73" s="110"/>
      <c r="Y73" s="103">
        <f>[No]</f>
        <v>2133171</v>
      </c>
    </row>
    <row r="74" spans="1:38">
      <c r="A74" s="96" t="str">
        <f>'Table Seed Map'!$A$34&amp;"-"&amp;(COUNTA($E$1:ResourceAction[[#This Row],[Resource]])-2)</f>
        <v>Resource Actions-72</v>
      </c>
      <c r="B74" s="96" t="str">
        <f>ResourceAction[[#This Row],[Resource Name]]&amp;"/"&amp;ResourceAction[[#This Row],[Name]]</f>
        <v>Invoice/PendingInvoiceList</v>
      </c>
      <c r="C74" s="104" t="s">
        <v>893</v>
      </c>
      <c r="D74" s="96">
        <f>IF(ResourceAction[[#This Row],[Resource Name]]="","id",COUNTA($C$1:ResourceAction[[#This Row],[Resource Name]])-1+IF(VLOOKUP('Table Seed Map'!$A$34,SeedMap[],9,0),VLOOKUP('Table Seed Map'!$A$34,SeedMap[],9,0),0))</f>
        <v>2133172</v>
      </c>
      <c r="E74" s="96">
        <f>IFERROR(VLOOKUP(ResourceAction[[#This Row],[Resource Name]],ResourceTable[[RName]:[No]],3,0),"resource")</f>
        <v>2106121</v>
      </c>
      <c r="F74" s="96" t="s">
        <v>1804</v>
      </c>
      <c r="G74" s="96"/>
      <c r="H74" s="96" t="s">
        <v>1808</v>
      </c>
      <c r="I74" s="96"/>
      <c r="J74" s="96" t="s">
        <v>1809</v>
      </c>
      <c r="K74" s="95" t="str">
        <f>'Table Seed Map'!$A$35&amp;"-"&amp;(COUNTA($E$1:ResourceAction[[#This Row],[Resource]])-2)</f>
        <v>Action Method-72</v>
      </c>
      <c r="L74" s="96">
        <f>IF(ResourceAction[[#This Row],[No]]="id","id",-2+COUNTA($E$1:ResourceAction[[#This Row],[Resource]])+IF(ISNUMBER(VLOOKUP('Table Seed Map'!$A$35,SeedMap[],9,0)),VLOOKUP('Table Seed Map'!$A$35,SeedMap[],9,0),0))</f>
        <v>2134172</v>
      </c>
      <c r="M74" s="96">
        <f>IF(ResourceAction[[#This Row],[No]]="id","resource_action",ResourceAction[[#This Row],[No]])</f>
        <v>2133172</v>
      </c>
      <c r="N74" s="112" t="s">
        <v>122</v>
      </c>
      <c r="O74" s="109">
        <f ca="1">IF(ResourceAction[[#This Row],[Resource Name]]="","idn1",IF(ResourceAction[[#This Row],[IDN1]]="","",VLOOKUP(ResourceAction[[#This Row],[IDN1]],IDNMaps[[Display]:[ID]],2,0)))</f>
        <v>2123127</v>
      </c>
      <c r="P74" s="109" t="str">
        <f>IF(ResourceAction[[#This Row],[Resource Name]]="","idn2",IF(ResourceAction[[#This Row],[IDN2]]="","",VLOOKUP(ResourceAction[[#This Row],[IDN2]],IDNMaps[[Display]:[ID]],2,0)))</f>
        <v/>
      </c>
      <c r="Q74" s="109" t="str">
        <f>IF(ResourceAction[[#This Row],[Resource Name]]="","idn3",IF(ResourceAction[[#This Row],[IDN3]]="","",VLOOKUP(ResourceAction[[#This Row],[IDN3]],IDNMaps[[Display]:[ID]],2,0)))</f>
        <v/>
      </c>
      <c r="R74" s="109" t="str">
        <f>IF(ResourceAction[[#This Row],[Resource Name]]="","idn4",IF(ResourceAction[[#This Row],[IDN4]]="","",VLOOKUP(ResourceAction[[#This Row],[IDN4]],IDNMaps[[Display]:[ID]],2,0)))</f>
        <v/>
      </c>
      <c r="S74" s="109" t="str">
        <f>IF(ResourceAction[[#This Row],[Resource Name]]="","idn5",IF(ResourceAction[[#This Row],[IDN5]]="","",VLOOKUP(ResourceAction[[#This Row],[IDN5]],IDNMaps[[Display]:[ID]],2,0)))</f>
        <v/>
      </c>
      <c r="T74" s="110" t="s">
        <v>1810</v>
      </c>
      <c r="U74" s="110"/>
      <c r="V74" s="110"/>
      <c r="W74" s="110"/>
      <c r="X74" s="110"/>
      <c r="Y74" s="103">
        <f>[No]</f>
        <v>2133172</v>
      </c>
    </row>
    <row r="75" spans="1:38">
      <c r="A75" s="96" t="str">
        <f>'Table Seed Map'!$A$34&amp;"-"&amp;(COUNTA($E$1:ResourceAction[[#This Row],[Resource]])-2)</f>
        <v>Resource Actions-73</v>
      </c>
      <c r="B75" s="96" t="str">
        <f>ResourceAction[[#This Row],[Resource Name]]&amp;"/"&amp;ResourceAction[[#This Row],[Name]]</f>
        <v>Customer/CustomerPendingInvoices</v>
      </c>
      <c r="C75" s="104" t="s">
        <v>785</v>
      </c>
      <c r="D75" s="96">
        <f>IF(ResourceAction[[#This Row],[Resource Name]]="","id",COUNTA($C$1:ResourceAction[[#This Row],[Resource Name]])-1+IF(VLOOKUP('Table Seed Map'!$A$34,SeedMap[],9,0),VLOOKUP('Table Seed Map'!$A$34,SeedMap[],9,0),0))</f>
        <v>2133173</v>
      </c>
      <c r="E75" s="96">
        <f>IFERROR(VLOOKUP(ResourceAction[[#This Row],[Resource Name]],ResourceTable[[RName]:[No]],3,0),"resource")</f>
        <v>2106105</v>
      </c>
      <c r="F75" s="96" t="s">
        <v>1811</v>
      </c>
      <c r="G75" s="96"/>
      <c r="H75" s="96" t="s">
        <v>1808</v>
      </c>
      <c r="I75" s="96"/>
      <c r="J75" s="96"/>
      <c r="K75" s="95" t="str">
        <f>'Table Seed Map'!$A$35&amp;"-"&amp;(COUNTA($E$1:ResourceAction[[#This Row],[Resource]])-2)</f>
        <v>Action Method-73</v>
      </c>
      <c r="L75" s="96">
        <f>IF(ResourceAction[[#This Row],[No]]="id","id",-2+COUNTA($E$1:ResourceAction[[#This Row],[Resource]])+IF(ISNUMBER(VLOOKUP('Table Seed Map'!$A$35,SeedMap[],9,0)),VLOOKUP('Table Seed Map'!$A$35,SeedMap[],9,0),0))</f>
        <v>2134173</v>
      </c>
      <c r="M75" s="96">
        <f>IF(ResourceAction[[#This Row],[No]]="id","resource_action",ResourceAction[[#This Row],[No]])</f>
        <v>2133173</v>
      </c>
      <c r="N75" s="112" t="s">
        <v>1521</v>
      </c>
      <c r="O75" s="109">
        <f ca="1">IF(ResourceAction[[#This Row],[Resource Name]]="","idn1",IF(ResourceAction[[#This Row],[IDN1]]="","",VLOOKUP(ResourceAction[[#This Row],[IDN1]],IDNMaps[[Display]:[ID]],2,0)))</f>
        <v>2109183</v>
      </c>
      <c r="P75" s="109">
        <f ca="1">IF(ResourceAction[[#This Row],[Resource Name]]="","idn2",IF(ResourceAction[[#This Row],[IDN2]]="","",VLOOKUP(ResourceAction[[#This Row],[IDN2]],IDNMaps[[Display]:[ID]],2,0)))</f>
        <v>2123127</v>
      </c>
      <c r="Q75" s="109" t="str">
        <f>IF(ResourceAction[[#This Row],[Resource Name]]="","idn3",IF(ResourceAction[[#This Row],[IDN3]]="","",VLOOKUP(ResourceAction[[#This Row],[IDN3]],IDNMaps[[Display]:[ID]],2,0)))</f>
        <v/>
      </c>
      <c r="R75" s="109" t="str">
        <f>IF(ResourceAction[[#This Row],[Resource Name]]="","idn4",IF(ResourceAction[[#This Row],[IDN4]]="","",VLOOKUP(ResourceAction[[#This Row],[IDN4]],IDNMaps[[Display]:[ID]],2,0)))</f>
        <v/>
      </c>
      <c r="S75" s="109" t="str">
        <f>IF(ResourceAction[[#This Row],[Resource Name]]="","idn5",IF(ResourceAction[[#This Row],[IDN5]]="","",VLOOKUP(ResourceAction[[#This Row],[IDN5]],IDNMaps[[Display]:[ID]],2,0)))</f>
        <v/>
      </c>
      <c r="T75" s="110" t="s">
        <v>1801</v>
      </c>
      <c r="U75" s="110" t="s">
        <v>1810</v>
      </c>
      <c r="V75" s="110"/>
      <c r="W75" s="110"/>
      <c r="X75" s="110"/>
      <c r="Y75" s="103">
        <f>[No]</f>
        <v>2133173</v>
      </c>
    </row>
    <row r="76" spans="1:38">
      <c r="A76" s="96" t="str">
        <f>'Table Seed Map'!$A$34&amp;"-"&amp;(COUNTA($E$1:ResourceAction[[#This Row],[Resource]])-2)</f>
        <v>Resource Actions-74</v>
      </c>
      <c r="B76" s="96" t="str">
        <f>ResourceAction[[#This Row],[Resource Name]]&amp;"/"&amp;ResourceAction[[#This Row],[Name]]</f>
        <v>Invoice/InvoiceAddReceiptAction</v>
      </c>
      <c r="C76" s="104" t="s">
        <v>893</v>
      </c>
      <c r="D76" s="96">
        <f>IF(ResourceAction[[#This Row],[Resource Name]]="","id",COUNTA($C$1:ResourceAction[[#This Row],[Resource Name]])-1+IF(VLOOKUP('Table Seed Map'!$A$34,SeedMap[],9,0),VLOOKUP('Table Seed Map'!$A$34,SeedMap[],9,0),0))</f>
        <v>2133174</v>
      </c>
      <c r="E76" s="96">
        <f>IFERROR(VLOOKUP(ResourceAction[[#This Row],[Resource Name]],ResourceTable[[RName]:[No]],3,0),"resource")</f>
        <v>2106121</v>
      </c>
      <c r="F76" s="96" t="s">
        <v>1813</v>
      </c>
      <c r="G76" s="96"/>
      <c r="H76" s="96" t="s">
        <v>1814</v>
      </c>
      <c r="I76" s="96"/>
      <c r="J76" s="96"/>
      <c r="K76" s="95" t="str">
        <f>'Table Seed Map'!$A$35&amp;"-"&amp;(COUNTA($E$1:ResourceAction[[#This Row],[Resource]])-2)</f>
        <v>Action Method-74</v>
      </c>
      <c r="L76" s="96">
        <f>IF(ResourceAction[[#This Row],[No]]="id","id",-2+COUNTA($E$1:ResourceAction[[#This Row],[Resource]])+IF(ISNUMBER(VLOOKUP('Table Seed Map'!$A$35,SeedMap[],9,0)),VLOOKUP('Table Seed Map'!$A$35,SeedMap[],9,0),0))</f>
        <v>2134174</v>
      </c>
      <c r="M76" s="96">
        <f>IF(ResourceAction[[#This Row],[No]]="id","resource_action",ResourceAction[[#This Row],[No]])</f>
        <v>2133174</v>
      </c>
      <c r="N76" s="112" t="s">
        <v>1596</v>
      </c>
      <c r="O76" s="109">
        <f ca="1">IF(ResourceAction[[#This Row],[Resource Name]]="","idn1",IF(ResourceAction[[#This Row],[IDN1]]="","",VLOOKUP(ResourceAction[[#This Row],[IDN1]],IDNMaps[[Display]:[ID]],2,0)))</f>
        <v>2109164</v>
      </c>
      <c r="P76" s="109">
        <f ca="1">IF(ResourceAction[[#This Row],[Resource Name]]="","idn2",IF(ResourceAction[[#This Row],[IDN2]]="","",VLOOKUP(ResourceAction[[#This Row],[IDN2]],IDNMaps[[Display]:[ID]],2,0)))</f>
        <v>2110120</v>
      </c>
      <c r="Q76" s="109">
        <f ca="1">IF(ResourceAction[[#This Row],[Resource Name]]="","idn3",IF(ResourceAction[[#This Row],[IDN3]]="","",VLOOKUP(ResourceAction[[#This Row],[IDN3]],IDNMaps[[Display]:[ID]],2,0)))</f>
        <v>2111164</v>
      </c>
      <c r="R76" s="109" t="str">
        <f>IF(ResourceAction[[#This Row],[Resource Name]]="","idn4",IF(ResourceAction[[#This Row],[IDN4]]="","",VLOOKUP(ResourceAction[[#This Row],[IDN4]],IDNMaps[[Display]:[ID]],2,0)))</f>
        <v/>
      </c>
      <c r="S76" s="109" t="str">
        <f>IF(ResourceAction[[#This Row],[Resource Name]]="","idn5",IF(ResourceAction[[#This Row],[IDN5]]="","",VLOOKUP(ResourceAction[[#This Row],[IDN5]],IDNMaps[[Display]:[ID]],2,0)))</f>
        <v/>
      </c>
      <c r="T76" s="110" t="s">
        <v>1815</v>
      </c>
      <c r="U76" s="110" t="s">
        <v>1304</v>
      </c>
      <c r="V76" s="110" t="s">
        <v>1816</v>
      </c>
      <c r="W76" s="110"/>
      <c r="X76" s="110"/>
      <c r="Y76" s="103">
        <f>[No]</f>
        <v>2133174</v>
      </c>
    </row>
    <row r="77" spans="1:38">
      <c r="A77" s="96" t="str">
        <f>'Table Seed Map'!$A$34&amp;"-"&amp;(COUNTA($E$1:ResourceAction[[#This Row],[Resource]])-2)</f>
        <v>Resource Actions-75</v>
      </c>
      <c r="B77" s="96" t="str">
        <f>ResourceAction[[#This Row],[Resource Name]]&amp;"/"&amp;ResourceAction[[#This Row],[Name]]</f>
        <v>Invoice/InvoiceReceiptsList</v>
      </c>
      <c r="C77" s="104" t="s">
        <v>893</v>
      </c>
      <c r="D77" s="96">
        <f>IF(ResourceAction[[#This Row],[Resource Name]]="","id",COUNTA($C$1:ResourceAction[[#This Row],[Resource Name]])-1+IF(VLOOKUP('Table Seed Map'!$A$34,SeedMap[],9,0),VLOOKUP('Table Seed Map'!$A$34,SeedMap[],9,0),0))</f>
        <v>2133175</v>
      </c>
      <c r="E77" s="96">
        <f>IFERROR(VLOOKUP(ResourceAction[[#This Row],[Resource Name]],ResourceTable[[RName]:[No]],3,0),"resource")</f>
        <v>2106121</v>
      </c>
      <c r="F77" s="96" t="s">
        <v>1818</v>
      </c>
      <c r="G77" s="96"/>
      <c r="H77" s="96" t="s">
        <v>1819</v>
      </c>
      <c r="I77" s="96"/>
      <c r="J77" s="96"/>
      <c r="K77" s="95" t="str">
        <f>'Table Seed Map'!$A$35&amp;"-"&amp;(COUNTA($E$1:ResourceAction[[#This Row],[Resource]])-2)</f>
        <v>Action Method-75</v>
      </c>
      <c r="L77" s="96">
        <f>IF(ResourceAction[[#This Row],[No]]="id","id",-2+COUNTA($E$1:ResourceAction[[#This Row],[Resource]])+IF(ISNUMBER(VLOOKUP('Table Seed Map'!$A$35,SeedMap[],9,0)),VLOOKUP('Table Seed Map'!$A$35,SeedMap[],9,0),0))</f>
        <v>2134175</v>
      </c>
      <c r="M77" s="96">
        <f>IF(ResourceAction[[#This Row],[No]]="id","resource_action",ResourceAction[[#This Row],[No]])</f>
        <v>2133175</v>
      </c>
      <c r="N77" s="112" t="s">
        <v>1521</v>
      </c>
      <c r="O77" s="109">
        <f ca="1">IF(ResourceAction[[#This Row],[Resource Name]]="","idn1",IF(ResourceAction[[#This Row],[IDN1]]="","",VLOOKUP(ResourceAction[[#This Row],[IDN1]],IDNMaps[[Display]:[ID]],2,0)))</f>
        <v>2109164</v>
      </c>
      <c r="P77" s="109">
        <f ca="1">IF(ResourceAction[[#This Row],[Resource Name]]="","idn2",IF(ResourceAction[[#This Row],[IDN2]]="","",VLOOKUP(ResourceAction[[#This Row],[IDN2]],IDNMaps[[Display]:[ID]],2,0)))</f>
        <v>2123116</v>
      </c>
      <c r="Q77" s="109" t="str">
        <f>IF(ResourceAction[[#This Row],[Resource Name]]="","idn3",IF(ResourceAction[[#This Row],[IDN3]]="","",VLOOKUP(ResourceAction[[#This Row],[IDN3]],IDNMaps[[Display]:[ID]],2,0)))</f>
        <v/>
      </c>
      <c r="R77" s="109" t="str">
        <f>IF(ResourceAction[[#This Row],[Resource Name]]="","idn4",IF(ResourceAction[[#This Row],[IDN4]]="","",VLOOKUP(ResourceAction[[#This Row],[IDN4]],IDNMaps[[Display]:[ID]],2,0)))</f>
        <v/>
      </c>
      <c r="S77" s="109" t="str">
        <f>IF(ResourceAction[[#This Row],[Resource Name]]="","idn5",IF(ResourceAction[[#This Row],[IDN5]]="","",VLOOKUP(ResourceAction[[#This Row],[IDN5]],IDNMaps[[Display]:[ID]],2,0)))</f>
        <v/>
      </c>
      <c r="T77" s="110" t="s">
        <v>1815</v>
      </c>
      <c r="U77" s="110" t="s">
        <v>1429</v>
      </c>
      <c r="V77" s="110"/>
      <c r="W77" s="110"/>
      <c r="X77" s="110"/>
      <c r="Y77" s="103">
        <f>[No]</f>
        <v>2133175</v>
      </c>
    </row>
    <row r="78" spans="1:38">
      <c r="A78" s="96" t="str">
        <f>'Table Seed Map'!$A$34&amp;"-"&amp;(COUNTA($E$1:ResourceAction[[#This Row],[Resource]])-2)</f>
        <v>Resource Actions-76</v>
      </c>
      <c r="B78" s="96" t="str">
        <f>ResourceAction[[#This Row],[Resource Name]]&amp;"/"&amp;ResourceAction[[#This Row],[Name]]</f>
        <v>OrderItemService/OISListAction</v>
      </c>
      <c r="C78" s="104" t="s">
        <v>789</v>
      </c>
      <c r="D78" s="96">
        <f>IF(ResourceAction[[#This Row],[Resource Name]]="","id",COUNTA($C$1:ResourceAction[[#This Row],[Resource Name]])-1+IF(VLOOKUP('Table Seed Map'!$A$34,SeedMap[],9,0),VLOOKUP('Table Seed Map'!$A$34,SeedMap[],9,0),0))</f>
        <v>2133176</v>
      </c>
      <c r="E78" s="96">
        <f>IFERROR(VLOOKUP(ResourceAction[[#This Row],[Resource Name]],ResourceTable[[RName]:[No]],3,0),"resource")</f>
        <v>2106120</v>
      </c>
      <c r="F78" s="96" t="s">
        <v>1649</v>
      </c>
      <c r="G78" s="96"/>
      <c r="H78" s="96"/>
      <c r="I78" s="96"/>
      <c r="J78" s="96" t="s">
        <v>907</v>
      </c>
      <c r="K78" s="95" t="str">
        <f>'Table Seed Map'!$A$35&amp;"-"&amp;(COUNTA($E$1:ResourceAction[[#This Row],[Resource]])-2)</f>
        <v>Action Method-76</v>
      </c>
      <c r="L78" s="96">
        <f>IF(ResourceAction[[#This Row],[No]]="id","id",-2+COUNTA($E$1:ResourceAction[[#This Row],[Resource]])+IF(ISNUMBER(VLOOKUP('Table Seed Map'!$A$35,SeedMap[],9,0)),VLOOKUP('Table Seed Map'!$A$35,SeedMap[],9,0),0))</f>
        <v>2134176</v>
      </c>
      <c r="M78" s="96">
        <f>IF(ResourceAction[[#This Row],[No]]="id","resource_action",ResourceAction[[#This Row],[No]])</f>
        <v>2133176</v>
      </c>
      <c r="N78" s="112" t="s">
        <v>122</v>
      </c>
      <c r="O78" s="109">
        <f ca="1">IF(ResourceAction[[#This Row],[Resource Name]]="","idn1",IF(ResourceAction[[#This Row],[IDN1]]="","",VLOOKUP(ResourceAction[[#This Row],[IDN1]],IDNMaps[[Display]:[ID]],2,0)))</f>
        <v>2123122</v>
      </c>
      <c r="P78" s="109" t="str">
        <f>IF(ResourceAction[[#This Row],[Resource Name]]="","idn2",IF(ResourceAction[[#This Row],[IDN2]]="","",VLOOKUP(ResourceAction[[#This Row],[IDN2]],IDNMaps[[Display]:[ID]],2,0)))</f>
        <v/>
      </c>
      <c r="Q78" s="109" t="str">
        <f>IF(ResourceAction[[#This Row],[Resource Name]]="","idn3",IF(ResourceAction[[#This Row],[IDN3]]="","",VLOOKUP(ResourceAction[[#This Row],[IDN3]],IDNMaps[[Display]:[ID]],2,0)))</f>
        <v/>
      </c>
      <c r="R78" s="109" t="str">
        <f>IF(ResourceAction[[#This Row],[Resource Name]]="","idn4",IF(ResourceAction[[#This Row],[IDN4]]="","",VLOOKUP(ResourceAction[[#This Row],[IDN4]],IDNMaps[[Display]:[ID]],2,0)))</f>
        <v/>
      </c>
      <c r="S78" s="109" t="str">
        <f>IF(ResourceAction[[#This Row],[Resource Name]]="","idn5",IF(ResourceAction[[#This Row],[IDN5]]="","",VLOOKUP(ResourceAction[[#This Row],[IDN5]],IDNMaps[[Display]:[ID]],2,0)))</f>
        <v/>
      </c>
      <c r="T78" s="110" t="s">
        <v>1652</v>
      </c>
      <c r="U78" s="110"/>
      <c r="V78" s="110"/>
      <c r="W78" s="110"/>
      <c r="X78" s="110"/>
      <c r="Y78" s="103">
        <f>[No]</f>
        <v>2133176</v>
      </c>
    </row>
    <row r="79" spans="1:38">
      <c r="A79" s="96" t="str">
        <f>'Table Seed Map'!$A$34&amp;"-"&amp;(COUNTA($E$1:ResourceAction[[#This Row],[Resource]])-2)</f>
        <v>Resource Actions-77</v>
      </c>
      <c r="B79" s="96" t="str">
        <f>ResourceAction[[#This Row],[Resource Name]]&amp;"/"&amp;ResourceAction[[#This Row],[Name]]</f>
        <v>Invoice/PaidInvoiceListAction</v>
      </c>
      <c r="C79" s="104" t="s">
        <v>893</v>
      </c>
      <c r="D79" s="96">
        <f>IF(ResourceAction[[#This Row],[Resource Name]]="","id",COUNTA($C$1:ResourceAction[[#This Row],[Resource Name]])-1+IF(VLOOKUP('Table Seed Map'!$A$34,SeedMap[],9,0),VLOOKUP('Table Seed Map'!$A$34,SeedMap[],9,0),0))</f>
        <v>2133177</v>
      </c>
      <c r="E79" s="96">
        <f>IFERROR(VLOOKUP(ResourceAction[[#This Row],[Resource Name]],ResourceTable[[RName]:[No]],3,0),"resource")</f>
        <v>2106121</v>
      </c>
      <c r="F79" s="96" t="s">
        <v>1835</v>
      </c>
      <c r="G79" s="96"/>
      <c r="H79" s="96"/>
      <c r="I79" s="96"/>
      <c r="J79" s="96" t="s">
        <v>1826</v>
      </c>
      <c r="K79" s="95" t="str">
        <f>'Table Seed Map'!$A$35&amp;"-"&amp;(COUNTA($E$1:ResourceAction[[#This Row],[Resource]])-2)</f>
        <v>Action Method-77</v>
      </c>
      <c r="L79" s="96">
        <f>IF(ResourceAction[[#This Row],[No]]="id","id",-2+COUNTA($E$1:ResourceAction[[#This Row],[Resource]])+IF(ISNUMBER(VLOOKUP('Table Seed Map'!$A$35,SeedMap[],9,0)),VLOOKUP('Table Seed Map'!$A$35,SeedMap[],9,0),0))</f>
        <v>2134177</v>
      </c>
      <c r="M79" s="96">
        <f>IF(ResourceAction[[#This Row],[No]]="id","resource_action",ResourceAction[[#This Row],[No]])</f>
        <v>2133177</v>
      </c>
      <c r="N79" s="112" t="s">
        <v>122</v>
      </c>
      <c r="O79" s="109">
        <f ca="1">IF(ResourceAction[[#This Row],[Resource Name]]="","idn1",IF(ResourceAction[[#This Row],[IDN1]]="","",VLOOKUP(ResourceAction[[#This Row],[IDN1]],IDNMaps[[Display]:[ID]],2,0)))</f>
        <v>2123128</v>
      </c>
      <c r="P79" s="109" t="str">
        <f>IF(ResourceAction[[#This Row],[Resource Name]]="","idn2",IF(ResourceAction[[#This Row],[IDN2]]="","",VLOOKUP(ResourceAction[[#This Row],[IDN2]],IDNMaps[[Display]:[ID]],2,0)))</f>
        <v/>
      </c>
      <c r="Q79" s="109" t="str">
        <f>IF(ResourceAction[[#This Row],[Resource Name]]="","idn3",IF(ResourceAction[[#This Row],[IDN3]]="","",VLOOKUP(ResourceAction[[#This Row],[IDN3]],IDNMaps[[Display]:[ID]],2,0)))</f>
        <v/>
      </c>
      <c r="R79" s="109" t="str">
        <f>IF(ResourceAction[[#This Row],[Resource Name]]="","idn4",IF(ResourceAction[[#This Row],[IDN4]]="","",VLOOKUP(ResourceAction[[#This Row],[IDN4]],IDNMaps[[Display]:[ID]],2,0)))</f>
        <v/>
      </c>
      <c r="S79" s="109" t="str">
        <f>IF(ResourceAction[[#This Row],[Resource Name]]="","idn5",IF(ResourceAction[[#This Row],[IDN5]]="","",VLOOKUP(ResourceAction[[#This Row],[IDN5]],IDNMaps[[Display]:[ID]],2,0)))</f>
        <v/>
      </c>
      <c r="T79" s="110" t="s">
        <v>1836</v>
      </c>
      <c r="U79" s="110"/>
      <c r="V79" s="110"/>
      <c r="W79" s="110"/>
      <c r="X79" s="110"/>
      <c r="Y79" s="103">
        <f>[No]</f>
        <v>2133177</v>
      </c>
    </row>
    <row r="80" spans="1:38">
      <c r="A80" s="96" t="str">
        <f>'Table Seed Map'!$A$34&amp;"-"&amp;(COUNTA($E$1:ResourceAction[[#This Row],[Resource]])-2)</f>
        <v>Resource Actions-78</v>
      </c>
      <c r="B80" s="96" t="str">
        <f>ResourceAction[[#This Row],[Resource Name]]&amp;"/"&amp;ResourceAction[[#This Row],[Name]]</f>
        <v>OrderItemService/OISAssignUsersAction</v>
      </c>
      <c r="C80" s="104" t="s">
        <v>789</v>
      </c>
      <c r="D80" s="96">
        <f>IF(ResourceAction[[#This Row],[Resource Name]]="","id",COUNTA($C$1:ResourceAction[[#This Row],[Resource Name]])-1+IF(VLOOKUP('Table Seed Map'!$A$34,SeedMap[],9,0),VLOOKUP('Table Seed Map'!$A$34,SeedMap[],9,0),0))</f>
        <v>2133178</v>
      </c>
      <c r="E80" s="96">
        <f>IFERROR(VLOOKUP(ResourceAction[[#This Row],[Resource Name]],ResourceTable[[RName]:[No]],3,0),"resource")</f>
        <v>2106120</v>
      </c>
      <c r="F80" s="96" t="s">
        <v>1837</v>
      </c>
      <c r="G80" s="96"/>
      <c r="H80" s="96" t="s">
        <v>1838</v>
      </c>
      <c r="I80" s="96"/>
      <c r="J80" s="96"/>
      <c r="K80" s="95" t="str">
        <f>'Table Seed Map'!$A$35&amp;"-"&amp;(COUNTA($E$1:ResourceAction[[#This Row],[Resource]])-2)</f>
        <v>Action Method-78</v>
      </c>
      <c r="L80" s="96">
        <f>IF(ResourceAction[[#This Row],[No]]="id","id",-2+COUNTA($E$1:ResourceAction[[#This Row],[Resource]])+IF(ISNUMBER(VLOOKUP('Table Seed Map'!$A$35,SeedMap[],9,0)),VLOOKUP('Table Seed Map'!$A$35,SeedMap[],9,0),0))</f>
        <v>2134178</v>
      </c>
      <c r="M80" s="96">
        <f>IF(ResourceAction[[#This Row],[No]]="id","resource_action",ResourceAction[[#This Row],[No]])</f>
        <v>2133178</v>
      </c>
      <c r="N80" s="112" t="s">
        <v>1596</v>
      </c>
      <c r="O80" s="109">
        <f ca="1">IF(ResourceAction[[#This Row],[Resource Name]]="","idn1",IF(ResourceAction[[#This Row],[IDN1]]="","",VLOOKUP(ResourceAction[[#This Row],[IDN1]],IDNMaps[[Display]:[ID]],2,0)))</f>
        <v>2109160</v>
      </c>
      <c r="P80" s="109">
        <f ca="1">IF(ResourceAction[[#This Row],[Resource Name]]="","idn2",IF(ResourceAction[[#This Row],[IDN2]]="","",VLOOKUP(ResourceAction[[#This Row],[IDN2]],IDNMaps[[Display]:[ID]],2,0)))</f>
        <v>2110119</v>
      </c>
      <c r="Q80" s="109">
        <f ca="1">IF(ResourceAction[[#This Row],[Resource Name]]="","idn3",IF(ResourceAction[[#This Row],[IDN3]]="","",VLOOKUP(ResourceAction[[#This Row],[IDN3]],IDNMaps[[Display]:[ID]],2,0)))</f>
        <v>2111161</v>
      </c>
      <c r="R80" s="109" t="str">
        <f>IF(ResourceAction[[#This Row],[Resource Name]]="","idn4",IF(ResourceAction[[#This Row],[IDN4]]="","",VLOOKUP(ResourceAction[[#This Row],[IDN4]],IDNMaps[[Display]:[ID]],2,0)))</f>
        <v/>
      </c>
      <c r="S80" s="109" t="str">
        <f>IF(ResourceAction[[#This Row],[Resource Name]]="","idn5",IF(ResourceAction[[#This Row],[IDN5]]="","",VLOOKUP(ResourceAction[[#This Row],[IDN5]],IDNMaps[[Display]:[ID]],2,0)))</f>
        <v/>
      </c>
      <c r="T80" s="110" t="s">
        <v>1669</v>
      </c>
      <c r="U80" s="110" t="s">
        <v>1839</v>
      </c>
      <c r="V80" s="110" t="s">
        <v>1841</v>
      </c>
      <c r="W80" s="110"/>
      <c r="X80" s="110"/>
      <c r="Y80" s="103">
        <f>[No]</f>
        <v>2133178</v>
      </c>
    </row>
    <row r="81" spans="1:25">
      <c r="A81" s="96" t="str">
        <f>'Table Seed Map'!$A$34&amp;"-"&amp;(COUNTA($E$1:ResourceAction[[#This Row],[Resource]])-2)</f>
        <v>Resource Actions-79</v>
      </c>
      <c r="B81" s="96" t="str">
        <f>ResourceAction[[#This Row],[Resource Name]]&amp;"/"&amp;ResourceAction[[#This Row],[Name]]</f>
        <v>HubShift/HubShiftUpdateAction</v>
      </c>
      <c r="C81" s="104" t="s">
        <v>792</v>
      </c>
      <c r="D81" s="96">
        <f>IF(ResourceAction[[#This Row],[Resource Name]]="","id",COUNTA($C$1:ResourceAction[[#This Row],[Resource Name]])-1+IF(VLOOKUP('Table Seed Map'!$A$34,SeedMap[],9,0),VLOOKUP('Table Seed Map'!$A$34,SeedMap[],9,0),0))</f>
        <v>2133179</v>
      </c>
      <c r="E81" s="96">
        <f>IFERROR(VLOOKUP(ResourceAction[[#This Row],[Resource Name]],ResourceTable[[RName]:[No]],3,0),"resource")</f>
        <v>2106127</v>
      </c>
      <c r="F81" s="96" t="s">
        <v>1862</v>
      </c>
      <c r="G81" s="96"/>
      <c r="H81" s="96" t="s">
        <v>1746</v>
      </c>
      <c r="I81" s="96"/>
      <c r="J81" s="96"/>
      <c r="K81" s="95" t="str">
        <f>'Table Seed Map'!$A$35&amp;"-"&amp;(COUNTA($E$1:ResourceAction[[#This Row],[Resource]])-2)</f>
        <v>Action Method-79</v>
      </c>
      <c r="L81" s="96">
        <f>IF(ResourceAction[[#This Row],[No]]="id","id",-2+COUNTA($E$1:ResourceAction[[#This Row],[Resource]])+IF(ISNUMBER(VLOOKUP('Table Seed Map'!$A$35,SeedMap[],9,0)),VLOOKUP('Table Seed Map'!$A$35,SeedMap[],9,0),0))</f>
        <v>2134179</v>
      </c>
      <c r="M81" s="96">
        <f>IF(ResourceAction[[#This Row],[No]]="id","resource_action",ResourceAction[[#This Row],[No]])</f>
        <v>2133179</v>
      </c>
      <c r="N81" s="112" t="s">
        <v>224</v>
      </c>
      <c r="O81" s="109">
        <f ca="1">IF(ResourceAction[[#This Row],[Resource Name]]="","idn1",IF(ResourceAction[[#This Row],[IDN1]]="","",VLOOKUP(ResourceAction[[#This Row],[IDN1]],IDNMaps[[Display]:[ID]],2,0)))</f>
        <v>2110123</v>
      </c>
      <c r="P81" s="109">
        <f ca="1">IF(ResourceAction[[#This Row],[Resource Name]]="","idn2",IF(ResourceAction[[#This Row],[IDN2]]="","",VLOOKUP(ResourceAction[[#This Row],[IDN2]],IDNMaps[[Display]:[ID]],2,0)))</f>
        <v>2128112</v>
      </c>
      <c r="Q81" s="109" t="str">
        <f>IF(ResourceAction[[#This Row],[Resource Name]]="","idn3",IF(ResourceAction[[#This Row],[IDN3]]="","",VLOOKUP(ResourceAction[[#This Row],[IDN3]],IDNMaps[[Display]:[ID]],2,0)))</f>
        <v/>
      </c>
      <c r="R81" s="109" t="str">
        <f>IF(ResourceAction[[#This Row],[Resource Name]]="","idn4",IF(ResourceAction[[#This Row],[IDN4]]="","",VLOOKUP(ResourceAction[[#This Row],[IDN4]],IDNMaps[[Display]:[ID]],2,0)))</f>
        <v/>
      </c>
      <c r="S81" s="109" t="str">
        <f>IF(ResourceAction[[#This Row],[Resource Name]]="","idn5",IF(ResourceAction[[#This Row],[IDN5]]="","",VLOOKUP(ResourceAction[[#This Row],[IDN5]],IDNMaps[[Display]:[ID]],2,0)))</f>
        <v/>
      </c>
      <c r="T81" s="110" t="s">
        <v>1306</v>
      </c>
      <c r="U81" s="110" t="s">
        <v>1863</v>
      </c>
      <c r="V81" s="110"/>
      <c r="W81" s="110"/>
      <c r="X81" s="110"/>
      <c r="Y81" s="103">
        <f>[No]</f>
        <v>2133179</v>
      </c>
    </row>
    <row r="82" spans="1:25">
      <c r="A82" s="96" t="str">
        <f>'Table Seed Map'!$A$34&amp;"-"&amp;(COUNTA($E$1:ResourceAction[[#This Row],[Resource]])-2)</f>
        <v>Resource Actions-80</v>
      </c>
      <c r="B82" s="96" t="str">
        <f>ResourceAction[[#This Row],[Resource Name]]&amp;"/"&amp;ResourceAction[[#This Row],[Name]]</f>
        <v>HubShift/ManageHubShiftItems</v>
      </c>
      <c r="C82" s="104" t="s">
        <v>792</v>
      </c>
      <c r="D82" s="96">
        <f>IF(ResourceAction[[#This Row],[Resource Name]]="","id",COUNTA($C$1:ResourceAction[[#This Row],[Resource Name]])-1+IF(VLOOKUP('Table Seed Map'!$A$34,SeedMap[],9,0),VLOOKUP('Table Seed Map'!$A$34,SeedMap[],9,0),0))</f>
        <v>2133180</v>
      </c>
      <c r="E82" s="96">
        <f>IFERROR(VLOOKUP(ResourceAction[[#This Row],[Resource Name]],ResourceTable[[RName]:[No]],3,0),"resource")</f>
        <v>2106127</v>
      </c>
      <c r="F82" s="96" t="s">
        <v>1871</v>
      </c>
      <c r="G82" s="96"/>
      <c r="H82" s="96" t="s">
        <v>1872</v>
      </c>
      <c r="I82" s="96"/>
      <c r="J82" s="96"/>
      <c r="K82" s="95" t="str">
        <f>'Table Seed Map'!$A$35&amp;"-"&amp;(COUNTA($E$1:ResourceAction[[#This Row],[Resource]])-2)</f>
        <v>Action Method-80</v>
      </c>
      <c r="L82" s="96">
        <f>IF(ResourceAction[[#This Row],[No]]="id","id",-2+COUNTA($E$1:ResourceAction[[#This Row],[Resource]])+IF(ISNUMBER(VLOOKUP('Table Seed Map'!$A$35,SeedMap[],9,0)),VLOOKUP('Table Seed Map'!$A$35,SeedMap[],9,0),0))</f>
        <v>2134180</v>
      </c>
      <c r="M82" s="96">
        <f>IF(ResourceAction[[#This Row],[No]]="id","resource_action",ResourceAction[[#This Row],[No]])</f>
        <v>2133180</v>
      </c>
      <c r="N82" s="112" t="s">
        <v>1490</v>
      </c>
      <c r="O82" s="109">
        <f ca="1">IF(ResourceAction[[#This Row],[Resource Name]]="","idn1",IF(ResourceAction[[#This Row],[IDN1]]="","",VLOOKUP(ResourceAction[[#This Row],[IDN1]],IDNMaps[[Display]:[ID]],2,0)))</f>
        <v>2109196</v>
      </c>
      <c r="P82" s="109">
        <f ca="1">IF(ResourceAction[[#This Row],[Resource Name]]="","idn2",IF(ResourceAction[[#This Row],[IDN2]]="","",VLOOKUP(ResourceAction[[#This Row],[IDN2]],IDNMaps[[Display]:[ID]],2,0)))</f>
        <v>2123144</v>
      </c>
      <c r="Q82" s="109" t="str">
        <f>IF(ResourceAction[[#This Row],[Resource Name]]="","idn3",IF(ResourceAction[[#This Row],[IDN3]]="","",VLOOKUP(ResourceAction[[#This Row],[IDN3]],IDNMaps[[Display]:[ID]],2,0)))</f>
        <v/>
      </c>
      <c r="R82" s="109" t="str">
        <f>IF(ResourceAction[[#This Row],[Resource Name]]="","idn4",IF(ResourceAction[[#This Row],[IDN4]]="","",VLOOKUP(ResourceAction[[#This Row],[IDN4]],IDNMaps[[Display]:[ID]],2,0)))</f>
        <v/>
      </c>
      <c r="S82" s="109" t="str">
        <f>IF(ResourceAction[[#This Row],[Resource Name]]="","idn5",IF(ResourceAction[[#This Row],[IDN5]]="","",VLOOKUP(ResourceAction[[#This Row],[IDN5]],IDNMaps[[Display]:[ID]],2,0)))</f>
        <v/>
      </c>
      <c r="T82" s="110" t="s">
        <v>1877</v>
      </c>
      <c r="U82" s="110" t="s">
        <v>2030</v>
      </c>
      <c r="V82" s="110"/>
      <c r="W82" s="110"/>
      <c r="X82" s="110"/>
      <c r="Y82" s="103">
        <f>[No]</f>
        <v>2133180</v>
      </c>
    </row>
    <row r="83" spans="1:25">
      <c r="A83" s="96" t="str">
        <f>'Table Seed Map'!$A$34&amp;"-"&amp;(COUNTA($E$1:ResourceAction[[#This Row],[Resource]])-2)</f>
        <v>Resource Actions-81</v>
      </c>
      <c r="B83" s="96" t="str">
        <f>ResourceAction[[#This Row],[Resource Name]]&amp;"/"&amp;ResourceAction[[#This Row],[Name]]</f>
        <v>Employee/ManageEmployeeJobTasks</v>
      </c>
      <c r="C83" s="104" t="s">
        <v>1337</v>
      </c>
      <c r="D83" s="96">
        <f>IF(ResourceAction[[#This Row],[Resource Name]]="","id",COUNTA($C$1:ResourceAction[[#This Row],[Resource Name]])-1+IF(VLOOKUP('Table Seed Map'!$A$34,SeedMap[],9,0),VLOOKUP('Table Seed Map'!$A$34,SeedMap[],9,0),0))</f>
        <v>2133181</v>
      </c>
      <c r="E83" s="96">
        <f>IFERROR(VLOOKUP(ResourceAction[[#This Row],[Resource Name]],ResourceTable[[RName]:[No]],3,0),"resource")</f>
        <v>2106104</v>
      </c>
      <c r="F83" s="96" t="s">
        <v>1881</v>
      </c>
      <c r="G83" s="96"/>
      <c r="H83" s="96" t="s">
        <v>1882</v>
      </c>
      <c r="I83" s="96"/>
      <c r="J83" s="96"/>
      <c r="K83" s="95" t="str">
        <f>'Table Seed Map'!$A$35&amp;"-"&amp;(COUNTA($E$1:ResourceAction[[#This Row],[Resource]])-2)</f>
        <v>Action Method-81</v>
      </c>
      <c r="L83" s="96">
        <f>IF(ResourceAction[[#This Row],[No]]="id","id",-2+COUNTA($E$1:ResourceAction[[#This Row],[Resource]])+IF(ISNUMBER(VLOOKUP('Table Seed Map'!$A$35,SeedMap[],9,0)),VLOOKUP('Table Seed Map'!$A$35,SeedMap[],9,0),0))</f>
        <v>2134181</v>
      </c>
      <c r="M83" s="96">
        <f>IF(ResourceAction[[#This Row],[No]]="id","resource_action",ResourceAction[[#This Row],[No]])</f>
        <v>2133181</v>
      </c>
      <c r="N83" s="112" t="s">
        <v>1490</v>
      </c>
      <c r="O83" s="109">
        <f ca="1">IF(ResourceAction[[#This Row],[Resource Name]]="","idn1",IF(ResourceAction[[#This Row],[IDN1]]="","",VLOOKUP(ResourceAction[[#This Row],[IDN1]],IDNMaps[[Display]:[ID]],2,0)))</f>
        <v>2109197</v>
      </c>
      <c r="P83" s="109">
        <f ca="1">IF(ResourceAction[[#This Row],[Resource Name]]="","idn2",IF(ResourceAction[[#This Row],[IDN2]]="","",VLOOKUP(ResourceAction[[#This Row],[IDN2]],IDNMaps[[Display]:[ID]],2,0)))</f>
        <v>2123142</v>
      </c>
      <c r="Q83" s="109" t="str">
        <f>IF(ResourceAction[[#This Row],[Resource Name]]="","idn3",IF(ResourceAction[[#This Row],[IDN3]]="","",VLOOKUP(ResourceAction[[#This Row],[IDN3]],IDNMaps[[Display]:[ID]],2,0)))</f>
        <v/>
      </c>
      <c r="R83" s="109" t="str">
        <f>IF(ResourceAction[[#This Row],[Resource Name]]="","idn4",IF(ResourceAction[[#This Row],[IDN4]]="","",VLOOKUP(ResourceAction[[#This Row],[IDN4]],IDNMaps[[Display]:[ID]],2,0)))</f>
        <v/>
      </c>
      <c r="S83" s="109" t="str">
        <f>IF(ResourceAction[[#This Row],[Resource Name]]="","idn5",IF(ResourceAction[[#This Row],[IDN5]]="","",VLOOKUP(ResourceAction[[#This Row],[IDN5]],IDNMaps[[Display]:[ID]],2,0)))</f>
        <v/>
      </c>
      <c r="T83" s="110" t="s">
        <v>1883</v>
      </c>
      <c r="U83" s="110" t="s">
        <v>2017</v>
      </c>
      <c r="V83" s="110"/>
      <c r="W83" s="110"/>
      <c r="X83" s="110"/>
      <c r="Y83" s="103">
        <f>[No]</f>
        <v>2133181</v>
      </c>
    </row>
    <row r="84" spans="1:25">
      <c r="A84" s="96" t="str">
        <f>'Table Seed Map'!$A$34&amp;"-"&amp;(COUNTA($E$1:ResourceAction[[#This Row],[Resource]])-2)</f>
        <v>Resource Actions-82</v>
      </c>
      <c r="B84" s="96" t="str">
        <f>ResourceAction[[#This Row],[Resource Name]]&amp;"/"&amp;ResourceAction[[#This Row],[Name]]</f>
        <v>OrderItemService/ManageServiceEmployees</v>
      </c>
      <c r="C84" s="104" t="s">
        <v>789</v>
      </c>
      <c r="D84" s="96">
        <f>IF(ResourceAction[[#This Row],[Resource Name]]="","id",COUNTA($C$1:ResourceAction[[#This Row],[Resource Name]])-1+IF(VLOOKUP('Table Seed Map'!$A$34,SeedMap[],9,0),VLOOKUP('Table Seed Map'!$A$34,SeedMap[],9,0),0))</f>
        <v>2133182</v>
      </c>
      <c r="E84" s="96">
        <f>IFERROR(VLOOKUP(ResourceAction[[#This Row],[Resource Name]],ResourceTable[[RName]:[No]],3,0),"resource")</f>
        <v>2106120</v>
      </c>
      <c r="F84" s="96" t="s">
        <v>1885</v>
      </c>
      <c r="G84" s="96"/>
      <c r="H84" s="96" t="s">
        <v>1886</v>
      </c>
      <c r="I84" s="96"/>
      <c r="J84" s="96"/>
      <c r="K84" s="95" t="str">
        <f>'Table Seed Map'!$A$35&amp;"-"&amp;(COUNTA($E$1:ResourceAction[[#This Row],[Resource]])-2)</f>
        <v>Action Method-82</v>
      </c>
      <c r="L84" s="96">
        <f>IF(ResourceAction[[#This Row],[No]]="id","id",-2+COUNTA($E$1:ResourceAction[[#This Row],[Resource]])+IF(ISNUMBER(VLOOKUP('Table Seed Map'!$A$35,SeedMap[],9,0)),VLOOKUP('Table Seed Map'!$A$35,SeedMap[],9,0),0))</f>
        <v>2134182</v>
      </c>
      <c r="M84" s="96">
        <f>IF(ResourceAction[[#This Row],[No]]="id","resource_action",ResourceAction[[#This Row],[No]])</f>
        <v>2133182</v>
      </c>
      <c r="N84" s="112" t="s">
        <v>1490</v>
      </c>
      <c r="O84" s="109">
        <f ca="1">IF(ResourceAction[[#This Row],[Resource Name]]="","idn1",IF(ResourceAction[[#This Row],[IDN1]]="","",VLOOKUP(ResourceAction[[#This Row],[IDN1]],IDNMaps[[Display]:[ID]],2,0)))</f>
        <v>2109189</v>
      </c>
      <c r="P84" s="109">
        <f ca="1">IF(ResourceAction[[#This Row],[Resource Name]]="","idn2",IF(ResourceAction[[#This Row],[IDN2]]="","",VLOOKUP(ResourceAction[[#This Row],[IDN2]],IDNMaps[[Display]:[ID]],2,0)))</f>
        <v>2123105</v>
      </c>
      <c r="Q84" s="109" t="str">
        <f>IF(ResourceAction[[#This Row],[Resource Name]]="","idn3",IF(ResourceAction[[#This Row],[IDN3]]="","",VLOOKUP(ResourceAction[[#This Row],[IDN3]],IDNMaps[[Display]:[ID]],2,0)))</f>
        <v/>
      </c>
      <c r="R84" s="109" t="str">
        <f>IF(ResourceAction[[#This Row],[Resource Name]]="","idn4",IF(ResourceAction[[#This Row],[IDN4]]="","",VLOOKUP(ResourceAction[[#This Row],[IDN4]],IDNMaps[[Display]:[ID]],2,0)))</f>
        <v/>
      </c>
      <c r="S84" s="109" t="str">
        <f>IF(ResourceAction[[#This Row],[Resource Name]]="","idn5",IF(ResourceAction[[#This Row],[IDN5]]="","",VLOOKUP(ResourceAction[[#This Row],[IDN5]],IDNMaps[[Display]:[ID]],2,0)))</f>
        <v/>
      </c>
      <c r="T84" s="110" t="s">
        <v>1887</v>
      </c>
      <c r="U84" s="110" t="s">
        <v>1419</v>
      </c>
      <c r="V84" s="110"/>
      <c r="W84" s="110"/>
      <c r="X84" s="110"/>
      <c r="Y84" s="103">
        <f>[No]</f>
        <v>2133182</v>
      </c>
    </row>
    <row r="85" spans="1:25">
      <c r="A85" s="96" t="str">
        <f>'Table Seed Map'!$A$34&amp;"-"&amp;(COUNTA($E$1:ResourceAction[[#This Row],[Resource]])-2)</f>
        <v>Resource Actions-83</v>
      </c>
      <c r="B85" s="96" t="str">
        <f>ResourceAction[[#This Row],[Resource Name]]&amp;"/"&amp;ResourceAction[[#This Row],[Name]]</f>
        <v>Order/OwnHubOrdersListAction</v>
      </c>
      <c r="C85" s="104" t="s">
        <v>787</v>
      </c>
      <c r="D85" s="96">
        <f>IF(ResourceAction[[#This Row],[Resource Name]]="","id",COUNTA($C$1:ResourceAction[[#This Row],[Resource Name]])-1+IF(VLOOKUP('Table Seed Map'!$A$34,SeedMap[],9,0),VLOOKUP('Table Seed Map'!$A$34,SeedMap[],9,0),0))</f>
        <v>2133183</v>
      </c>
      <c r="E85" s="96">
        <f>IFERROR(VLOOKUP(ResourceAction[[#This Row],[Resource Name]],ResourceTable[[RName]:[No]],3,0),"resource")</f>
        <v>2106118</v>
      </c>
      <c r="F85" s="96" t="s">
        <v>1895</v>
      </c>
      <c r="G85" s="96"/>
      <c r="H85" s="96"/>
      <c r="I85" s="96"/>
      <c r="J85" s="96" t="s">
        <v>905</v>
      </c>
      <c r="K85" s="95" t="str">
        <f>'Table Seed Map'!$A$35&amp;"-"&amp;(COUNTA($E$1:ResourceAction[[#This Row],[Resource]])-2)</f>
        <v>Action Method-83</v>
      </c>
      <c r="L85" s="96">
        <f>IF(ResourceAction[[#This Row],[No]]="id","id",-2+COUNTA($E$1:ResourceAction[[#This Row],[Resource]])+IF(ISNUMBER(VLOOKUP('Table Seed Map'!$A$35,SeedMap[],9,0)),VLOOKUP('Table Seed Map'!$A$35,SeedMap[],9,0),0))</f>
        <v>2134183</v>
      </c>
      <c r="M85" s="96">
        <f>IF(ResourceAction[[#This Row],[No]]="id","resource_action",ResourceAction[[#This Row],[No]])</f>
        <v>2133183</v>
      </c>
      <c r="N85" s="112" t="s">
        <v>122</v>
      </c>
      <c r="O85" s="109">
        <f ca="1">IF(ResourceAction[[#This Row],[Resource Name]]="","idn1",IF(ResourceAction[[#This Row],[IDN1]]="","",VLOOKUP(ResourceAction[[#This Row],[IDN1]],IDNMaps[[Display]:[ID]],2,0)))</f>
        <v>2123131</v>
      </c>
      <c r="P85" s="109" t="str">
        <f>IF(ResourceAction[[#This Row],[Resource Name]]="","idn2",IF(ResourceAction[[#This Row],[IDN2]]="","",VLOOKUP(ResourceAction[[#This Row],[IDN2]],IDNMaps[[Display]:[ID]],2,0)))</f>
        <v/>
      </c>
      <c r="Q85" s="109" t="str">
        <f>IF(ResourceAction[[#This Row],[Resource Name]]="","idn3",IF(ResourceAction[[#This Row],[IDN3]]="","",VLOOKUP(ResourceAction[[#This Row],[IDN3]],IDNMaps[[Display]:[ID]],2,0)))</f>
        <v/>
      </c>
      <c r="R85" s="109" t="str">
        <f>IF(ResourceAction[[#This Row],[Resource Name]]="","idn4",IF(ResourceAction[[#This Row],[IDN4]]="","",VLOOKUP(ResourceAction[[#This Row],[IDN4]],IDNMaps[[Display]:[ID]],2,0)))</f>
        <v/>
      </c>
      <c r="S85" s="109" t="str">
        <f>IF(ResourceAction[[#This Row],[Resource Name]]="","idn5",IF(ResourceAction[[#This Row],[IDN5]]="","",VLOOKUP(ResourceAction[[#This Row],[IDN5]],IDNMaps[[Display]:[ID]],2,0)))</f>
        <v/>
      </c>
      <c r="T85" s="110" t="s">
        <v>1896</v>
      </c>
      <c r="U85" s="110"/>
      <c r="V85" s="110"/>
      <c r="W85" s="110"/>
      <c r="X85" s="110"/>
      <c r="Y85" s="103">
        <f>[No]</f>
        <v>2133183</v>
      </c>
    </row>
    <row r="86" spans="1:25">
      <c r="A86" s="96" t="str">
        <f>'Table Seed Map'!$A$34&amp;"-"&amp;(COUNTA($E$1:ResourceAction[[#This Row],[Resource]])-2)</f>
        <v>Resource Actions-84</v>
      </c>
      <c r="B86" s="96" t="str">
        <f>ResourceAction[[#This Row],[Resource Name]]&amp;"/"&amp;ResourceAction[[#This Row],[Name]]</f>
        <v>OrderItemService/OwnHubOrderItemServices</v>
      </c>
      <c r="C86" s="104" t="s">
        <v>789</v>
      </c>
      <c r="D86" s="96">
        <f>IF(ResourceAction[[#This Row],[Resource Name]]="","id",COUNTA($C$1:ResourceAction[[#This Row],[Resource Name]])-1+IF(VLOOKUP('Table Seed Map'!$A$34,SeedMap[],9,0),VLOOKUP('Table Seed Map'!$A$34,SeedMap[],9,0),0))</f>
        <v>2133184</v>
      </c>
      <c r="E86" s="96">
        <f>IFERROR(VLOOKUP(ResourceAction[[#This Row],[Resource Name]],ResourceTable[[RName]:[No]],3,0),"resource")</f>
        <v>2106120</v>
      </c>
      <c r="F86" s="96" t="s">
        <v>1897</v>
      </c>
      <c r="G86" s="96"/>
      <c r="H86" s="96"/>
      <c r="I86" s="96"/>
      <c r="J86" s="96" t="s">
        <v>907</v>
      </c>
      <c r="K86" s="95" t="str">
        <f>'Table Seed Map'!$A$35&amp;"-"&amp;(COUNTA($E$1:ResourceAction[[#This Row],[Resource]])-2)</f>
        <v>Action Method-84</v>
      </c>
      <c r="L86" s="96">
        <f>IF(ResourceAction[[#This Row],[No]]="id","id",-2+COUNTA($E$1:ResourceAction[[#This Row],[Resource]])+IF(ISNUMBER(VLOOKUP('Table Seed Map'!$A$35,SeedMap[],9,0)),VLOOKUP('Table Seed Map'!$A$35,SeedMap[],9,0),0))</f>
        <v>2134184</v>
      </c>
      <c r="M86" s="96">
        <f>IF(ResourceAction[[#This Row],[No]]="id","resource_action",ResourceAction[[#This Row],[No]])</f>
        <v>2133184</v>
      </c>
      <c r="N86" s="112" t="s">
        <v>122</v>
      </c>
      <c r="O86" s="109">
        <f ca="1">IF(ResourceAction[[#This Row],[Resource Name]]="","idn1",IF(ResourceAction[[#This Row],[IDN1]]="","",VLOOKUP(ResourceAction[[#This Row],[IDN1]],IDNMaps[[Display]:[ID]],2,0)))</f>
        <v>2123132</v>
      </c>
      <c r="P86" s="109" t="str">
        <f>IF(ResourceAction[[#This Row],[Resource Name]]="","idn2",IF(ResourceAction[[#This Row],[IDN2]]="","",VLOOKUP(ResourceAction[[#This Row],[IDN2]],IDNMaps[[Display]:[ID]],2,0)))</f>
        <v/>
      </c>
      <c r="Q86" s="109" t="str">
        <f>IF(ResourceAction[[#This Row],[Resource Name]]="","idn3",IF(ResourceAction[[#This Row],[IDN3]]="","",VLOOKUP(ResourceAction[[#This Row],[IDN3]],IDNMaps[[Display]:[ID]],2,0)))</f>
        <v/>
      </c>
      <c r="R86" s="109" t="str">
        <f>IF(ResourceAction[[#This Row],[Resource Name]]="","idn4",IF(ResourceAction[[#This Row],[IDN4]]="","",VLOOKUP(ResourceAction[[#This Row],[IDN4]],IDNMaps[[Display]:[ID]],2,0)))</f>
        <v/>
      </c>
      <c r="S86" s="109" t="str">
        <f>IF(ResourceAction[[#This Row],[Resource Name]]="","idn5",IF(ResourceAction[[#This Row],[IDN5]]="","",VLOOKUP(ResourceAction[[#This Row],[IDN5]],IDNMaps[[Display]:[ID]],2,0)))</f>
        <v/>
      </c>
      <c r="T86" s="110" t="s">
        <v>1902</v>
      </c>
      <c r="U86" s="110"/>
      <c r="V86" s="110"/>
      <c r="W86" s="110"/>
      <c r="X86" s="110"/>
      <c r="Y86" s="103">
        <f>[No]</f>
        <v>2133184</v>
      </c>
    </row>
    <row r="87" spans="1:25">
      <c r="A87" s="96" t="str">
        <f>'Table Seed Map'!$A$34&amp;"-"&amp;(COUNTA($E$1:ResourceAction[[#This Row],[Resource]])-2)</f>
        <v>Resource Actions-85</v>
      </c>
      <c r="B87" s="96" t="str">
        <f>ResourceAction[[#This Row],[Resource Name]]&amp;"/"&amp;ResourceAction[[#This Row],[Name]]</f>
        <v>OrderItemServiceUser/JobsListAction</v>
      </c>
      <c r="C87" s="104" t="s">
        <v>790</v>
      </c>
      <c r="D87" s="96">
        <f>IF(ResourceAction[[#This Row],[Resource Name]]="","id",COUNTA($C$1:ResourceAction[[#This Row],[Resource Name]])-1+IF(VLOOKUP('Table Seed Map'!$A$34,SeedMap[],9,0),VLOOKUP('Table Seed Map'!$A$34,SeedMap[],9,0),0))</f>
        <v>2133185</v>
      </c>
      <c r="E87" s="96">
        <f>IFERROR(VLOOKUP(ResourceAction[[#This Row],[Resource Name]],ResourceTable[[RName]:[No]],3,0),"resource")</f>
        <v>2106123</v>
      </c>
      <c r="F87" s="96" t="s">
        <v>1903</v>
      </c>
      <c r="G87" s="96"/>
      <c r="H87" s="96"/>
      <c r="I87" s="96"/>
      <c r="J87" s="96" t="s">
        <v>1998</v>
      </c>
      <c r="K87" s="95" t="str">
        <f>'Table Seed Map'!$A$35&amp;"-"&amp;(COUNTA($E$1:ResourceAction[[#This Row],[Resource]])-2)</f>
        <v>Action Method-85</v>
      </c>
      <c r="L87" s="96">
        <f>IF(ResourceAction[[#This Row],[No]]="id","id",-2+COUNTA($E$1:ResourceAction[[#This Row],[Resource]])+IF(ISNUMBER(VLOOKUP('Table Seed Map'!$A$35,SeedMap[],9,0)),VLOOKUP('Table Seed Map'!$A$35,SeedMap[],9,0),0))</f>
        <v>2134185</v>
      </c>
      <c r="M87" s="96">
        <f>IF(ResourceAction[[#This Row],[No]]="id","resource_action",ResourceAction[[#This Row],[No]])</f>
        <v>2133185</v>
      </c>
      <c r="N87" s="112" t="s">
        <v>122</v>
      </c>
      <c r="O87" s="109">
        <f ca="1">IF(ResourceAction[[#This Row],[Resource Name]]="","idn1",IF(ResourceAction[[#This Row],[IDN1]]="","",VLOOKUP(ResourceAction[[#This Row],[IDN1]],IDNMaps[[Display]:[ID]],2,0)))</f>
        <v>2123133</v>
      </c>
      <c r="P87" s="109" t="str">
        <f>IF(ResourceAction[[#This Row],[Resource Name]]="","idn2",IF(ResourceAction[[#This Row],[IDN2]]="","",VLOOKUP(ResourceAction[[#This Row],[IDN2]],IDNMaps[[Display]:[ID]],2,0)))</f>
        <v/>
      </c>
      <c r="Q87" s="109" t="str">
        <f>IF(ResourceAction[[#This Row],[Resource Name]]="","idn3",IF(ResourceAction[[#This Row],[IDN3]]="","",VLOOKUP(ResourceAction[[#This Row],[IDN3]],IDNMaps[[Display]:[ID]],2,0)))</f>
        <v/>
      </c>
      <c r="R87" s="109" t="str">
        <f>IF(ResourceAction[[#This Row],[Resource Name]]="","idn4",IF(ResourceAction[[#This Row],[IDN4]]="","",VLOOKUP(ResourceAction[[#This Row],[IDN4]],IDNMaps[[Display]:[ID]],2,0)))</f>
        <v/>
      </c>
      <c r="S87" s="109" t="str">
        <f>IF(ResourceAction[[#This Row],[Resource Name]]="","idn5",IF(ResourceAction[[#This Row],[IDN5]]="","",VLOOKUP(ResourceAction[[#This Row],[IDN5]],IDNMaps[[Display]:[ID]],2,0)))</f>
        <v/>
      </c>
      <c r="T87" s="110" t="s">
        <v>1916</v>
      </c>
      <c r="U87" s="110"/>
      <c r="V87" s="110"/>
      <c r="W87" s="110"/>
      <c r="X87" s="110"/>
      <c r="Y87" s="103">
        <f>[No]</f>
        <v>2133185</v>
      </c>
    </row>
    <row r="88" spans="1:25">
      <c r="A88" s="96" t="str">
        <f>'Table Seed Map'!$A$34&amp;"-"&amp;(COUNTA($E$1:ResourceAction[[#This Row],[Resource]])-2)</f>
        <v>Resource Actions-86</v>
      </c>
      <c r="B88" s="96" t="str">
        <f>ResourceAction[[#This Row],[Resource Name]]&amp;"/"&amp;ResourceAction[[#This Row],[Name]]</f>
        <v>OrderItemServiceUser/OwnJobsListAction</v>
      </c>
      <c r="C88" s="104" t="s">
        <v>790</v>
      </c>
      <c r="D88" s="96">
        <f>IF(ResourceAction[[#This Row],[Resource Name]]="","id",COUNTA($C$1:ResourceAction[[#This Row],[Resource Name]])-1+IF(VLOOKUP('Table Seed Map'!$A$34,SeedMap[],9,0),VLOOKUP('Table Seed Map'!$A$34,SeedMap[],9,0),0))</f>
        <v>2133186</v>
      </c>
      <c r="E88" s="96">
        <f>IFERROR(VLOOKUP(ResourceAction[[#This Row],[Resource Name]],ResourceTable[[RName]:[No]],3,0),"resource")</f>
        <v>2106123</v>
      </c>
      <c r="F88" s="96" t="s">
        <v>1917</v>
      </c>
      <c r="G88" s="96"/>
      <c r="H88" s="96"/>
      <c r="I88" s="96"/>
      <c r="J88" s="96" t="s">
        <v>1999</v>
      </c>
      <c r="K88" s="95" t="str">
        <f>'Table Seed Map'!$A$35&amp;"-"&amp;(COUNTA($E$1:ResourceAction[[#This Row],[Resource]])-2)</f>
        <v>Action Method-86</v>
      </c>
      <c r="L88" s="96">
        <f>IF(ResourceAction[[#This Row],[No]]="id","id",-2+COUNTA($E$1:ResourceAction[[#This Row],[Resource]])+IF(ISNUMBER(VLOOKUP('Table Seed Map'!$A$35,SeedMap[],9,0)),VLOOKUP('Table Seed Map'!$A$35,SeedMap[],9,0),0))</f>
        <v>2134186</v>
      </c>
      <c r="M88" s="96">
        <f>IF(ResourceAction[[#This Row],[No]]="id","resource_action",ResourceAction[[#This Row],[No]])</f>
        <v>2133186</v>
      </c>
      <c r="N88" s="112" t="s">
        <v>122</v>
      </c>
      <c r="O88" s="109">
        <f ca="1">IF(ResourceAction[[#This Row],[Resource Name]]="","idn1",IF(ResourceAction[[#This Row],[IDN1]]="","",VLOOKUP(ResourceAction[[#This Row],[IDN1]],IDNMaps[[Display]:[ID]],2,0)))</f>
        <v>2123134</v>
      </c>
      <c r="P88" s="109" t="str">
        <f>IF(ResourceAction[[#This Row],[Resource Name]]="","idn2",IF(ResourceAction[[#This Row],[IDN2]]="","",VLOOKUP(ResourceAction[[#This Row],[IDN2]],IDNMaps[[Display]:[ID]],2,0)))</f>
        <v/>
      </c>
      <c r="Q88" s="109" t="str">
        <f>IF(ResourceAction[[#This Row],[Resource Name]]="","idn3",IF(ResourceAction[[#This Row],[IDN3]]="","",VLOOKUP(ResourceAction[[#This Row],[IDN3]],IDNMaps[[Display]:[ID]],2,0)))</f>
        <v/>
      </c>
      <c r="R88" s="109" t="str">
        <f>IF(ResourceAction[[#This Row],[Resource Name]]="","idn4",IF(ResourceAction[[#This Row],[IDN4]]="","",VLOOKUP(ResourceAction[[#This Row],[IDN4]],IDNMaps[[Display]:[ID]],2,0)))</f>
        <v/>
      </c>
      <c r="S88" s="109" t="str">
        <f>IF(ResourceAction[[#This Row],[Resource Name]]="","idn5",IF(ResourceAction[[#This Row],[IDN5]]="","",VLOOKUP(ResourceAction[[#This Row],[IDN5]],IDNMaps[[Display]:[ID]],2,0)))</f>
        <v/>
      </c>
      <c r="T88" s="110" t="s">
        <v>1958</v>
      </c>
      <c r="U88" s="110"/>
      <c r="V88" s="110"/>
      <c r="W88" s="110"/>
      <c r="X88" s="110"/>
      <c r="Y88" s="103">
        <f>[No]</f>
        <v>2133186</v>
      </c>
    </row>
    <row r="89" spans="1:25">
      <c r="A89" s="38" t="str">
        <f>'Table Seed Map'!$A$34&amp;"-"&amp;(COUNTA($E$1:ResourceAction[[#This Row],[Resource]])-2)</f>
        <v>Resource Actions-87</v>
      </c>
      <c r="B89" s="38" t="str">
        <f>ResourceAction[[#This Row],[Resource Name]]&amp;"/"&amp;ResourceAction[[#This Row],[Name]]</f>
        <v>OrderItemServiceUser/NewJobsListAction</v>
      </c>
      <c r="C89" s="104" t="s">
        <v>790</v>
      </c>
      <c r="D89" s="38">
        <f>IF(ResourceAction[[#This Row],[Resource Name]]="","id",COUNTA($C$1:ResourceAction[[#This Row],[Resource Name]])-1+IF(VLOOKUP('Table Seed Map'!$A$34,SeedMap[],9,0),VLOOKUP('Table Seed Map'!$A$34,SeedMap[],9,0),0))</f>
        <v>2133187</v>
      </c>
      <c r="E89" s="38">
        <f>IFERROR(VLOOKUP(ResourceAction[[#This Row],[Resource Name]],ResourceTable[[RName]:[No]],3,0),"resource")</f>
        <v>2106123</v>
      </c>
      <c r="F89" s="38" t="s">
        <v>1933</v>
      </c>
      <c r="G89" s="38"/>
      <c r="H89" s="38"/>
      <c r="I89" s="38"/>
      <c r="J89" s="38" t="s">
        <v>1934</v>
      </c>
      <c r="K89" s="80" t="str">
        <f>'Table Seed Map'!$A$35&amp;"-"&amp;(COUNTA($E$1:ResourceAction[[#This Row],[Resource]])-2)</f>
        <v>Action Method-87</v>
      </c>
      <c r="L89" s="38">
        <f>IF(ResourceAction[[#This Row],[No]]="id","id",-2+COUNTA($E$1:ResourceAction[[#This Row],[Resource]])+IF(ISNUMBER(VLOOKUP('Table Seed Map'!$A$35,SeedMap[],9,0)),VLOOKUP('Table Seed Map'!$A$35,SeedMap[],9,0),0))</f>
        <v>2134187</v>
      </c>
      <c r="M89" s="38">
        <f>IF(ResourceAction[[#This Row],[No]]="id","resource_action",ResourceAction[[#This Row],[No]])</f>
        <v>2133187</v>
      </c>
      <c r="N89" s="112" t="s">
        <v>122</v>
      </c>
      <c r="O89" s="92">
        <f ca="1">IF(ResourceAction[[#This Row],[Resource Name]]="","idn1",IF(ResourceAction[[#This Row],[IDN1]]="","",VLOOKUP(ResourceAction[[#This Row],[IDN1]],IDNMaps[[Display]:[ID]],2,0)))</f>
        <v>2123135</v>
      </c>
      <c r="P89" s="92" t="str">
        <f>IF(ResourceAction[[#This Row],[Resource Name]]="","idn2",IF(ResourceAction[[#This Row],[IDN2]]="","",VLOOKUP(ResourceAction[[#This Row],[IDN2]],IDNMaps[[Display]:[ID]],2,0)))</f>
        <v/>
      </c>
      <c r="Q89" s="92" t="str">
        <f>IF(ResourceAction[[#This Row],[Resource Name]]="","idn3",IF(ResourceAction[[#This Row],[IDN3]]="","",VLOOKUP(ResourceAction[[#This Row],[IDN3]],IDNMaps[[Display]:[ID]],2,0)))</f>
        <v/>
      </c>
      <c r="R89" s="92" t="str">
        <f>IF(ResourceAction[[#This Row],[Resource Name]]="","idn4",IF(ResourceAction[[#This Row],[IDN4]]="","",VLOOKUP(ResourceAction[[#This Row],[IDN4]],IDNMaps[[Display]:[ID]],2,0)))</f>
        <v/>
      </c>
      <c r="S89" s="92" t="str">
        <f>IF(ResourceAction[[#This Row],[Resource Name]]="","idn5",IF(ResourceAction[[#This Row],[IDN5]]="","",VLOOKUP(ResourceAction[[#This Row],[IDN5]],IDNMaps[[Display]:[ID]],2,0)))</f>
        <v/>
      </c>
      <c r="T89" s="110" t="s">
        <v>1971</v>
      </c>
      <c r="U89" s="93"/>
      <c r="V89" s="93"/>
      <c r="W89" s="93"/>
      <c r="X89" s="93"/>
      <c r="Y89" s="55">
        <f>[No]</f>
        <v>2133187</v>
      </c>
    </row>
    <row r="90" spans="1:25">
      <c r="A90" s="38" t="str">
        <f>'Table Seed Map'!$A$34&amp;"-"&amp;(COUNTA($E$1:ResourceAction[[#This Row],[Resource]])-2)</f>
        <v>Resource Actions-88</v>
      </c>
      <c r="B90" s="38" t="str">
        <f>ResourceAction[[#This Row],[Resource Name]]&amp;"/"&amp;ResourceAction[[#This Row],[Name]]</f>
        <v>OrderItemServiceUser/ServicingJobsListAction</v>
      </c>
      <c r="C90" s="104" t="s">
        <v>790</v>
      </c>
      <c r="D90" s="38">
        <f>IF(ResourceAction[[#This Row],[Resource Name]]="","id",COUNTA($C$1:ResourceAction[[#This Row],[Resource Name]])-1+IF(VLOOKUP('Table Seed Map'!$A$34,SeedMap[],9,0),VLOOKUP('Table Seed Map'!$A$34,SeedMap[],9,0),0))</f>
        <v>2133188</v>
      </c>
      <c r="E90" s="38">
        <f>IFERROR(VLOOKUP(ResourceAction[[#This Row],[Resource Name]],ResourceTable[[RName]:[No]],3,0),"resource")</f>
        <v>2106123</v>
      </c>
      <c r="F90" s="38" t="s">
        <v>1935</v>
      </c>
      <c r="G90" s="38"/>
      <c r="H90" s="38"/>
      <c r="I90" s="38"/>
      <c r="J90" s="38" t="s">
        <v>1952</v>
      </c>
      <c r="K90" s="80" t="str">
        <f>'Table Seed Map'!$A$35&amp;"-"&amp;(COUNTA($E$1:ResourceAction[[#This Row],[Resource]])-2)</f>
        <v>Action Method-88</v>
      </c>
      <c r="L90" s="38">
        <f>IF(ResourceAction[[#This Row],[No]]="id","id",-2+COUNTA($E$1:ResourceAction[[#This Row],[Resource]])+IF(ISNUMBER(VLOOKUP('Table Seed Map'!$A$35,SeedMap[],9,0)),VLOOKUP('Table Seed Map'!$A$35,SeedMap[],9,0),0))</f>
        <v>2134188</v>
      </c>
      <c r="M90" s="38">
        <f>IF(ResourceAction[[#This Row],[No]]="id","resource_action",ResourceAction[[#This Row],[No]])</f>
        <v>2133188</v>
      </c>
      <c r="N90" s="112" t="s">
        <v>122</v>
      </c>
      <c r="O90" s="92">
        <f ca="1">IF(ResourceAction[[#This Row],[Resource Name]]="","idn1",IF(ResourceAction[[#This Row],[IDN1]]="","",VLOOKUP(ResourceAction[[#This Row],[IDN1]],IDNMaps[[Display]:[ID]],2,0)))</f>
        <v>2123136</v>
      </c>
      <c r="P90" s="92" t="str">
        <f>IF(ResourceAction[[#This Row],[Resource Name]]="","idn2",IF(ResourceAction[[#This Row],[IDN2]]="","",VLOOKUP(ResourceAction[[#This Row],[IDN2]],IDNMaps[[Display]:[ID]],2,0)))</f>
        <v/>
      </c>
      <c r="Q90" s="92" t="str">
        <f>IF(ResourceAction[[#This Row],[Resource Name]]="","idn3",IF(ResourceAction[[#This Row],[IDN3]]="","",VLOOKUP(ResourceAction[[#This Row],[IDN3]],IDNMaps[[Display]:[ID]],2,0)))</f>
        <v/>
      </c>
      <c r="R90" s="92" t="str">
        <f>IF(ResourceAction[[#This Row],[Resource Name]]="","idn4",IF(ResourceAction[[#This Row],[IDN4]]="","",VLOOKUP(ResourceAction[[#This Row],[IDN4]],IDNMaps[[Display]:[ID]],2,0)))</f>
        <v/>
      </c>
      <c r="S90" s="92" t="str">
        <f>IF(ResourceAction[[#This Row],[Resource Name]]="","idn5",IF(ResourceAction[[#This Row],[IDN5]]="","",VLOOKUP(ResourceAction[[#This Row],[IDN5]],IDNMaps[[Display]:[ID]],2,0)))</f>
        <v/>
      </c>
      <c r="T90" s="110" t="s">
        <v>1972</v>
      </c>
      <c r="U90" s="93"/>
      <c r="V90" s="93"/>
      <c r="W90" s="93"/>
      <c r="X90" s="93"/>
      <c r="Y90" s="55">
        <f>[No]</f>
        <v>2133188</v>
      </c>
    </row>
    <row r="91" spans="1:25">
      <c r="A91" s="38" t="str">
        <f>'Table Seed Map'!$A$34&amp;"-"&amp;(COUNTA($E$1:ResourceAction[[#This Row],[Resource]])-2)</f>
        <v>Resource Actions-89</v>
      </c>
      <c r="B91" s="38" t="str">
        <f>ResourceAction[[#This Row],[Resource Name]]&amp;"/"&amp;ResourceAction[[#This Row],[Name]]</f>
        <v>OrderItemServiceUser/CompletedJobsListAction</v>
      </c>
      <c r="C91" s="104" t="s">
        <v>790</v>
      </c>
      <c r="D91" s="38">
        <f>IF(ResourceAction[[#This Row],[Resource Name]]="","id",COUNTA($C$1:ResourceAction[[#This Row],[Resource Name]])-1+IF(VLOOKUP('Table Seed Map'!$A$34,SeedMap[],9,0),VLOOKUP('Table Seed Map'!$A$34,SeedMap[],9,0),0))</f>
        <v>2133189</v>
      </c>
      <c r="E91" s="38">
        <f>IFERROR(VLOOKUP(ResourceAction[[#This Row],[Resource Name]],ResourceTable[[RName]:[No]],3,0),"resource")</f>
        <v>2106123</v>
      </c>
      <c r="F91" s="38" t="s">
        <v>1937</v>
      </c>
      <c r="G91" s="38"/>
      <c r="H91" s="38"/>
      <c r="I91" s="38"/>
      <c r="J91" s="38" t="s">
        <v>1938</v>
      </c>
      <c r="K91" s="80" t="str">
        <f>'Table Seed Map'!$A$35&amp;"-"&amp;(COUNTA($E$1:ResourceAction[[#This Row],[Resource]])-2)</f>
        <v>Action Method-89</v>
      </c>
      <c r="L91" s="38">
        <f>IF(ResourceAction[[#This Row],[No]]="id","id",-2+COUNTA($E$1:ResourceAction[[#This Row],[Resource]])+IF(ISNUMBER(VLOOKUP('Table Seed Map'!$A$35,SeedMap[],9,0)),VLOOKUP('Table Seed Map'!$A$35,SeedMap[],9,0),0))</f>
        <v>2134189</v>
      </c>
      <c r="M91" s="38">
        <f>IF(ResourceAction[[#This Row],[No]]="id","resource_action",ResourceAction[[#This Row],[No]])</f>
        <v>2133189</v>
      </c>
      <c r="N91" s="112" t="s">
        <v>122</v>
      </c>
      <c r="O91" s="92">
        <f ca="1">IF(ResourceAction[[#This Row],[Resource Name]]="","idn1",IF(ResourceAction[[#This Row],[IDN1]]="","",VLOOKUP(ResourceAction[[#This Row],[IDN1]],IDNMaps[[Display]:[ID]],2,0)))</f>
        <v>2123137</v>
      </c>
      <c r="P91" s="92" t="str">
        <f>IF(ResourceAction[[#This Row],[Resource Name]]="","idn2",IF(ResourceAction[[#This Row],[IDN2]]="","",VLOOKUP(ResourceAction[[#This Row],[IDN2]],IDNMaps[[Display]:[ID]],2,0)))</f>
        <v/>
      </c>
      <c r="Q91" s="92" t="str">
        <f>IF(ResourceAction[[#This Row],[Resource Name]]="","idn3",IF(ResourceAction[[#This Row],[IDN3]]="","",VLOOKUP(ResourceAction[[#This Row],[IDN3]],IDNMaps[[Display]:[ID]],2,0)))</f>
        <v/>
      </c>
      <c r="R91" s="92" t="str">
        <f>IF(ResourceAction[[#This Row],[Resource Name]]="","idn4",IF(ResourceAction[[#This Row],[IDN4]]="","",VLOOKUP(ResourceAction[[#This Row],[IDN4]],IDNMaps[[Display]:[ID]],2,0)))</f>
        <v/>
      </c>
      <c r="S91" s="92" t="str">
        <f>IF(ResourceAction[[#This Row],[Resource Name]]="","idn5",IF(ResourceAction[[#This Row],[IDN5]]="","",VLOOKUP(ResourceAction[[#This Row],[IDN5]],IDNMaps[[Display]:[ID]],2,0)))</f>
        <v/>
      </c>
      <c r="T91" s="110" t="s">
        <v>1973</v>
      </c>
      <c r="U91" s="93"/>
      <c r="V91" s="93"/>
      <c r="W91" s="93"/>
      <c r="X91" s="93"/>
      <c r="Y91" s="55">
        <f>[No]</f>
        <v>2133189</v>
      </c>
    </row>
    <row r="92" spans="1:25">
      <c r="A92" s="38" t="str">
        <f>'Table Seed Map'!$A$34&amp;"-"&amp;(COUNTA($E$1:ResourceAction[[#This Row],[Resource]])-2)</f>
        <v>Resource Actions-90</v>
      </c>
      <c r="B92" s="38" t="str">
        <f>ResourceAction[[#This Row],[Resource Name]]&amp;"/"&amp;ResourceAction[[#This Row],[Name]]</f>
        <v>OrderItemServiceUser/OwnNewJobsListAction</v>
      </c>
      <c r="C92" s="104" t="s">
        <v>790</v>
      </c>
      <c r="D92" s="38">
        <f>IF(ResourceAction[[#This Row],[Resource Name]]="","id",COUNTA($C$1:ResourceAction[[#This Row],[Resource Name]])-1+IF(VLOOKUP('Table Seed Map'!$A$34,SeedMap[],9,0),VLOOKUP('Table Seed Map'!$A$34,SeedMap[],9,0),0))</f>
        <v>2133190</v>
      </c>
      <c r="E92" s="38">
        <f>IFERROR(VLOOKUP(ResourceAction[[#This Row],[Resource Name]],ResourceTable[[RName]:[No]],3,0),"resource")</f>
        <v>2106123</v>
      </c>
      <c r="F92" s="38" t="s">
        <v>1968</v>
      </c>
      <c r="G92" s="38"/>
      <c r="H92" s="38"/>
      <c r="I92" s="38"/>
      <c r="J92" s="38" t="s">
        <v>1948</v>
      </c>
      <c r="K92" s="80" t="str">
        <f>'Table Seed Map'!$A$35&amp;"-"&amp;(COUNTA($E$1:ResourceAction[[#This Row],[Resource]])-2)</f>
        <v>Action Method-90</v>
      </c>
      <c r="L92" s="38">
        <f>IF(ResourceAction[[#This Row],[No]]="id","id",-2+COUNTA($E$1:ResourceAction[[#This Row],[Resource]])+IF(ISNUMBER(VLOOKUP('Table Seed Map'!$A$35,SeedMap[],9,0)),VLOOKUP('Table Seed Map'!$A$35,SeedMap[],9,0),0))</f>
        <v>2134190</v>
      </c>
      <c r="M92" s="38">
        <f>IF(ResourceAction[[#This Row],[No]]="id","resource_action",ResourceAction[[#This Row],[No]])</f>
        <v>2133190</v>
      </c>
      <c r="N92" s="112" t="s">
        <v>122</v>
      </c>
      <c r="O92" s="92">
        <f ca="1">IF(ResourceAction[[#This Row],[Resource Name]]="","idn1",IF(ResourceAction[[#This Row],[IDN1]]="","",VLOOKUP(ResourceAction[[#This Row],[IDN1]],IDNMaps[[Display]:[ID]],2,0)))</f>
        <v>2123138</v>
      </c>
      <c r="P92" s="92" t="str">
        <f>IF(ResourceAction[[#This Row],[Resource Name]]="","idn2",IF(ResourceAction[[#This Row],[IDN2]]="","",VLOOKUP(ResourceAction[[#This Row],[IDN2]],IDNMaps[[Display]:[ID]],2,0)))</f>
        <v/>
      </c>
      <c r="Q92" s="92" t="str">
        <f>IF(ResourceAction[[#This Row],[Resource Name]]="","idn3",IF(ResourceAction[[#This Row],[IDN3]]="","",VLOOKUP(ResourceAction[[#This Row],[IDN3]],IDNMaps[[Display]:[ID]],2,0)))</f>
        <v/>
      </c>
      <c r="R92" s="92" t="str">
        <f>IF(ResourceAction[[#This Row],[Resource Name]]="","idn4",IF(ResourceAction[[#This Row],[IDN4]]="","",VLOOKUP(ResourceAction[[#This Row],[IDN4]],IDNMaps[[Display]:[ID]],2,0)))</f>
        <v/>
      </c>
      <c r="S92" s="92" t="str">
        <f>IF(ResourceAction[[#This Row],[Resource Name]]="","idn5",IF(ResourceAction[[#This Row],[IDN5]]="","",VLOOKUP(ResourceAction[[#This Row],[IDN5]],IDNMaps[[Display]:[ID]],2,0)))</f>
        <v/>
      </c>
      <c r="T92" s="110" t="s">
        <v>1959</v>
      </c>
      <c r="U92" s="93"/>
      <c r="V92" s="93"/>
      <c r="W92" s="93"/>
      <c r="X92" s="93"/>
      <c r="Y92" s="55">
        <f>[No]</f>
        <v>2133190</v>
      </c>
    </row>
    <row r="93" spans="1:25">
      <c r="A93" s="38" t="str">
        <f>'Table Seed Map'!$A$34&amp;"-"&amp;(COUNTA($E$1:ResourceAction[[#This Row],[Resource]])-2)</f>
        <v>Resource Actions-91</v>
      </c>
      <c r="B93" s="38" t="str">
        <f>ResourceAction[[#This Row],[Resource Name]]&amp;"/"&amp;ResourceAction[[#This Row],[Name]]</f>
        <v>OrderItemServiceUser/OwnServicingJobsListAction</v>
      </c>
      <c r="C93" s="104" t="s">
        <v>790</v>
      </c>
      <c r="D93" s="38">
        <f>IF(ResourceAction[[#This Row],[Resource Name]]="","id",COUNTA($C$1:ResourceAction[[#This Row],[Resource Name]])-1+IF(VLOOKUP('Table Seed Map'!$A$34,SeedMap[],9,0),VLOOKUP('Table Seed Map'!$A$34,SeedMap[],9,0),0))</f>
        <v>2133191</v>
      </c>
      <c r="E93" s="38">
        <f>IFERROR(VLOOKUP(ResourceAction[[#This Row],[Resource Name]],ResourceTable[[RName]:[No]],3,0),"resource")</f>
        <v>2106123</v>
      </c>
      <c r="F93" s="38" t="s">
        <v>1969</v>
      </c>
      <c r="G93" s="38"/>
      <c r="H93" s="38"/>
      <c r="I93" s="38"/>
      <c r="J93" s="38" t="s">
        <v>1949</v>
      </c>
      <c r="K93" s="80" t="str">
        <f>'Table Seed Map'!$A$35&amp;"-"&amp;(COUNTA($E$1:ResourceAction[[#This Row],[Resource]])-2)</f>
        <v>Action Method-91</v>
      </c>
      <c r="L93" s="38">
        <f>IF(ResourceAction[[#This Row],[No]]="id","id",-2+COUNTA($E$1:ResourceAction[[#This Row],[Resource]])+IF(ISNUMBER(VLOOKUP('Table Seed Map'!$A$35,SeedMap[],9,0)),VLOOKUP('Table Seed Map'!$A$35,SeedMap[],9,0),0))</f>
        <v>2134191</v>
      </c>
      <c r="M93" s="38">
        <f>IF(ResourceAction[[#This Row],[No]]="id","resource_action",ResourceAction[[#This Row],[No]])</f>
        <v>2133191</v>
      </c>
      <c r="N93" s="112" t="s">
        <v>122</v>
      </c>
      <c r="O93" s="92">
        <f ca="1">IF(ResourceAction[[#This Row],[Resource Name]]="","idn1",IF(ResourceAction[[#This Row],[IDN1]]="","",VLOOKUP(ResourceAction[[#This Row],[IDN1]],IDNMaps[[Display]:[ID]],2,0)))</f>
        <v>2123139</v>
      </c>
      <c r="P93" s="92" t="str">
        <f>IF(ResourceAction[[#This Row],[Resource Name]]="","idn2",IF(ResourceAction[[#This Row],[IDN2]]="","",VLOOKUP(ResourceAction[[#This Row],[IDN2]],IDNMaps[[Display]:[ID]],2,0)))</f>
        <v/>
      </c>
      <c r="Q93" s="92" t="str">
        <f>IF(ResourceAction[[#This Row],[Resource Name]]="","idn3",IF(ResourceAction[[#This Row],[IDN3]]="","",VLOOKUP(ResourceAction[[#This Row],[IDN3]],IDNMaps[[Display]:[ID]],2,0)))</f>
        <v/>
      </c>
      <c r="R93" s="92" t="str">
        <f>IF(ResourceAction[[#This Row],[Resource Name]]="","idn4",IF(ResourceAction[[#This Row],[IDN4]]="","",VLOOKUP(ResourceAction[[#This Row],[IDN4]],IDNMaps[[Display]:[ID]],2,0)))</f>
        <v/>
      </c>
      <c r="S93" s="92" t="str">
        <f>IF(ResourceAction[[#This Row],[Resource Name]]="","idn5",IF(ResourceAction[[#This Row],[IDN5]]="","",VLOOKUP(ResourceAction[[#This Row],[IDN5]],IDNMaps[[Display]:[ID]],2,0)))</f>
        <v/>
      </c>
      <c r="T93" s="110" t="s">
        <v>1960</v>
      </c>
      <c r="U93" s="93"/>
      <c r="V93" s="93"/>
      <c r="W93" s="93"/>
      <c r="X93" s="93"/>
      <c r="Y93" s="55">
        <f>[No]</f>
        <v>2133191</v>
      </c>
    </row>
    <row r="94" spans="1:25">
      <c r="A94" s="38" t="str">
        <f>'Table Seed Map'!$A$34&amp;"-"&amp;(COUNTA($E$1:ResourceAction[[#This Row],[Resource]])-2)</f>
        <v>Resource Actions-92</v>
      </c>
      <c r="B94" s="38" t="str">
        <f>ResourceAction[[#This Row],[Resource Name]]&amp;"/"&amp;ResourceAction[[#This Row],[Name]]</f>
        <v>OrderItemServiceUser/OwnCompletedJobsListAction</v>
      </c>
      <c r="C94" s="104" t="s">
        <v>790</v>
      </c>
      <c r="D94" s="38">
        <f>IF(ResourceAction[[#This Row],[Resource Name]]="","id",COUNTA($C$1:ResourceAction[[#This Row],[Resource Name]])-1+IF(VLOOKUP('Table Seed Map'!$A$34,SeedMap[],9,0),VLOOKUP('Table Seed Map'!$A$34,SeedMap[],9,0),0))</f>
        <v>2133192</v>
      </c>
      <c r="E94" s="38">
        <f>IFERROR(VLOOKUP(ResourceAction[[#This Row],[Resource Name]],ResourceTable[[RName]:[No]],3,0),"resource")</f>
        <v>2106123</v>
      </c>
      <c r="F94" s="38" t="s">
        <v>1970</v>
      </c>
      <c r="G94" s="38"/>
      <c r="H94" s="38"/>
      <c r="I94" s="38"/>
      <c r="J94" s="38" t="s">
        <v>1950</v>
      </c>
      <c r="K94" s="80" t="str">
        <f>'Table Seed Map'!$A$35&amp;"-"&amp;(COUNTA($E$1:ResourceAction[[#This Row],[Resource]])-2)</f>
        <v>Action Method-92</v>
      </c>
      <c r="L94" s="38">
        <f>IF(ResourceAction[[#This Row],[No]]="id","id",-2+COUNTA($E$1:ResourceAction[[#This Row],[Resource]])+IF(ISNUMBER(VLOOKUP('Table Seed Map'!$A$35,SeedMap[],9,0)),VLOOKUP('Table Seed Map'!$A$35,SeedMap[],9,0),0))</f>
        <v>2134192</v>
      </c>
      <c r="M94" s="38">
        <f>IF(ResourceAction[[#This Row],[No]]="id","resource_action",ResourceAction[[#This Row],[No]])</f>
        <v>2133192</v>
      </c>
      <c r="N94" s="112" t="s">
        <v>122</v>
      </c>
      <c r="O94" s="92">
        <f ca="1">IF(ResourceAction[[#This Row],[Resource Name]]="","idn1",IF(ResourceAction[[#This Row],[IDN1]]="","",VLOOKUP(ResourceAction[[#This Row],[IDN1]],IDNMaps[[Display]:[ID]],2,0)))</f>
        <v>2123140</v>
      </c>
      <c r="P94" s="92" t="str">
        <f>IF(ResourceAction[[#This Row],[Resource Name]]="","idn2",IF(ResourceAction[[#This Row],[IDN2]]="","",VLOOKUP(ResourceAction[[#This Row],[IDN2]],IDNMaps[[Display]:[ID]],2,0)))</f>
        <v/>
      </c>
      <c r="Q94" s="92" t="str">
        <f>IF(ResourceAction[[#This Row],[Resource Name]]="","idn3",IF(ResourceAction[[#This Row],[IDN3]]="","",VLOOKUP(ResourceAction[[#This Row],[IDN3]],IDNMaps[[Display]:[ID]],2,0)))</f>
        <v/>
      </c>
      <c r="R94" s="92" t="str">
        <f>IF(ResourceAction[[#This Row],[Resource Name]]="","idn4",IF(ResourceAction[[#This Row],[IDN4]]="","",VLOOKUP(ResourceAction[[#This Row],[IDN4]],IDNMaps[[Display]:[ID]],2,0)))</f>
        <v/>
      </c>
      <c r="S94" s="92" t="str">
        <f>IF(ResourceAction[[#This Row],[Resource Name]]="","idn5",IF(ResourceAction[[#This Row],[IDN5]]="","",VLOOKUP(ResourceAction[[#This Row],[IDN5]],IDNMaps[[Display]:[ID]],2,0)))</f>
        <v/>
      </c>
      <c r="T94" s="110" t="s">
        <v>1961</v>
      </c>
      <c r="U94" s="93"/>
      <c r="V94" s="93"/>
      <c r="W94" s="93"/>
      <c r="X94" s="93"/>
      <c r="Y94" s="55">
        <f>[No]</f>
        <v>2133192</v>
      </c>
    </row>
    <row r="95" spans="1:25">
      <c r="A95" s="96" t="str">
        <f>'Table Seed Map'!$A$34&amp;"-"&amp;(COUNTA($E$1:ResourceAction[[#This Row],[Resource]])-2)</f>
        <v>Resource Actions-93</v>
      </c>
      <c r="B95" s="96" t="str">
        <f>ResourceAction[[#This Row],[Resource Name]]&amp;"/"&amp;ResourceAction[[#This Row],[Name]]</f>
        <v>OrderItemServiceUser/StartJobAction</v>
      </c>
      <c r="C95" s="104" t="s">
        <v>790</v>
      </c>
      <c r="D95" s="96">
        <f>IF(ResourceAction[[#This Row],[Resource Name]]="","id",COUNTA($C$1:ResourceAction[[#This Row],[Resource Name]])-1+IF(VLOOKUP('Table Seed Map'!$A$34,SeedMap[],9,0),VLOOKUP('Table Seed Map'!$A$34,SeedMap[],9,0),0))</f>
        <v>2133193</v>
      </c>
      <c r="E95" s="96">
        <f>IFERROR(VLOOKUP(ResourceAction[[#This Row],[Resource Name]],ResourceTable[[RName]:[No]],3,0),"resource")</f>
        <v>2106123</v>
      </c>
      <c r="F95" s="96" t="s">
        <v>1985</v>
      </c>
      <c r="G95" s="96"/>
      <c r="H95" s="96" t="s">
        <v>1992</v>
      </c>
      <c r="I95" s="96"/>
      <c r="J95" s="96"/>
      <c r="K95" s="95" t="str">
        <f>'Table Seed Map'!$A$35&amp;"-"&amp;(COUNTA($E$1:ResourceAction[[#This Row],[Resource]])-2)</f>
        <v>Action Method-93</v>
      </c>
      <c r="L95" s="96">
        <f>IF(ResourceAction[[#This Row],[No]]="id","id",-2+COUNTA($E$1:ResourceAction[[#This Row],[Resource]])+IF(ISNUMBER(VLOOKUP('Table Seed Map'!$A$35,SeedMap[],9,0)),VLOOKUP('Table Seed Map'!$A$35,SeedMap[],9,0),0))</f>
        <v>2134193</v>
      </c>
      <c r="M95" s="96">
        <f>IF(ResourceAction[[#This Row],[No]]="id","resource_action",ResourceAction[[#This Row],[No]])</f>
        <v>2133193</v>
      </c>
      <c r="N95" s="112" t="s">
        <v>224</v>
      </c>
      <c r="O95" s="109">
        <f ca="1">IF(ResourceAction[[#This Row],[Resource Name]]="","idn1",IF(ResourceAction[[#This Row],[IDN1]]="","",VLOOKUP(ResourceAction[[#This Row],[IDN1]],IDNMaps[[Display]:[ID]],2,0)))</f>
        <v>2110128</v>
      </c>
      <c r="P95" s="109">
        <f ca="1">IF(ResourceAction[[#This Row],[Resource Name]]="","idn2",IF(ResourceAction[[#This Row],[IDN2]]="","",VLOOKUP(ResourceAction[[#This Row],[IDN2]],IDNMaps[[Display]:[ID]],2,0)))</f>
        <v>2128113</v>
      </c>
      <c r="Q95" s="109" t="str">
        <f>IF(ResourceAction[[#This Row],[Resource Name]]="","idn3",IF(ResourceAction[[#This Row],[IDN3]]="","",VLOOKUP(ResourceAction[[#This Row],[IDN3]],IDNMaps[[Display]:[ID]],2,0)))</f>
        <v/>
      </c>
      <c r="R95" s="109" t="str">
        <f>IF(ResourceAction[[#This Row],[Resource Name]]="","idn4",IF(ResourceAction[[#This Row],[IDN4]]="","",VLOOKUP(ResourceAction[[#This Row],[IDN4]],IDNMaps[[Display]:[ID]],2,0)))</f>
        <v/>
      </c>
      <c r="S95" s="109" t="str">
        <f>IF(ResourceAction[[#This Row],[Resource Name]]="","idn5",IF(ResourceAction[[#This Row],[IDN5]]="","",VLOOKUP(ResourceAction[[#This Row],[IDN5]],IDNMaps[[Display]:[ID]],2,0)))</f>
        <v/>
      </c>
      <c r="T95" s="110" t="s">
        <v>1986</v>
      </c>
      <c r="U95" s="110" t="s">
        <v>1990</v>
      </c>
      <c r="V95" s="110"/>
      <c r="W95" s="110"/>
      <c r="X95" s="110"/>
      <c r="Y95" s="103">
        <f>[No]</f>
        <v>2133193</v>
      </c>
    </row>
    <row r="96" spans="1:25">
      <c r="A96" s="96" t="str">
        <f>'Table Seed Map'!$A$34&amp;"-"&amp;(COUNTA($E$1:ResourceAction[[#This Row],[Resource]])-2)</f>
        <v>Resource Actions-94</v>
      </c>
      <c r="B96" s="96" t="str">
        <f>ResourceAction[[#This Row],[Resource Name]]&amp;"/"&amp;ResourceAction[[#This Row],[Name]]</f>
        <v>OrderItemServiceUser/FinishJobAction</v>
      </c>
      <c r="C96" s="104" t="s">
        <v>790</v>
      </c>
      <c r="D96" s="96">
        <f>IF(ResourceAction[[#This Row],[Resource Name]]="","id",COUNTA($C$1:ResourceAction[[#This Row],[Resource Name]])-1+IF(VLOOKUP('Table Seed Map'!$A$34,SeedMap[],9,0),VLOOKUP('Table Seed Map'!$A$34,SeedMap[],9,0),0))</f>
        <v>2133194</v>
      </c>
      <c r="E96" s="96">
        <f>IFERROR(VLOOKUP(ResourceAction[[#This Row],[Resource Name]],ResourceTable[[RName]:[No]],3,0),"resource")</f>
        <v>2106123</v>
      </c>
      <c r="F96" s="96" t="s">
        <v>1988</v>
      </c>
      <c r="G96" s="96"/>
      <c r="H96" s="96" t="s">
        <v>1993</v>
      </c>
      <c r="I96" s="96"/>
      <c r="J96" s="96"/>
      <c r="K96" s="95" t="str">
        <f>'Table Seed Map'!$A$35&amp;"-"&amp;(COUNTA($E$1:ResourceAction[[#This Row],[Resource]])-2)</f>
        <v>Action Method-94</v>
      </c>
      <c r="L96" s="96">
        <f>IF(ResourceAction[[#This Row],[No]]="id","id",-2+COUNTA($E$1:ResourceAction[[#This Row],[Resource]])+IF(ISNUMBER(VLOOKUP('Table Seed Map'!$A$35,SeedMap[],9,0)),VLOOKUP('Table Seed Map'!$A$35,SeedMap[],9,0),0))</f>
        <v>2134194</v>
      </c>
      <c r="M96" s="96">
        <f>IF(ResourceAction[[#This Row],[No]]="id","resource_action",ResourceAction[[#This Row],[No]])</f>
        <v>2133194</v>
      </c>
      <c r="N96" s="112" t="s">
        <v>224</v>
      </c>
      <c r="O96" s="109">
        <f ca="1">IF(ResourceAction[[#This Row],[Resource Name]]="","idn1",IF(ResourceAction[[#This Row],[IDN1]]="","",VLOOKUP(ResourceAction[[#This Row],[IDN1]],IDNMaps[[Display]:[ID]],2,0)))</f>
        <v>2110129</v>
      </c>
      <c r="P96" s="109">
        <f ca="1">IF(ResourceAction[[#This Row],[Resource Name]]="","idn2",IF(ResourceAction[[#This Row],[IDN2]]="","",VLOOKUP(ResourceAction[[#This Row],[IDN2]],IDNMaps[[Display]:[ID]],2,0)))</f>
        <v>2128113</v>
      </c>
      <c r="Q96" s="109" t="str">
        <f>IF(ResourceAction[[#This Row],[Resource Name]]="","idn3",IF(ResourceAction[[#This Row],[IDN3]]="","",VLOOKUP(ResourceAction[[#This Row],[IDN3]],IDNMaps[[Display]:[ID]],2,0)))</f>
        <v/>
      </c>
      <c r="R96" s="109" t="str">
        <f>IF(ResourceAction[[#This Row],[Resource Name]]="","idn4",IF(ResourceAction[[#This Row],[IDN4]]="","",VLOOKUP(ResourceAction[[#This Row],[IDN4]],IDNMaps[[Display]:[ID]],2,0)))</f>
        <v/>
      </c>
      <c r="S96" s="109" t="str">
        <f>IF(ResourceAction[[#This Row],[Resource Name]]="","idn5",IF(ResourceAction[[#This Row],[IDN5]]="","",VLOOKUP(ResourceAction[[#This Row],[IDN5]],IDNMaps[[Display]:[ID]],2,0)))</f>
        <v/>
      </c>
      <c r="T96" s="110" t="s">
        <v>1987</v>
      </c>
      <c r="U96" s="110" t="s">
        <v>1990</v>
      </c>
      <c r="V96" s="110"/>
      <c r="W96" s="110"/>
      <c r="X96" s="110"/>
      <c r="Y96" s="103">
        <f>[No]</f>
        <v>2133194</v>
      </c>
    </row>
    <row r="97" spans="1:25">
      <c r="A97" s="96" t="str">
        <f>'Table Seed Map'!$A$34&amp;"-"&amp;(COUNTA($E$1:ResourceAction[[#This Row],[Resource]])-2)</f>
        <v>Resource Actions-95</v>
      </c>
      <c r="B97" s="96" t="str">
        <f>ResourceAction[[#This Row],[Resource Name]]&amp;"/"&amp;ResourceAction[[#This Row],[Name]]</f>
        <v>Order/UndeliveredOrders</v>
      </c>
      <c r="C97" s="104" t="s">
        <v>787</v>
      </c>
      <c r="D97" s="96">
        <f>IF(ResourceAction[[#This Row],[Resource Name]]="","id",COUNTA($C$1:ResourceAction[[#This Row],[Resource Name]])-1+IF(VLOOKUP('Table Seed Map'!$A$34,SeedMap[],9,0),VLOOKUP('Table Seed Map'!$A$34,SeedMap[],9,0),0))</f>
        <v>2133195</v>
      </c>
      <c r="E97" s="96">
        <f>IFERROR(VLOOKUP(ResourceAction[[#This Row],[Resource Name]],ResourceTable[[RName]:[No]],3,0),"resource")</f>
        <v>2106118</v>
      </c>
      <c r="F97" s="96" t="s">
        <v>2018</v>
      </c>
      <c r="G97" s="96"/>
      <c r="H97" s="96"/>
      <c r="I97" s="96"/>
      <c r="J97" s="96" t="s">
        <v>1694</v>
      </c>
      <c r="K97" s="95" t="str">
        <f>'Table Seed Map'!$A$35&amp;"-"&amp;(COUNTA($E$1:ResourceAction[[#This Row],[Resource]])-2)</f>
        <v>Action Method-95</v>
      </c>
      <c r="L97" s="96">
        <f>IF(ResourceAction[[#This Row],[No]]="id","id",-2+COUNTA($E$1:ResourceAction[[#This Row],[Resource]])+IF(ISNUMBER(VLOOKUP('Table Seed Map'!$A$35,SeedMap[],9,0)),VLOOKUP('Table Seed Map'!$A$35,SeedMap[],9,0),0))</f>
        <v>2134195</v>
      </c>
      <c r="M97" s="96">
        <f>IF(ResourceAction[[#This Row],[No]]="id","resource_action",ResourceAction[[#This Row],[No]])</f>
        <v>2133195</v>
      </c>
      <c r="N97" s="112" t="s">
        <v>122</v>
      </c>
      <c r="O97" s="109">
        <f ca="1">IF(ResourceAction[[#This Row],[Resource Name]]="","idn1",IF(ResourceAction[[#This Row],[IDN1]]="","",VLOOKUP(ResourceAction[[#This Row],[IDN1]],IDNMaps[[Display]:[ID]],2,0)))</f>
        <v>2123143</v>
      </c>
      <c r="P97" s="109" t="str">
        <f>IF(ResourceAction[[#This Row],[Resource Name]]="","idn2",IF(ResourceAction[[#This Row],[IDN2]]="","",VLOOKUP(ResourceAction[[#This Row],[IDN2]],IDNMaps[[Display]:[ID]],2,0)))</f>
        <v/>
      </c>
      <c r="Q97" s="109" t="str">
        <f>IF(ResourceAction[[#This Row],[Resource Name]]="","idn3",IF(ResourceAction[[#This Row],[IDN3]]="","",VLOOKUP(ResourceAction[[#This Row],[IDN3]],IDNMaps[[Display]:[ID]],2,0)))</f>
        <v/>
      </c>
      <c r="R97" s="109" t="str">
        <f>IF(ResourceAction[[#This Row],[Resource Name]]="","idn4",IF(ResourceAction[[#This Row],[IDN4]]="","",VLOOKUP(ResourceAction[[#This Row],[IDN4]],IDNMaps[[Display]:[ID]],2,0)))</f>
        <v/>
      </c>
      <c r="S97" s="109" t="str">
        <f>IF(ResourceAction[[#This Row],[Resource Name]]="","idn5",IF(ResourceAction[[#This Row],[IDN5]]="","",VLOOKUP(ResourceAction[[#This Row],[IDN5]],IDNMaps[[Display]:[ID]],2,0)))</f>
        <v/>
      </c>
      <c r="T97" s="110" t="s">
        <v>2023</v>
      </c>
      <c r="U97" s="110"/>
      <c r="V97" s="110"/>
      <c r="W97" s="110"/>
      <c r="X97" s="110"/>
      <c r="Y97" s="103">
        <f>[No]</f>
        <v>2133195</v>
      </c>
    </row>
    <row r="98" spans="1:25">
      <c r="A98" s="96" t="str">
        <f>'Table Seed Map'!$A$34&amp;"-"&amp;(COUNTA($E$1:ResourceAction[[#This Row],[Resource]])-2)</f>
        <v>Resource Actions-96</v>
      </c>
      <c r="B98" s="96" t="str">
        <f>ResourceAction[[#This Row],[Resource Name]]&amp;"/"&amp;ResourceAction[[#This Row],[Name]]</f>
        <v>Invoice/OwnInvoices</v>
      </c>
      <c r="C98" s="104" t="s">
        <v>893</v>
      </c>
      <c r="D98" s="96">
        <f>IF(ResourceAction[[#This Row],[Resource Name]]="","id",COUNTA($C$1:ResourceAction[[#This Row],[Resource Name]])-1+IF(VLOOKUP('Table Seed Map'!$A$34,SeedMap[],9,0),VLOOKUP('Table Seed Map'!$A$34,SeedMap[],9,0),0))</f>
        <v>2133196</v>
      </c>
      <c r="E98" s="96">
        <f>IFERROR(VLOOKUP(ResourceAction[[#This Row],[Resource Name]],ResourceTable[[RName]:[No]],3,0),"resource")</f>
        <v>2106121</v>
      </c>
      <c r="F98" s="96" t="s">
        <v>2037</v>
      </c>
      <c r="G98" s="96"/>
      <c r="H98" s="96"/>
      <c r="I98" s="96"/>
      <c r="J98" s="96" t="s">
        <v>1807</v>
      </c>
      <c r="K98" s="95" t="str">
        <f>'Table Seed Map'!$A$35&amp;"-"&amp;(COUNTA($E$1:ResourceAction[[#This Row],[Resource]])-2)</f>
        <v>Action Method-96</v>
      </c>
      <c r="L98" s="96">
        <f>IF(ResourceAction[[#This Row],[No]]="id","id",-2+COUNTA($E$1:ResourceAction[[#This Row],[Resource]])+IF(ISNUMBER(VLOOKUP('Table Seed Map'!$A$35,SeedMap[],9,0)),VLOOKUP('Table Seed Map'!$A$35,SeedMap[],9,0),0))</f>
        <v>2134196</v>
      </c>
      <c r="M98" s="96">
        <f>IF(ResourceAction[[#This Row],[No]]="id","resource_action",ResourceAction[[#This Row],[No]])</f>
        <v>2133196</v>
      </c>
      <c r="N98" s="112" t="s">
        <v>122</v>
      </c>
      <c r="O98" s="109">
        <f ca="1">IF(ResourceAction[[#This Row],[Resource Name]]="","idn1",IF(ResourceAction[[#This Row],[IDN1]]="","",VLOOKUP(ResourceAction[[#This Row],[IDN1]],IDNMaps[[Display]:[ID]],2,0)))</f>
        <v>2123145</v>
      </c>
      <c r="P98" s="109" t="str">
        <f>IF(ResourceAction[[#This Row],[Resource Name]]="","idn2",IF(ResourceAction[[#This Row],[IDN2]]="","",VLOOKUP(ResourceAction[[#This Row],[IDN2]],IDNMaps[[Display]:[ID]],2,0)))</f>
        <v/>
      </c>
      <c r="Q98" s="109" t="str">
        <f>IF(ResourceAction[[#This Row],[Resource Name]]="","idn3",IF(ResourceAction[[#This Row],[IDN3]]="","",VLOOKUP(ResourceAction[[#This Row],[IDN3]],IDNMaps[[Display]:[ID]],2,0)))</f>
        <v/>
      </c>
      <c r="R98" s="109" t="str">
        <f>IF(ResourceAction[[#This Row],[Resource Name]]="","idn4",IF(ResourceAction[[#This Row],[IDN4]]="","",VLOOKUP(ResourceAction[[#This Row],[IDN4]],IDNMaps[[Display]:[ID]],2,0)))</f>
        <v/>
      </c>
      <c r="S98" s="109" t="str">
        <f>IF(ResourceAction[[#This Row],[Resource Name]]="","idn5",IF(ResourceAction[[#This Row],[IDN5]]="","",VLOOKUP(ResourceAction[[#This Row],[IDN5]],IDNMaps[[Display]:[ID]],2,0)))</f>
        <v/>
      </c>
      <c r="T98" s="110" t="s">
        <v>2048</v>
      </c>
      <c r="U98" s="110"/>
      <c r="V98" s="110"/>
      <c r="W98" s="110"/>
      <c r="X98" s="110"/>
      <c r="Y98" s="103">
        <f>[No]</f>
        <v>2133196</v>
      </c>
    </row>
    <row r="99" spans="1:25">
      <c r="A99" s="96" t="str">
        <f>'Table Seed Map'!$A$34&amp;"-"&amp;(COUNTA($E$1:ResourceAction[[#This Row],[Resource]])-2)</f>
        <v>Resource Actions-97</v>
      </c>
      <c r="B99" s="96" t="str">
        <f>ResourceAction[[#This Row],[Resource Name]]&amp;"/"&amp;ResourceAction[[#This Row],[Name]]</f>
        <v>Invoice/OwnUnpaidInvoices</v>
      </c>
      <c r="C99" s="104" t="s">
        <v>893</v>
      </c>
      <c r="D99" s="96">
        <f>IF(ResourceAction[[#This Row],[Resource Name]]="","id",COUNTA($C$1:ResourceAction[[#This Row],[Resource Name]])-1+IF(VLOOKUP('Table Seed Map'!$A$34,SeedMap[],9,0),VLOOKUP('Table Seed Map'!$A$34,SeedMap[],9,0),0))</f>
        <v>2133197</v>
      </c>
      <c r="E99" s="96">
        <f>IFERROR(VLOOKUP(ResourceAction[[#This Row],[Resource Name]],ResourceTable[[RName]:[No]],3,0),"resource")</f>
        <v>2106121</v>
      </c>
      <c r="F99" s="96" t="s">
        <v>2049</v>
      </c>
      <c r="G99" s="96"/>
      <c r="H99" s="96"/>
      <c r="I99" s="96"/>
      <c r="J99" s="96" t="s">
        <v>2050</v>
      </c>
      <c r="K99" s="95" t="str">
        <f>'Table Seed Map'!$A$35&amp;"-"&amp;(COUNTA($E$1:ResourceAction[[#This Row],[Resource]])-2)</f>
        <v>Action Method-97</v>
      </c>
      <c r="L99" s="96">
        <f>IF(ResourceAction[[#This Row],[No]]="id","id",-2+COUNTA($E$1:ResourceAction[[#This Row],[Resource]])+IF(ISNUMBER(VLOOKUP('Table Seed Map'!$A$35,SeedMap[],9,0)),VLOOKUP('Table Seed Map'!$A$35,SeedMap[],9,0),0))</f>
        <v>2134197</v>
      </c>
      <c r="M99" s="96">
        <f>IF(ResourceAction[[#This Row],[No]]="id","resource_action",ResourceAction[[#This Row],[No]])</f>
        <v>2133197</v>
      </c>
      <c r="N99" s="112" t="s">
        <v>122</v>
      </c>
      <c r="O99" s="109">
        <f ca="1">IF(ResourceAction[[#This Row],[Resource Name]]="","idn1",IF(ResourceAction[[#This Row],[IDN1]]="","",VLOOKUP(ResourceAction[[#This Row],[IDN1]],IDNMaps[[Display]:[ID]],2,0)))</f>
        <v>2123146</v>
      </c>
      <c r="P99" s="109" t="str">
        <f>IF(ResourceAction[[#This Row],[Resource Name]]="","idn2",IF(ResourceAction[[#This Row],[IDN2]]="","",VLOOKUP(ResourceAction[[#This Row],[IDN2]],IDNMaps[[Display]:[ID]],2,0)))</f>
        <v/>
      </c>
      <c r="Q99" s="109" t="str">
        <f>IF(ResourceAction[[#This Row],[Resource Name]]="","idn3",IF(ResourceAction[[#This Row],[IDN3]]="","",VLOOKUP(ResourceAction[[#This Row],[IDN3]],IDNMaps[[Display]:[ID]],2,0)))</f>
        <v/>
      </c>
      <c r="R99" s="109" t="str">
        <f>IF(ResourceAction[[#This Row],[Resource Name]]="","idn4",IF(ResourceAction[[#This Row],[IDN4]]="","",VLOOKUP(ResourceAction[[#This Row],[IDN4]],IDNMaps[[Display]:[ID]],2,0)))</f>
        <v/>
      </c>
      <c r="S99" s="109" t="str">
        <f>IF(ResourceAction[[#This Row],[Resource Name]]="","idn5",IF(ResourceAction[[#This Row],[IDN5]]="","",VLOOKUP(ResourceAction[[#This Row],[IDN5]],IDNMaps[[Display]:[ID]],2,0)))</f>
        <v/>
      </c>
      <c r="T99" s="110" t="s">
        <v>2051</v>
      </c>
      <c r="U99" s="110"/>
      <c r="V99" s="110"/>
      <c r="W99" s="110"/>
      <c r="X99" s="110"/>
      <c r="Y99" s="103">
        <f>[No]</f>
        <v>2133197</v>
      </c>
    </row>
    <row r="100" spans="1:25">
      <c r="A100" s="96" t="str">
        <f>'Table Seed Map'!$A$34&amp;"-"&amp;(COUNTA($E$1:ResourceAction[[#This Row],[Resource]])-2)</f>
        <v>Resource Actions-98</v>
      </c>
      <c r="B100" s="96" t="str">
        <f>ResourceAction[[#This Row],[Resource Name]]&amp;"/"&amp;ResourceAction[[#This Row],[Name]]</f>
        <v>Invoice/OwnPaidInvoices</v>
      </c>
      <c r="C100" s="104" t="s">
        <v>893</v>
      </c>
      <c r="D100" s="96">
        <f>IF(ResourceAction[[#This Row],[Resource Name]]="","id",COUNTA($C$1:ResourceAction[[#This Row],[Resource Name]])-1+IF(VLOOKUP('Table Seed Map'!$A$34,SeedMap[],9,0),VLOOKUP('Table Seed Map'!$A$34,SeedMap[],9,0),0))</f>
        <v>2133198</v>
      </c>
      <c r="E100" s="96">
        <f>IFERROR(VLOOKUP(ResourceAction[[#This Row],[Resource Name]],ResourceTable[[RName]:[No]],3,0),"resource")</f>
        <v>2106121</v>
      </c>
      <c r="F100" s="96" t="s">
        <v>2045</v>
      </c>
      <c r="G100" s="96"/>
      <c r="H100" s="96"/>
      <c r="I100" s="96"/>
      <c r="J100" s="96" t="s">
        <v>1826</v>
      </c>
      <c r="K100" s="95" t="str">
        <f>'Table Seed Map'!$A$35&amp;"-"&amp;(COUNTA($E$1:ResourceAction[[#This Row],[Resource]])-2)</f>
        <v>Action Method-98</v>
      </c>
      <c r="L100" s="96">
        <f>IF(ResourceAction[[#This Row],[No]]="id","id",-2+COUNTA($E$1:ResourceAction[[#This Row],[Resource]])+IF(ISNUMBER(VLOOKUP('Table Seed Map'!$A$35,SeedMap[],9,0)),VLOOKUP('Table Seed Map'!$A$35,SeedMap[],9,0),0))</f>
        <v>2134198</v>
      </c>
      <c r="M100" s="96">
        <f>IF(ResourceAction[[#This Row],[No]]="id","resource_action",ResourceAction[[#This Row],[No]])</f>
        <v>2133198</v>
      </c>
      <c r="N100" s="112" t="s">
        <v>122</v>
      </c>
      <c r="O100" s="109">
        <f ca="1">IF(ResourceAction[[#This Row],[Resource Name]]="","idn1",IF(ResourceAction[[#This Row],[IDN1]]="","",VLOOKUP(ResourceAction[[#This Row],[IDN1]],IDNMaps[[Display]:[ID]],2,0)))</f>
        <v>2123147</v>
      </c>
      <c r="P100" s="109" t="str">
        <f>IF(ResourceAction[[#This Row],[Resource Name]]="","idn2",IF(ResourceAction[[#This Row],[IDN2]]="","",VLOOKUP(ResourceAction[[#This Row],[IDN2]],IDNMaps[[Display]:[ID]],2,0)))</f>
        <v/>
      </c>
      <c r="Q100" s="109" t="str">
        <f>IF(ResourceAction[[#This Row],[Resource Name]]="","idn3",IF(ResourceAction[[#This Row],[IDN3]]="","",VLOOKUP(ResourceAction[[#This Row],[IDN3]],IDNMaps[[Display]:[ID]],2,0)))</f>
        <v/>
      </c>
      <c r="R100" s="109" t="str">
        <f>IF(ResourceAction[[#This Row],[Resource Name]]="","idn4",IF(ResourceAction[[#This Row],[IDN4]]="","",VLOOKUP(ResourceAction[[#This Row],[IDN4]],IDNMaps[[Display]:[ID]],2,0)))</f>
        <v/>
      </c>
      <c r="S100" s="109" t="str">
        <f>IF(ResourceAction[[#This Row],[Resource Name]]="","idn5",IF(ResourceAction[[#This Row],[IDN5]]="","",VLOOKUP(ResourceAction[[#This Row],[IDN5]],IDNMaps[[Display]:[ID]],2,0)))</f>
        <v/>
      </c>
      <c r="T100" s="110" t="s">
        <v>2052</v>
      </c>
      <c r="U100" s="110"/>
      <c r="V100" s="110"/>
      <c r="W100" s="110"/>
      <c r="X100" s="110"/>
      <c r="Y100" s="103">
        <f>[No]</f>
        <v>2133198</v>
      </c>
    </row>
    <row r="101" spans="1:25">
      <c r="A101" s="96" t="str">
        <f>'Table Seed Map'!$A$34&amp;"-"&amp;(COUNTA($E$1:ResourceAction[[#This Row],[Resource]])-2)</f>
        <v>Resource Actions-99</v>
      </c>
      <c r="B101" s="96" t="str">
        <f>ResourceAction[[#This Row],[Resource Name]]&amp;"/"&amp;ResourceAction[[#This Row],[Name]]</f>
        <v>Receipt/OwnReceiptsAction</v>
      </c>
      <c r="C101" s="104" t="s">
        <v>791</v>
      </c>
      <c r="D101" s="96">
        <f>IF(ResourceAction[[#This Row],[Resource Name]]="","id",COUNTA($C$1:ResourceAction[[#This Row],[Resource Name]])-1+IF(VLOOKUP('Table Seed Map'!$A$34,SeedMap[],9,0),VLOOKUP('Table Seed Map'!$A$34,SeedMap[],9,0),0))</f>
        <v>2133199</v>
      </c>
      <c r="E101" s="96">
        <f>IFERROR(VLOOKUP(ResourceAction[[#This Row],[Resource Name]],ResourceTable[[RName]:[No]],3,0),"resource")</f>
        <v>2106124</v>
      </c>
      <c r="F101" s="96" t="s">
        <v>2058</v>
      </c>
      <c r="G101" s="96"/>
      <c r="H101" s="96" t="s">
        <v>911</v>
      </c>
      <c r="I101" s="96"/>
      <c r="J101" s="96" t="s">
        <v>911</v>
      </c>
      <c r="K101" s="95" t="str">
        <f>'Table Seed Map'!$A$35&amp;"-"&amp;(COUNTA($E$1:ResourceAction[[#This Row],[Resource]])-2)</f>
        <v>Action Method-99</v>
      </c>
      <c r="L101" s="96">
        <f>IF(ResourceAction[[#This Row],[No]]="id","id",-2+COUNTA($E$1:ResourceAction[[#This Row],[Resource]])+IF(ISNUMBER(VLOOKUP('Table Seed Map'!$A$35,SeedMap[],9,0)),VLOOKUP('Table Seed Map'!$A$35,SeedMap[],9,0),0))</f>
        <v>2134199</v>
      </c>
      <c r="M101" s="96">
        <f>IF(ResourceAction[[#This Row],[No]]="id","resource_action",ResourceAction[[#This Row],[No]])</f>
        <v>2133199</v>
      </c>
      <c r="N101" s="112" t="s">
        <v>122</v>
      </c>
      <c r="O101" s="109">
        <f ca="1">IF(ResourceAction[[#This Row],[Resource Name]]="","idn1",IF(ResourceAction[[#This Row],[IDN1]]="","",VLOOKUP(ResourceAction[[#This Row],[IDN1]],IDNMaps[[Display]:[ID]],2,0)))</f>
        <v>2123148</v>
      </c>
      <c r="P101" s="109" t="str">
        <f>IF(ResourceAction[[#This Row],[Resource Name]]="","idn2",IF(ResourceAction[[#This Row],[IDN2]]="","",VLOOKUP(ResourceAction[[#This Row],[IDN2]],IDNMaps[[Display]:[ID]],2,0)))</f>
        <v/>
      </c>
      <c r="Q101" s="109" t="str">
        <f>IF(ResourceAction[[#This Row],[Resource Name]]="","idn3",IF(ResourceAction[[#This Row],[IDN3]]="","",VLOOKUP(ResourceAction[[#This Row],[IDN3]],IDNMaps[[Display]:[ID]],2,0)))</f>
        <v/>
      </c>
      <c r="R101" s="109" t="str">
        <f>IF(ResourceAction[[#This Row],[Resource Name]]="","idn4",IF(ResourceAction[[#This Row],[IDN4]]="","",VLOOKUP(ResourceAction[[#This Row],[IDN4]],IDNMaps[[Display]:[ID]],2,0)))</f>
        <v/>
      </c>
      <c r="S101" s="109" t="str">
        <f>IF(ResourceAction[[#This Row],[Resource Name]]="","idn5",IF(ResourceAction[[#This Row],[IDN5]]="","",VLOOKUP(ResourceAction[[#This Row],[IDN5]],IDNMaps[[Display]:[ID]],2,0)))</f>
        <v/>
      </c>
      <c r="T101" s="110" t="s">
        <v>2059</v>
      </c>
      <c r="U101" s="110"/>
      <c r="V101" s="110"/>
      <c r="W101" s="110"/>
      <c r="X101" s="110"/>
      <c r="Y101" s="103">
        <f>[No]</f>
        <v>2133199</v>
      </c>
    </row>
    <row r="102" spans="1:25">
      <c r="A102" s="96" t="str">
        <f>'Table Seed Map'!$A$34&amp;"-"&amp;(COUNTA($E$1:ResourceAction[[#This Row],[Resource]])-2)</f>
        <v>Resource Actions-100</v>
      </c>
      <c r="B102" s="96" t="str">
        <f>ResourceAction[[#This Row],[Resource Name]]&amp;"/"&amp;ResourceAction[[#This Row],[Name]]</f>
        <v>Delivery/OwnDeliveries</v>
      </c>
      <c r="C102" s="104" t="s">
        <v>912</v>
      </c>
      <c r="D102" s="96">
        <f>IF(ResourceAction[[#This Row],[Resource Name]]="","id",COUNTA($C$1:ResourceAction[[#This Row],[Resource Name]])-1+IF(VLOOKUP('Table Seed Map'!$A$34,SeedMap[],9,0),VLOOKUP('Table Seed Map'!$A$34,SeedMap[],9,0),0))</f>
        <v>2133200</v>
      </c>
      <c r="E102" s="96">
        <f>IFERROR(VLOOKUP(ResourceAction[[#This Row],[Resource Name]],ResourceTable[[RName]:[No]],3,0),"resource")</f>
        <v>2106125</v>
      </c>
      <c r="F102" s="96" t="s">
        <v>2061</v>
      </c>
      <c r="G102" s="96"/>
      <c r="H102" s="96" t="s">
        <v>952</v>
      </c>
      <c r="I102" s="96"/>
      <c r="J102" s="96" t="s">
        <v>952</v>
      </c>
      <c r="K102" s="95" t="str">
        <f>'Table Seed Map'!$A$35&amp;"-"&amp;(COUNTA($E$1:ResourceAction[[#This Row],[Resource]])-2)</f>
        <v>Action Method-100</v>
      </c>
      <c r="L102" s="96">
        <f>IF(ResourceAction[[#This Row],[No]]="id","id",-2+COUNTA($E$1:ResourceAction[[#This Row],[Resource]])+IF(ISNUMBER(VLOOKUP('Table Seed Map'!$A$35,SeedMap[],9,0)),VLOOKUP('Table Seed Map'!$A$35,SeedMap[],9,0),0))</f>
        <v>2134200</v>
      </c>
      <c r="M102" s="96">
        <f>IF(ResourceAction[[#This Row],[No]]="id","resource_action",ResourceAction[[#This Row],[No]])</f>
        <v>2133200</v>
      </c>
      <c r="N102" s="112" t="s">
        <v>122</v>
      </c>
      <c r="O102" s="109">
        <f ca="1">IF(ResourceAction[[#This Row],[Resource Name]]="","idn1",IF(ResourceAction[[#This Row],[IDN1]]="","",VLOOKUP(ResourceAction[[#This Row],[IDN1]],IDNMaps[[Display]:[ID]],2,0)))</f>
        <v>2123149</v>
      </c>
      <c r="P102" s="109" t="str">
        <f>IF(ResourceAction[[#This Row],[Resource Name]]="","idn2",IF(ResourceAction[[#This Row],[IDN2]]="","",VLOOKUP(ResourceAction[[#This Row],[IDN2]],IDNMaps[[Display]:[ID]],2,0)))</f>
        <v/>
      </c>
      <c r="Q102" s="109" t="str">
        <f>IF(ResourceAction[[#This Row],[Resource Name]]="","idn3",IF(ResourceAction[[#This Row],[IDN3]]="","",VLOOKUP(ResourceAction[[#This Row],[IDN3]],IDNMaps[[Display]:[ID]],2,0)))</f>
        <v/>
      </c>
      <c r="R102" s="109" t="str">
        <f>IF(ResourceAction[[#This Row],[Resource Name]]="","idn4",IF(ResourceAction[[#This Row],[IDN4]]="","",VLOOKUP(ResourceAction[[#This Row],[IDN4]],IDNMaps[[Display]:[ID]],2,0)))</f>
        <v/>
      </c>
      <c r="S102" s="109" t="str">
        <f>IF(ResourceAction[[#This Row],[Resource Name]]="","idn5",IF(ResourceAction[[#This Row],[IDN5]]="","",VLOOKUP(ResourceAction[[#This Row],[IDN5]],IDNMaps[[Display]:[ID]],2,0)))</f>
        <v/>
      </c>
      <c r="T102" s="110" t="s">
        <v>2064</v>
      </c>
      <c r="U102" s="110"/>
      <c r="V102" s="110"/>
      <c r="W102" s="110"/>
      <c r="X102" s="110"/>
      <c r="Y102" s="103">
        <f>[No]</f>
        <v>2133200</v>
      </c>
    </row>
    <row r="103" spans="1:25">
      <c r="A103" s="96" t="str">
        <f>'Table Seed Map'!$A$34&amp;"-"&amp;(COUNTA($E$1:ResourceAction[[#This Row],[Resource]])-2)</f>
        <v>Resource Actions-101</v>
      </c>
      <c r="B103" s="96" t="str">
        <f>ResourceAction[[#This Row],[Resource Name]]&amp;"/"&amp;ResourceAction[[#This Row],[Name]]</f>
        <v>HubShift/OwnHubShifts</v>
      </c>
      <c r="C103" s="104" t="s">
        <v>792</v>
      </c>
      <c r="D103" s="96">
        <f>IF(ResourceAction[[#This Row],[Resource Name]]="","id",COUNTA($C$1:ResourceAction[[#This Row],[Resource Name]])-1+IF(VLOOKUP('Table Seed Map'!$A$34,SeedMap[],9,0),VLOOKUP('Table Seed Map'!$A$34,SeedMap[],9,0),0))</f>
        <v>2133201</v>
      </c>
      <c r="E103" s="96">
        <f>IFERROR(VLOOKUP(ResourceAction[[#This Row],[Resource Name]],ResourceTable[[RName]:[No]],3,0),"resource")</f>
        <v>2106127</v>
      </c>
      <c r="F103" s="96" t="s">
        <v>2068</v>
      </c>
      <c r="G103" s="96"/>
      <c r="H103" s="96" t="s">
        <v>1415</v>
      </c>
      <c r="I103" s="96"/>
      <c r="J103" s="96" t="s">
        <v>1415</v>
      </c>
      <c r="K103" s="95" t="str">
        <f>'Table Seed Map'!$A$35&amp;"-"&amp;(COUNTA($E$1:ResourceAction[[#This Row],[Resource]])-2)</f>
        <v>Action Method-101</v>
      </c>
      <c r="L103" s="96">
        <f>IF(ResourceAction[[#This Row],[No]]="id","id",-2+COUNTA($E$1:ResourceAction[[#This Row],[Resource]])+IF(ISNUMBER(VLOOKUP('Table Seed Map'!$A$35,SeedMap[],9,0)),VLOOKUP('Table Seed Map'!$A$35,SeedMap[],9,0),0))</f>
        <v>2134201</v>
      </c>
      <c r="M103" s="96">
        <f>IF(ResourceAction[[#This Row],[No]]="id","resource_action",ResourceAction[[#This Row],[No]])</f>
        <v>2133201</v>
      </c>
      <c r="N103" s="91" t="s">
        <v>122</v>
      </c>
      <c r="O103" s="109">
        <f ca="1">IF(ResourceAction[[#This Row],[Resource Name]]="","idn1",IF(ResourceAction[[#This Row],[IDN1]]="","",VLOOKUP(ResourceAction[[#This Row],[IDN1]],IDNMaps[[Display]:[ID]],2,0)))</f>
        <v>2123150</v>
      </c>
      <c r="P103" s="109" t="str">
        <f>IF(ResourceAction[[#This Row],[Resource Name]]="","idn2",IF(ResourceAction[[#This Row],[IDN2]]="","",VLOOKUP(ResourceAction[[#This Row],[IDN2]],IDNMaps[[Display]:[ID]],2,0)))</f>
        <v/>
      </c>
      <c r="Q103" s="109" t="str">
        <f>IF(ResourceAction[[#This Row],[Resource Name]]="","idn3",IF(ResourceAction[[#This Row],[IDN3]]="","",VLOOKUP(ResourceAction[[#This Row],[IDN3]],IDNMaps[[Display]:[ID]],2,0)))</f>
        <v/>
      </c>
      <c r="R103" s="109" t="str">
        <f>IF(ResourceAction[[#This Row],[Resource Name]]="","idn4",IF(ResourceAction[[#This Row],[IDN4]]="","",VLOOKUP(ResourceAction[[#This Row],[IDN4]],IDNMaps[[Display]:[ID]],2,0)))</f>
        <v/>
      </c>
      <c r="S103" s="109" t="str">
        <f>IF(ResourceAction[[#This Row],[Resource Name]]="","idn5",IF(ResourceAction[[#This Row],[IDN5]]="","",VLOOKUP(ResourceAction[[#This Row],[IDN5]],IDNMaps[[Display]:[ID]],2,0)))</f>
        <v/>
      </c>
      <c r="T103" s="93" t="s">
        <v>2071</v>
      </c>
      <c r="U103" s="110"/>
      <c r="V103" s="110"/>
      <c r="W103" s="110"/>
      <c r="X103" s="110"/>
      <c r="Y103" s="103">
        <f>[No]</f>
        <v>2133201</v>
      </c>
    </row>
  </sheetData>
  <dataValidations count="7">
    <dataValidation type="list" allowBlank="1" showInputMessage="1" showErrorMessage="1" sqref="AN2 AA2:AA66">
      <formula1>ActionsName</formula1>
    </dataValidation>
    <dataValidation type="list" allowBlank="1" showInputMessage="1" showErrorMessage="1" sqref="I2:I10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103">
      <formula1>Resources</formula1>
    </dataValidation>
    <dataValidation type="list" allowBlank="1" showInputMessage="1" showErrorMessage="1" sqref="T2:X103">
      <formula1>IDNs</formula1>
    </dataValidation>
    <dataValidation type="list" allowBlank="1" showInputMessage="1" showErrorMessage="1" sqref="N2:N103">
      <formula1>"type,Method,Dashboard,Form,List,Data,FormWithData,ListRelation,AddRelation,ManageRelation"</formula1>
    </dataValidation>
    <dataValidation type="list" allowBlank="1" showInputMessage="1" showErrorMessage="1" sqref="AC2:AC66">
      <formula1>ListNames</formula1>
    </dataValidation>
    <dataValidation type="list" allowBlank="1" showInputMessage="1" showErrorMessage="1" sqref="AD2:AD66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2019-04-27T07:55:26Z</cp:lastPrinted>
  <dcterms:created xsi:type="dcterms:W3CDTF">2018-07-10T07:59:28Z</dcterms:created>
  <dcterms:modified xsi:type="dcterms:W3CDTF">2019-06-09T05:45:58Z</dcterms:modified>
</cp:coreProperties>
</file>